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na\Dropbox\Clase\LPRO\"/>
    </mc:Choice>
  </mc:AlternateContent>
  <bookViews>
    <workbookView xWindow="0" yWindow="0" windowWidth="16380" windowHeight="8190" tabRatio="662" firstSheet="3" activeTab="9"/>
  </bookViews>
  <sheets>
    <sheet name="Histograma" sheetId="6" r:id="rId1"/>
    <sheet name="HDesdeImplante" sheetId="9" r:id="rId2"/>
    <sheet name="Tabla" sheetId="3" r:id="rId3"/>
    <sheet name="Datos" sheetId="1" r:id="rId4"/>
    <sheet name="Explicación de campos" sheetId="2" r:id="rId5"/>
    <sheet name="Longevidad" sheetId="12" r:id="rId6"/>
    <sheet name="Longevidades" sheetId="10" r:id="rId7"/>
    <sheet name="ERI_Alcanzado" sheetId="13" r:id="rId8"/>
    <sheet name="Seguimientos" sheetId="14" r:id="rId9"/>
    <sheet name="total" sheetId="15" r:id="rId10"/>
    <sheet name="2 camaras" sheetId="16" r:id="rId11"/>
    <sheet name="3 camaras" sheetId="17" r:id="rId12"/>
    <sheet name="1 camara" sheetId="18" r:id="rId13"/>
  </sheets>
  <definedNames>
    <definedName name="_xlnm._FilterDatabase" localSheetId="3" hidden="1">Datos!$B$1:$L$2173</definedName>
    <definedName name="_xlnm._FilterDatabase" localSheetId="7" hidden="1">ERI_Alcanzado!$A$1:$I$219</definedName>
    <definedName name="_xlnm._FilterDatabase" localSheetId="6" hidden="1">Longevidades!$H$70:$H$178</definedName>
    <definedName name="_xlnm._FilterDatabase" localSheetId="2" hidden="1">Tabla!$A$1:$AJ$527</definedName>
    <definedName name="_xlnm.Extract" localSheetId="6">Longevidades!$R$3:$S$3</definedName>
  </definedNames>
  <calcPr calcId="152511" iterateDelta="1E-4"/>
</workbook>
</file>

<file path=xl/calcChain.xml><?xml version="1.0" encoding="utf-8"?>
<calcChain xmlns="http://schemas.openxmlformats.org/spreadsheetml/2006/main">
  <c r="N3" i="15" l="1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2" i="15"/>
  <c r="M70" i="18" l="1"/>
  <c r="K70" i="18"/>
  <c r="H70" i="18"/>
  <c r="L70" i="18" s="1"/>
  <c r="E70" i="18"/>
  <c r="M69" i="18"/>
  <c r="K69" i="18"/>
  <c r="H69" i="18"/>
  <c r="L69" i="18" s="1"/>
  <c r="E69" i="18"/>
  <c r="M68" i="18"/>
  <c r="L68" i="18"/>
  <c r="K68" i="18"/>
  <c r="H68" i="18"/>
  <c r="E68" i="18"/>
  <c r="S67" i="18"/>
  <c r="M67" i="18"/>
  <c r="K67" i="18"/>
  <c r="H67" i="18"/>
  <c r="L67" i="18" s="1"/>
  <c r="E67" i="18"/>
  <c r="M66" i="18"/>
  <c r="S66" i="18" s="1"/>
  <c r="K66" i="18"/>
  <c r="H66" i="18"/>
  <c r="L66" i="18" s="1"/>
  <c r="E66" i="18"/>
  <c r="M65" i="18"/>
  <c r="S65" i="18" s="1"/>
  <c r="K65" i="18"/>
  <c r="H65" i="18"/>
  <c r="L65" i="18" s="1"/>
  <c r="E65" i="18"/>
  <c r="P64" i="18"/>
  <c r="M64" i="18"/>
  <c r="R64" i="18" s="1"/>
  <c r="L64" i="18"/>
  <c r="K64" i="18"/>
  <c r="E64" i="18"/>
  <c r="M63" i="18"/>
  <c r="K63" i="18"/>
  <c r="H63" i="18"/>
  <c r="L63" i="18" s="1"/>
  <c r="E63" i="18"/>
  <c r="M62" i="18"/>
  <c r="S62" i="18" s="1"/>
  <c r="K62" i="18"/>
  <c r="H62" i="18"/>
  <c r="L62" i="18" s="1"/>
  <c r="E62" i="18"/>
  <c r="M61" i="18"/>
  <c r="L61" i="18"/>
  <c r="K61" i="18"/>
  <c r="H61" i="18"/>
  <c r="E61" i="18"/>
  <c r="R60" i="18"/>
  <c r="Q60" i="18"/>
  <c r="M60" i="18"/>
  <c r="S60" i="18" s="1"/>
  <c r="L60" i="18"/>
  <c r="K60" i="18"/>
  <c r="H60" i="18"/>
  <c r="E60" i="18"/>
  <c r="R59" i="18"/>
  <c r="Q59" i="18"/>
  <c r="M59" i="18"/>
  <c r="S59" i="18" s="1"/>
  <c r="K59" i="18"/>
  <c r="H59" i="18"/>
  <c r="L59" i="18" s="1"/>
  <c r="E59" i="18"/>
  <c r="Q58" i="18"/>
  <c r="M58" i="18"/>
  <c r="S58" i="18" s="1"/>
  <c r="K58" i="18"/>
  <c r="H58" i="18"/>
  <c r="L58" i="18" s="1"/>
  <c r="E58" i="18"/>
  <c r="M57" i="18"/>
  <c r="S57" i="18" s="1"/>
  <c r="K57" i="18"/>
  <c r="H57" i="18"/>
  <c r="L57" i="18" s="1"/>
  <c r="E57" i="18"/>
  <c r="Q56" i="18"/>
  <c r="P56" i="18"/>
  <c r="M56" i="18"/>
  <c r="R56" i="18" s="1"/>
  <c r="K56" i="18"/>
  <c r="H56" i="18"/>
  <c r="L56" i="18" s="1"/>
  <c r="E56" i="18"/>
  <c r="M55" i="18"/>
  <c r="L55" i="18"/>
  <c r="K55" i="18"/>
  <c r="E55" i="18"/>
  <c r="M54" i="18"/>
  <c r="K54" i="18"/>
  <c r="H54" i="18"/>
  <c r="L54" i="18" s="1"/>
  <c r="E54" i="18"/>
  <c r="M53" i="18"/>
  <c r="L53" i="18"/>
  <c r="K53" i="18"/>
  <c r="H53" i="18"/>
  <c r="E53" i="18"/>
  <c r="M52" i="18"/>
  <c r="K52" i="18"/>
  <c r="H52" i="18"/>
  <c r="L52" i="18" s="1"/>
  <c r="E52" i="18"/>
  <c r="M51" i="18"/>
  <c r="R51" i="18" s="1"/>
  <c r="L51" i="18"/>
  <c r="K51" i="18"/>
  <c r="E51" i="18"/>
  <c r="M42" i="18"/>
  <c r="K42" i="18"/>
  <c r="H42" i="18"/>
  <c r="L42" i="18" s="1"/>
  <c r="E42" i="18"/>
  <c r="M41" i="18"/>
  <c r="S41" i="18" s="1"/>
  <c r="K41" i="18"/>
  <c r="H41" i="18"/>
  <c r="L41" i="18" s="1"/>
  <c r="E41" i="18"/>
  <c r="R40" i="18"/>
  <c r="Q40" i="18"/>
  <c r="M40" i="18"/>
  <c r="S40" i="18" s="1"/>
  <c r="K40" i="18"/>
  <c r="H40" i="18"/>
  <c r="L40" i="18" s="1"/>
  <c r="E40" i="18"/>
  <c r="Q39" i="18"/>
  <c r="M39" i="18"/>
  <c r="P39" i="18" s="1"/>
  <c r="L39" i="18"/>
  <c r="K39" i="18"/>
  <c r="E39" i="18"/>
  <c r="M50" i="18"/>
  <c r="K50" i="18"/>
  <c r="H50" i="18"/>
  <c r="L50" i="18" s="1"/>
  <c r="E50" i="18"/>
  <c r="M49" i="18"/>
  <c r="S49" i="18" s="1"/>
  <c r="K49" i="18"/>
  <c r="H49" i="18"/>
  <c r="L49" i="18" s="1"/>
  <c r="E49" i="18"/>
  <c r="M48" i="18"/>
  <c r="S48" i="18" s="1"/>
  <c r="K48" i="18"/>
  <c r="H48" i="18"/>
  <c r="L48" i="18" s="1"/>
  <c r="E48" i="18"/>
  <c r="P47" i="18"/>
  <c r="M47" i="18"/>
  <c r="Q47" i="18" s="1"/>
  <c r="K47" i="18"/>
  <c r="H47" i="18"/>
  <c r="L47" i="18" s="1"/>
  <c r="E47" i="18"/>
  <c r="M46" i="18"/>
  <c r="K46" i="18"/>
  <c r="H46" i="18"/>
  <c r="L46" i="18" s="1"/>
  <c r="E46" i="18"/>
  <c r="S45" i="18"/>
  <c r="R45" i="18"/>
  <c r="M45" i="18"/>
  <c r="Q45" i="18" s="1"/>
  <c r="K45" i="18"/>
  <c r="H45" i="18"/>
  <c r="L45" i="18" s="1"/>
  <c r="E45" i="18"/>
  <c r="M44" i="18"/>
  <c r="L44" i="18"/>
  <c r="K44" i="18"/>
  <c r="H44" i="18"/>
  <c r="E44" i="18"/>
  <c r="M43" i="18"/>
  <c r="S43" i="18" s="1"/>
  <c r="L43" i="18"/>
  <c r="K43" i="18"/>
  <c r="E43" i="18"/>
  <c r="M38" i="18"/>
  <c r="K38" i="18"/>
  <c r="H38" i="18"/>
  <c r="L38" i="18" s="1"/>
  <c r="E38" i="18"/>
  <c r="M37" i="18"/>
  <c r="S37" i="18" s="1"/>
  <c r="K37" i="18"/>
  <c r="H37" i="18"/>
  <c r="L37" i="18" s="1"/>
  <c r="E37" i="18"/>
  <c r="M36" i="18"/>
  <c r="R36" i="18" s="1"/>
  <c r="L36" i="18"/>
  <c r="K36" i="18"/>
  <c r="H36" i="18"/>
  <c r="E36" i="18"/>
  <c r="S35" i="18"/>
  <c r="R35" i="18"/>
  <c r="M35" i="18"/>
  <c r="K35" i="18"/>
  <c r="H35" i="18"/>
  <c r="L35" i="18" s="1"/>
  <c r="E35" i="18"/>
  <c r="Q34" i="18"/>
  <c r="M34" i="18"/>
  <c r="R34" i="18" s="1"/>
  <c r="K34" i="18"/>
  <c r="H34" i="18"/>
  <c r="L34" i="18" s="1"/>
  <c r="E34" i="18"/>
  <c r="M33" i="18"/>
  <c r="K33" i="18"/>
  <c r="H33" i="18"/>
  <c r="L33" i="18" s="1"/>
  <c r="E33" i="18"/>
  <c r="Q32" i="18"/>
  <c r="M32" i="18"/>
  <c r="S32" i="18" s="1"/>
  <c r="K32" i="18"/>
  <c r="H32" i="18"/>
  <c r="L32" i="18" s="1"/>
  <c r="E32" i="18"/>
  <c r="M31" i="18"/>
  <c r="R31" i="18" s="1"/>
  <c r="K31" i="18"/>
  <c r="H31" i="18"/>
  <c r="L31" i="18" s="1"/>
  <c r="E31" i="18"/>
  <c r="M30" i="18"/>
  <c r="S30" i="18" s="1"/>
  <c r="K30" i="18"/>
  <c r="H30" i="18"/>
  <c r="L30" i="18" s="1"/>
  <c r="E30" i="18"/>
  <c r="Q29" i="18"/>
  <c r="P29" i="18"/>
  <c r="M29" i="18"/>
  <c r="S29" i="18" s="1"/>
  <c r="K29" i="18"/>
  <c r="H29" i="18"/>
  <c r="L29" i="18" s="1"/>
  <c r="E29" i="18"/>
  <c r="Q28" i="18"/>
  <c r="M28" i="18"/>
  <c r="P28" i="18" s="1"/>
  <c r="K28" i="18"/>
  <c r="H28" i="18"/>
  <c r="L28" i="18" s="1"/>
  <c r="E28" i="18"/>
  <c r="M27" i="18"/>
  <c r="L27" i="18"/>
  <c r="K27" i="18"/>
  <c r="E27" i="18"/>
  <c r="M26" i="18"/>
  <c r="L26" i="18"/>
  <c r="K26" i="18"/>
  <c r="H26" i="18"/>
  <c r="E26" i="18"/>
  <c r="M25" i="18"/>
  <c r="K25" i="18"/>
  <c r="H25" i="18"/>
  <c r="L25" i="18" s="1"/>
  <c r="E25" i="18"/>
  <c r="M24" i="18"/>
  <c r="S24" i="18" s="1"/>
  <c r="K24" i="18"/>
  <c r="H24" i="18"/>
  <c r="L24" i="18" s="1"/>
  <c r="E24" i="18"/>
  <c r="M23" i="18"/>
  <c r="K23" i="18"/>
  <c r="H23" i="18"/>
  <c r="L23" i="18" s="1"/>
  <c r="E23" i="18"/>
  <c r="M22" i="18"/>
  <c r="S22" i="18" s="1"/>
  <c r="K22" i="18"/>
  <c r="H22" i="18"/>
  <c r="L22" i="18" s="1"/>
  <c r="E22" i="18"/>
  <c r="M21" i="18"/>
  <c r="S21" i="18" s="1"/>
  <c r="K21" i="18"/>
  <c r="H21" i="18"/>
  <c r="L21" i="18" s="1"/>
  <c r="E21" i="18"/>
  <c r="R20" i="18"/>
  <c r="Q20" i="18"/>
  <c r="P20" i="18"/>
  <c r="M20" i="18"/>
  <c r="S20" i="18" s="1"/>
  <c r="K20" i="18"/>
  <c r="H20" i="18"/>
  <c r="L20" i="18" s="1"/>
  <c r="E20" i="18"/>
  <c r="R19" i="18"/>
  <c r="Q19" i="18"/>
  <c r="M19" i="18"/>
  <c r="P19" i="18" s="1"/>
  <c r="L19" i="18"/>
  <c r="K19" i="18"/>
  <c r="E19" i="18"/>
  <c r="M18" i="18"/>
  <c r="K18" i="18"/>
  <c r="H18" i="18"/>
  <c r="L18" i="18" s="1"/>
  <c r="E18" i="18"/>
  <c r="M17" i="18"/>
  <c r="S17" i="18" s="1"/>
  <c r="K17" i="18"/>
  <c r="H17" i="18"/>
  <c r="L17" i="18" s="1"/>
  <c r="E17" i="18"/>
  <c r="M16" i="18"/>
  <c r="S16" i="18" s="1"/>
  <c r="L16" i="18"/>
  <c r="K16" i="18"/>
  <c r="H16" i="18"/>
  <c r="E16" i="18"/>
  <c r="S15" i="18"/>
  <c r="M15" i="18"/>
  <c r="R15" i="18" s="1"/>
  <c r="K15" i="18"/>
  <c r="H15" i="18"/>
  <c r="L15" i="18" s="1"/>
  <c r="E15" i="18"/>
  <c r="M14" i="18"/>
  <c r="R14" i="18" s="1"/>
  <c r="L14" i="18"/>
  <c r="K14" i="18"/>
  <c r="H14" i="18"/>
  <c r="E14" i="18"/>
  <c r="S13" i="18"/>
  <c r="M13" i="18"/>
  <c r="R13" i="18" s="1"/>
  <c r="K13" i="18"/>
  <c r="H13" i="18"/>
  <c r="L13" i="18" s="1"/>
  <c r="E13" i="18"/>
  <c r="P12" i="18"/>
  <c r="M12" i="18"/>
  <c r="Q12" i="18" s="1"/>
  <c r="K12" i="18"/>
  <c r="H12" i="18"/>
  <c r="L12" i="18" s="1"/>
  <c r="E12" i="18"/>
  <c r="Q11" i="18"/>
  <c r="M11" i="18"/>
  <c r="S11" i="18" s="1"/>
  <c r="K11" i="18"/>
  <c r="H11" i="18"/>
  <c r="L11" i="18" s="1"/>
  <c r="E11" i="18"/>
  <c r="M10" i="18"/>
  <c r="R10" i="18" s="1"/>
  <c r="L10" i="18"/>
  <c r="K10" i="18"/>
  <c r="H10" i="18"/>
  <c r="E10" i="18"/>
  <c r="M9" i="18"/>
  <c r="S9" i="18" s="1"/>
  <c r="L9" i="18"/>
  <c r="K9" i="18"/>
  <c r="E9" i="18"/>
  <c r="M8" i="18"/>
  <c r="K8" i="18"/>
  <c r="H8" i="18"/>
  <c r="L8" i="18" s="1"/>
  <c r="E8" i="18"/>
  <c r="M7" i="18"/>
  <c r="S7" i="18" s="1"/>
  <c r="K7" i="18"/>
  <c r="H7" i="18"/>
  <c r="L7" i="18" s="1"/>
  <c r="E7" i="18"/>
  <c r="M6" i="18"/>
  <c r="S6" i="18" s="1"/>
  <c r="K6" i="18"/>
  <c r="H6" i="18"/>
  <c r="L6" i="18" s="1"/>
  <c r="E6" i="18"/>
  <c r="S5" i="18"/>
  <c r="M5" i="18"/>
  <c r="K5" i="18"/>
  <c r="H5" i="18"/>
  <c r="L5" i="18" s="1"/>
  <c r="E5" i="18"/>
  <c r="M4" i="18"/>
  <c r="K4" i="18"/>
  <c r="H4" i="18"/>
  <c r="L4" i="18" s="1"/>
  <c r="E4" i="18"/>
  <c r="S3" i="18"/>
  <c r="R3" i="18"/>
  <c r="M3" i="18"/>
  <c r="Q3" i="18" s="1"/>
  <c r="K3" i="18"/>
  <c r="H3" i="18"/>
  <c r="L3" i="18" s="1"/>
  <c r="E3" i="18"/>
  <c r="M2" i="18"/>
  <c r="L2" i="18"/>
  <c r="K2" i="18"/>
  <c r="E2" i="18"/>
  <c r="M392" i="16"/>
  <c r="L392" i="16"/>
  <c r="K392" i="16"/>
  <c r="H392" i="16"/>
  <c r="E392" i="16"/>
  <c r="M391" i="16"/>
  <c r="S391" i="16" s="1"/>
  <c r="K391" i="16"/>
  <c r="H391" i="16"/>
  <c r="L391" i="16" s="1"/>
  <c r="E391" i="16"/>
  <c r="M390" i="16"/>
  <c r="L390" i="16"/>
  <c r="K390" i="16"/>
  <c r="H390" i="16"/>
  <c r="E390" i="16"/>
  <c r="M389" i="16"/>
  <c r="S389" i="16" s="1"/>
  <c r="K389" i="16"/>
  <c r="H389" i="16"/>
  <c r="L389" i="16" s="1"/>
  <c r="E389" i="16"/>
  <c r="S388" i="16"/>
  <c r="M388" i="16"/>
  <c r="R388" i="16" s="1"/>
  <c r="K388" i="16"/>
  <c r="H388" i="16"/>
  <c r="L388" i="16" s="1"/>
  <c r="E388" i="16"/>
  <c r="S387" i="16"/>
  <c r="M387" i="16"/>
  <c r="R387" i="16" s="1"/>
  <c r="K387" i="16"/>
  <c r="H387" i="16"/>
  <c r="L387" i="16" s="1"/>
  <c r="E387" i="16"/>
  <c r="R386" i="16"/>
  <c r="Q386" i="16"/>
  <c r="P386" i="16"/>
  <c r="M386" i="16"/>
  <c r="S386" i="16" s="1"/>
  <c r="L386" i="16"/>
  <c r="K386" i="16"/>
  <c r="E386" i="16"/>
  <c r="M385" i="16"/>
  <c r="K385" i="16"/>
  <c r="H385" i="16"/>
  <c r="L385" i="16" s="1"/>
  <c r="E385" i="16"/>
  <c r="M384" i="16"/>
  <c r="L384" i="16"/>
  <c r="K384" i="16"/>
  <c r="H384" i="16"/>
  <c r="E384" i="16"/>
  <c r="M383" i="16"/>
  <c r="S383" i="16" s="1"/>
  <c r="K383" i="16"/>
  <c r="H383" i="16"/>
  <c r="L383" i="16" s="1"/>
  <c r="E383" i="16"/>
  <c r="R382" i="16"/>
  <c r="M382" i="16"/>
  <c r="S382" i="16" s="1"/>
  <c r="K382" i="16"/>
  <c r="H382" i="16"/>
  <c r="L382" i="16" s="1"/>
  <c r="E382" i="16"/>
  <c r="S381" i="16"/>
  <c r="Q381" i="16"/>
  <c r="M381" i="16"/>
  <c r="R381" i="16" s="1"/>
  <c r="K381" i="16"/>
  <c r="H381" i="16"/>
  <c r="L381" i="16" s="1"/>
  <c r="E381" i="16"/>
  <c r="M380" i="16"/>
  <c r="K380" i="16"/>
  <c r="H380" i="16"/>
  <c r="L380" i="16" s="1"/>
  <c r="E380" i="16"/>
  <c r="R379" i="16"/>
  <c r="P379" i="16"/>
  <c r="M379" i="16"/>
  <c r="S379" i="16" s="1"/>
  <c r="L379" i="16"/>
  <c r="K379" i="16"/>
  <c r="E379" i="16"/>
  <c r="M378" i="16"/>
  <c r="K378" i="16"/>
  <c r="H378" i="16"/>
  <c r="L378" i="16" s="1"/>
  <c r="E378" i="16"/>
  <c r="M377" i="16"/>
  <c r="S377" i="16" s="1"/>
  <c r="K377" i="16"/>
  <c r="H377" i="16"/>
  <c r="L377" i="16" s="1"/>
  <c r="E377" i="16"/>
  <c r="R376" i="16"/>
  <c r="Q376" i="16"/>
  <c r="P376" i="16"/>
  <c r="M376" i="16"/>
  <c r="S376" i="16" s="1"/>
  <c r="K376" i="16"/>
  <c r="H376" i="16"/>
  <c r="L376" i="16" s="1"/>
  <c r="E376" i="16"/>
  <c r="R375" i="16"/>
  <c r="Q375" i="16"/>
  <c r="P375" i="16"/>
  <c r="M375" i="16"/>
  <c r="S375" i="16" s="1"/>
  <c r="L375" i="16"/>
  <c r="K375" i="16"/>
  <c r="E375" i="16"/>
  <c r="M374" i="16"/>
  <c r="K374" i="16"/>
  <c r="H374" i="16"/>
  <c r="L374" i="16" s="1"/>
  <c r="E374" i="16"/>
  <c r="M373" i="16"/>
  <c r="L373" i="16"/>
  <c r="K373" i="16"/>
  <c r="E373" i="16"/>
  <c r="M372" i="16"/>
  <c r="K372" i="16"/>
  <c r="H372" i="16"/>
  <c r="L372" i="16" s="1"/>
  <c r="E372" i="16"/>
  <c r="M371" i="16"/>
  <c r="K371" i="16"/>
  <c r="H371" i="16"/>
  <c r="L371" i="16" s="1"/>
  <c r="E371" i="16"/>
  <c r="M370" i="16"/>
  <c r="L370" i="16"/>
  <c r="K370" i="16"/>
  <c r="H370" i="16"/>
  <c r="E370" i="16"/>
  <c r="R369" i="16"/>
  <c r="M369" i="16"/>
  <c r="K369" i="16"/>
  <c r="H369" i="16"/>
  <c r="L369" i="16" s="1"/>
  <c r="E369" i="16"/>
  <c r="R368" i="16"/>
  <c r="M368" i="16"/>
  <c r="Q368" i="16" s="1"/>
  <c r="L368" i="16"/>
  <c r="K368" i="16"/>
  <c r="E368" i="16"/>
  <c r="M367" i="16"/>
  <c r="K367" i="16"/>
  <c r="H367" i="16"/>
  <c r="L367" i="16" s="1"/>
  <c r="E367" i="16"/>
  <c r="M366" i="16"/>
  <c r="S366" i="16" s="1"/>
  <c r="K366" i="16"/>
  <c r="H366" i="16"/>
  <c r="L366" i="16" s="1"/>
  <c r="E366" i="16"/>
  <c r="P365" i="16"/>
  <c r="M365" i="16"/>
  <c r="Q365" i="16" s="1"/>
  <c r="L365" i="16"/>
  <c r="K365" i="16"/>
  <c r="E365" i="16"/>
  <c r="M364" i="16"/>
  <c r="K364" i="16"/>
  <c r="H364" i="16"/>
  <c r="L364" i="16" s="1"/>
  <c r="E364" i="16"/>
  <c r="M363" i="16"/>
  <c r="K363" i="16"/>
  <c r="H363" i="16"/>
  <c r="L363" i="16" s="1"/>
  <c r="E363" i="16"/>
  <c r="M362" i="16"/>
  <c r="S362" i="16" s="1"/>
  <c r="L362" i="16"/>
  <c r="K362" i="16"/>
  <c r="H362" i="16"/>
  <c r="E362" i="16"/>
  <c r="S361" i="16"/>
  <c r="Q361" i="16"/>
  <c r="M361" i="16"/>
  <c r="R361" i="16" s="1"/>
  <c r="K361" i="16"/>
  <c r="H361" i="16"/>
  <c r="L361" i="16" s="1"/>
  <c r="E361" i="16"/>
  <c r="Q360" i="16"/>
  <c r="M360" i="16"/>
  <c r="R360" i="16" s="1"/>
  <c r="K360" i="16"/>
  <c r="H360" i="16"/>
  <c r="L360" i="16" s="1"/>
  <c r="E360" i="16"/>
  <c r="M359" i="16"/>
  <c r="L359" i="16"/>
  <c r="K359" i="16"/>
  <c r="H359" i="16"/>
  <c r="E359" i="16"/>
  <c r="S358" i="16"/>
  <c r="M358" i="16"/>
  <c r="K358" i="16"/>
  <c r="H358" i="16"/>
  <c r="L358" i="16" s="1"/>
  <c r="E358" i="16"/>
  <c r="M357" i="16"/>
  <c r="K357" i="16"/>
  <c r="H357" i="16"/>
  <c r="L357" i="16" s="1"/>
  <c r="E357" i="16"/>
  <c r="Q356" i="16"/>
  <c r="P356" i="16"/>
  <c r="M356" i="16"/>
  <c r="R356" i="16" s="1"/>
  <c r="K356" i="16"/>
  <c r="H356" i="16"/>
  <c r="L356" i="16" s="1"/>
  <c r="E356" i="16"/>
  <c r="Q355" i="16"/>
  <c r="M355" i="16"/>
  <c r="R355" i="16" s="1"/>
  <c r="K355" i="16"/>
  <c r="H355" i="16"/>
  <c r="L355" i="16" s="1"/>
  <c r="E355" i="16"/>
  <c r="P354" i="16"/>
  <c r="M354" i="16"/>
  <c r="Q354" i="16" s="1"/>
  <c r="K354" i="16"/>
  <c r="H354" i="16"/>
  <c r="L354" i="16" s="1"/>
  <c r="E354" i="16"/>
  <c r="M353" i="16"/>
  <c r="K353" i="16"/>
  <c r="H353" i="16"/>
  <c r="L353" i="16" s="1"/>
  <c r="E353" i="16"/>
  <c r="R352" i="16"/>
  <c r="Q352" i="16"/>
  <c r="M352" i="16"/>
  <c r="P352" i="16" s="1"/>
  <c r="K352" i="16"/>
  <c r="H352" i="16"/>
  <c r="L352" i="16" s="1"/>
  <c r="E352" i="16"/>
  <c r="P351" i="16"/>
  <c r="M351" i="16"/>
  <c r="Q351" i="16" s="1"/>
  <c r="L351" i="16"/>
  <c r="K351" i="16"/>
  <c r="E351" i="16"/>
  <c r="M350" i="16"/>
  <c r="K350" i="16"/>
  <c r="H350" i="16"/>
  <c r="L350" i="16" s="1"/>
  <c r="E350" i="16"/>
  <c r="M349" i="16"/>
  <c r="L349" i="16"/>
  <c r="K349" i="16"/>
  <c r="H349" i="16"/>
  <c r="E349" i="16"/>
  <c r="M348" i="16"/>
  <c r="K348" i="16"/>
  <c r="H348" i="16"/>
  <c r="L348" i="16" s="1"/>
  <c r="E348" i="16"/>
  <c r="M347" i="16"/>
  <c r="Q347" i="16" s="1"/>
  <c r="L347" i="16"/>
  <c r="K347" i="16"/>
  <c r="E347" i="16"/>
  <c r="M346" i="16"/>
  <c r="K346" i="16"/>
  <c r="H346" i="16"/>
  <c r="L346" i="16" s="1"/>
  <c r="E346" i="16"/>
  <c r="M345" i="16"/>
  <c r="K345" i="16"/>
  <c r="H345" i="16"/>
  <c r="L345" i="16" s="1"/>
  <c r="E345" i="16"/>
  <c r="M344" i="16"/>
  <c r="S344" i="16" s="1"/>
  <c r="K344" i="16"/>
  <c r="H344" i="16"/>
  <c r="L344" i="16" s="1"/>
  <c r="E344" i="16"/>
  <c r="R343" i="16"/>
  <c r="M343" i="16"/>
  <c r="S343" i="16" s="1"/>
  <c r="K343" i="16"/>
  <c r="H343" i="16"/>
  <c r="L343" i="16" s="1"/>
  <c r="E343" i="16"/>
  <c r="R342" i="16"/>
  <c r="M342" i="16"/>
  <c r="S342" i="16" s="1"/>
  <c r="K342" i="16"/>
  <c r="H342" i="16"/>
  <c r="L342" i="16" s="1"/>
  <c r="E342" i="16"/>
  <c r="R341" i="16"/>
  <c r="Q341" i="16"/>
  <c r="M341" i="16"/>
  <c r="S341" i="16" s="1"/>
  <c r="L341" i="16"/>
  <c r="K341" i="16"/>
  <c r="H341" i="16"/>
  <c r="E341" i="16"/>
  <c r="M340" i="16"/>
  <c r="L340" i="16"/>
  <c r="K340" i="16"/>
  <c r="H340" i="16"/>
  <c r="E340" i="16"/>
  <c r="M339" i="16"/>
  <c r="Q339" i="16" s="1"/>
  <c r="K339" i="16"/>
  <c r="H339" i="16"/>
  <c r="L339" i="16" s="1"/>
  <c r="E339" i="16"/>
  <c r="M338" i="16"/>
  <c r="K338" i="16"/>
  <c r="H338" i="16"/>
  <c r="L338" i="16" s="1"/>
  <c r="E338" i="16"/>
  <c r="R337" i="16"/>
  <c r="Q337" i="16"/>
  <c r="M337" i="16"/>
  <c r="P337" i="16" s="1"/>
  <c r="K337" i="16"/>
  <c r="H337" i="16"/>
  <c r="L337" i="16" s="1"/>
  <c r="E337" i="16"/>
  <c r="P336" i="16"/>
  <c r="M336" i="16"/>
  <c r="Q336" i="16" s="1"/>
  <c r="K336" i="16"/>
  <c r="H336" i="16"/>
  <c r="L336" i="16" s="1"/>
  <c r="E336" i="16"/>
  <c r="M335" i="16"/>
  <c r="K335" i="16"/>
  <c r="H335" i="16"/>
  <c r="L335" i="16" s="1"/>
  <c r="E335" i="16"/>
  <c r="M334" i="16"/>
  <c r="K334" i="16"/>
  <c r="H334" i="16"/>
  <c r="L334" i="16" s="1"/>
  <c r="E334" i="16"/>
  <c r="R333" i="16"/>
  <c r="Q333" i="16"/>
  <c r="M333" i="16"/>
  <c r="S333" i="16" s="1"/>
  <c r="L333" i="16"/>
  <c r="K333" i="16"/>
  <c r="H333" i="16"/>
  <c r="E333" i="16"/>
  <c r="M332" i="16"/>
  <c r="L332" i="16"/>
  <c r="K332" i="16"/>
  <c r="E332" i="16"/>
  <c r="M331" i="16"/>
  <c r="L331" i="16"/>
  <c r="K331" i="16"/>
  <c r="H331" i="16"/>
  <c r="E331" i="16"/>
  <c r="M330" i="16"/>
  <c r="K330" i="16"/>
  <c r="H330" i="16"/>
  <c r="L330" i="16" s="1"/>
  <c r="E330" i="16"/>
  <c r="M329" i="16"/>
  <c r="R329" i="16" s="1"/>
  <c r="K329" i="16"/>
  <c r="H329" i="16"/>
  <c r="L329" i="16" s="1"/>
  <c r="E329" i="16"/>
  <c r="M328" i="16"/>
  <c r="L328" i="16"/>
  <c r="K328" i="16"/>
  <c r="H328" i="16"/>
  <c r="E328" i="16"/>
  <c r="M327" i="16"/>
  <c r="L327" i="16"/>
  <c r="K327" i="16"/>
  <c r="H327" i="16"/>
  <c r="E327" i="16"/>
  <c r="M326" i="16"/>
  <c r="K326" i="16"/>
  <c r="H326" i="16"/>
  <c r="L326" i="16" s="1"/>
  <c r="E326" i="16"/>
  <c r="M325" i="16"/>
  <c r="Q325" i="16" s="1"/>
  <c r="K325" i="16"/>
  <c r="H325" i="16"/>
  <c r="L325" i="16" s="1"/>
  <c r="E325" i="16"/>
  <c r="P324" i="16"/>
  <c r="M324" i="16"/>
  <c r="R324" i="16" s="1"/>
  <c r="K324" i="16"/>
  <c r="H324" i="16"/>
  <c r="L324" i="16" s="1"/>
  <c r="E324" i="16"/>
  <c r="R323" i="16"/>
  <c r="M323" i="16"/>
  <c r="P323" i="16" s="1"/>
  <c r="K323" i="16"/>
  <c r="H323" i="16"/>
  <c r="L323" i="16" s="1"/>
  <c r="E323" i="16"/>
  <c r="R322" i="16"/>
  <c r="P322" i="16"/>
  <c r="M322" i="16"/>
  <c r="Q322" i="16" s="1"/>
  <c r="L322" i="16"/>
  <c r="K322" i="16"/>
  <c r="E322" i="16"/>
  <c r="M321" i="16"/>
  <c r="K321" i="16"/>
  <c r="H321" i="16"/>
  <c r="L321" i="16" s="1"/>
  <c r="E321" i="16"/>
  <c r="R320" i="16"/>
  <c r="M320" i="16"/>
  <c r="S320" i="16" s="1"/>
  <c r="K320" i="16"/>
  <c r="H320" i="16"/>
  <c r="L320" i="16" s="1"/>
  <c r="E320" i="16"/>
  <c r="Q319" i="16"/>
  <c r="M319" i="16"/>
  <c r="R319" i="16" s="1"/>
  <c r="K319" i="16"/>
  <c r="H319" i="16"/>
  <c r="L319" i="16" s="1"/>
  <c r="E319" i="16"/>
  <c r="Q318" i="16"/>
  <c r="M318" i="16"/>
  <c r="R318" i="16" s="1"/>
  <c r="K318" i="16"/>
  <c r="H318" i="16"/>
  <c r="L318" i="16" s="1"/>
  <c r="E318" i="16"/>
  <c r="M317" i="16"/>
  <c r="L317" i="16"/>
  <c r="K317" i="16"/>
  <c r="H317" i="16"/>
  <c r="E317" i="16"/>
  <c r="M316" i="16"/>
  <c r="K316" i="16"/>
  <c r="H316" i="16"/>
  <c r="L316" i="16" s="1"/>
  <c r="E316" i="16"/>
  <c r="S315" i="16"/>
  <c r="Q315" i="16"/>
  <c r="P315" i="16"/>
  <c r="M315" i="16"/>
  <c r="R315" i="16" s="1"/>
  <c r="K315" i="16"/>
  <c r="H315" i="16"/>
  <c r="L315" i="16" s="1"/>
  <c r="E315" i="16"/>
  <c r="Q314" i="16"/>
  <c r="M314" i="16"/>
  <c r="P314" i="16" s="1"/>
  <c r="L314" i="16"/>
  <c r="K314" i="16"/>
  <c r="E314" i="16"/>
  <c r="M313" i="16"/>
  <c r="K313" i="16"/>
  <c r="H313" i="16"/>
  <c r="L313" i="16" s="1"/>
  <c r="E313" i="16"/>
  <c r="M312" i="16"/>
  <c r="K312" i="16"/>
  <c r="H312" i="16"/>
  <c r="L312" i="16" s="1"/>
  <c r="E312" i="16"/>
  <c r="M311" i="16"/>
  <c r="K311" i="16"/>
  <c r="H311" i="16"/>
  <c r="L311" i="16" s="1"/>
  <c r="E311" i="16"/>
  <c r="M310" i="16"/>
  <c r="S310" i="16" s="1"/>
  <c r="L310" i="16"/>
  <c r="K310" i="16"/>
  <c r="H310" i="16"/>
  <c r="E310" i="16"/>
  <c r="M309" i="16"/>
  <c r="S309" i="16" s="1"/>
  <c r="K309" i="16"/>
  <c r="H309" i="16"/>
  <c r="L309" i="16" s="1"/>
  <c r="E309" i="16"/>
  <c r="M308" i="16"/>
  <c r="S308" i="16" s="1"/>
  <c r="L308" i="16"/>
  <c r="K308" i="16"/>
  <c r="H308" i="16"/>
  <c r="E308" i="16"/>
  <c r="S307" i="16"/>
  <c r="Q307" i="16"/>
  <c r="M307" i="16"/>
  <c r="R307" i="16" s="1"/>
  <c r="K307" i="16"/>
  <c r="H307" i="16"/>
  <c r="L307" i="16" s="1"/>
  <c r="E307" i="16"/>
  <c r="M306" i="16"/>
  <c r="S306" i="16" s="1"/>
  <c r="L306" i="16"/>
  <c r="K306" i="16"/>
  <c r="H306" i="16"/>
  <c r="E306" i="16"/>
  <c r="M305" i="16"/>
  <c r="K305" i="16"/>
  <c r="H305" i="16"/>
  <c r="L305" i="16" s="1"/>
  <c r="E305" i="16"/>
  <c r="P304" i="16"/>
  <c r="M304" i="16"/>
  <c r="Q304" i="16" s="1"/>
  <c r="K304" i="16"/>
  <c r="H304" i="16"/>
  <c r="L304" i="16" s="1"/>
  <c r="E304" i="16"/>
  <c r="M303" i="16"/>
  <c r="K303" i="16"/>
  <c r="H303" i="16"/>
  <c r="L303" i="16" s="1"/>
  <c r="E303" i="16"/>
  <c r="M302" i="16"/>
  <c r="K302" i="16"/>
  <c r="H302" i="16"/>
  <c r="L302" i="16" s="1"/>
  <c r="E302" i="16"/>
  <c r="S301" i="16"/>
  <c r="Q301" i="16"/>
  <c r="P301" i="16"/>
  <c r="M301" i="16"/>
  <c r="R301" i="16" s="1"/>
  <c r="K301" i="16"/>
  <c r="H301" i="16"/>
  <c r="L301" i="16" s="1"/>
  <c r="E301" i="16"/>
  <c r="Q300" i="16"/>
  <c r="M300" i="16"/>
  <c r="P300" i="16" s="1"/>
  <c r="K300" i="16"/>
  <c r="H300" i="16"/>
  <c r="L300" i="16" s="1"/>
  <c r="E300" i="16"/>
  <c r="M299" i="16"/>
  <c r="L299" i="16"/>
  <c r="K299" i="16"/>
  <c r="H299" i="16"/>
  <c r="E299" i="16"/>
  <c r="M298" i="16"/>
  <c r="K298" i="16"/>
  <c r="H298" i="16"/>
  <c r="L298" i="16" s="1"/>
  <c r="E298" i="16"/>
  <c r="M297" i="16"/>
  <c r="K297" i="16"/>
  <c r="H297" i="16"/>
  <c r="L297" i="16" s="1"/>
  <c r="E297" i="16"/>
  <c r="P296" i="16"/>
  <c r="M296" i="16"/>
  <c r="Q296" i="16" s="1"/>
  <c r="K296" i="16"/>
  <c r="H296" i="16"/>
  <c r="L296" i="16" s="1"/>
  <c r="E296" i="16"/>
  <c r="M295" i="16"/>
  <c r="R295" i="16" s="1"/>
  <c r="L295" i="16"/>
  <c r="K295" i="16"/>
  <c r="H295" i="16"/>
  <c r="E295" i="16"/>
  <c r="S294" i="16"/>
  <c r="R294" i="16"/>
  <c r="M294" i="16"/>
  <c r="Q294" i="16" s="1"/>
  <c r="K294" i="16"/>
  <c r="H294" i="16"/>
  <c r="L294" i="16" s="1"/>
  <c r="E294" i="16"/>
  <c r="P293" i="16"/>
  <c r="M293" i="16"/>
  <c r="R293" i="16" s="1"/>
  <c r="K293" i="16"/>
  <c r="H293" i="16"/>
  <c r="L293" i="16" s="1"/>
  <c r="E293" i="16"/>
  <c r="R292" i="16"/>
  <c r="M292" i="16"/>
  <c r="P292" i="16" s="1"/>
  <c r="L292" i="16"/>
  <c r="K292" i="16"/>
  <c r="E292" i="16"/>
  <c r="M291" i="16"/>
  <c r="L291" i="16"/>
  <c r="K291" i="16"/>
  <c r="H291" i="16"/>
  <c r="E291" i="16"/>
  <c r="R290" i="16"/>
  <c r="M290" i="16"/>
  <c r="S290" i="16" s="1"/>
  <c r="K290" i="16"/>
  <c r="H290" i="16"/>
  <c r="L290" i="16" s="1"/>
  <c r="E290" i="16"/>
  <c r="Q289" i="16"/>
  <c r="M289" i="16"/>
  <c r="K289" i="16"/>
  <c r="H289" i="16"/>
  <c r="L289" i="16" s="1"/>
  <c r="E289" i="16"/>
  <c r="Q288" i="16"/>
  <c r="P288" i="16"/>
  <c r="M288" i="16"/>
  <c r="R288" i="16" s="1"/>
  <c r="K288" i="16"/>
  <c r="H288" i="16"/>
  <c r="L288" i="16" s="1"/>
  <c r="E288" i="16"/>
  <c r="M287" i="16"/>
  <c r="R287" i="16" s="1"/>
  <c r="L287" i="16"/>
  <c r="K287" i="16"/>
  <c r="H287" i="16"/>
  <c r="E287" i="16"/>
  <c r="M286" i="16"/>
  <c r="Q286" i="16" s="1"/>
  <c r="K286" i="16"/>
  <c r="H286" i="16"/>
  <c r="L286" i="16" s="1"/>
  <c r="E286" i="16"/>
  <c r="S285" i="16"/>
  <c r="Q285" i="16"/>
  <c r="M285" i="16"/>
  <c r="R285" i="16" s="1"/>
  <c r="K285" i="16"/>
  <c r="H285" i="16"/>
  <c r="L285" i="16" s="1"/>
  <c r="E285" i="16"/>
  <c r="Q284" i="16"/>
  <c r="M284" i="16"/>
  <c r="K284" i="16"/>
  <c r="H284" i="16"/>
  <c r="L284" i="16" s="1"/>
  <c r="E284" i="16"/>
  <c r="S283" i="16"/>
  <c r="M283" i="16"/>
  <c r="L283" i="16"/>
  <c r="K283" i="16"/>
  <c r="H283" i="16"/>
  <c r="E283" i="16"/>
  <c r="M282" i="16"/>
  <c r="K282" i="16"/>
  <c r="H282" i="16"/>
  <c r="L282" i="16" s="1"/>
  <c r="E282" i="16"/>
  <c r="M281" i="16"/>
  <c r="P281" i="16" s="1"/>
  <c r="K281" i="16"/>
  <c r="H281" i="16"/>
  <c r="L281" i="16" s="1"/>
  <c r="E281" i="16"/>
  <c r="Q280" i="16"/>
  <c r="P280" i="16"/>
  <c r="M280" i="16"/>
  <c r="R280" i="16" s="1"/>
  <c r="K280" i="16"/>
  <c r="H280" i="16"/>
  <c r="L280" i="16" s="1"/>
  <c r="E280" i="16"/>
  <c r="M279" i="16"/>
  <c r="L279" i="16"/>
  <c r="K279" i="16"/>
  <c r="E279" i="16"/>
  <c r="M278" i="16"/>
  <c r="L278" i="16"/>
  <c r="K278" i="16"/>
  <c r="H278" i="16"/>
  <c r="E278" i="16"/>
  <c r="M277" i="16"/>
  <c r="K277" i="16"/>
  <c r="H277" i="16"/>
  <c r="L277" i="16" s="1"/>
  <c r="E277" i="16"/>
  <c r="M276" i="16"/>
  <c r="S276" i="16" s="1"/>
  <c r="K276" i="16"/>
  <c r="H276" i="16"/>
  <c r="L276" i="16" s="1"/>
  <c r="E276" i="16"/>
  <c r="M275" i="16"/>
  <c r="S275" i="16" s="1"/>
  <c r="K275" i="16"/>
  <c r="H275" i="16"/>
  <c r="L275" i="16" s="1"/>
  <c r="E275" i="16"/>
  <c r="P274" i="16"/>
  <c r="M274" i="16"/>
  <c r="Q274" i="16" s="1"/>
  <c r="K274" i="16"/>
  <c r="H274" i="16"/>
  <c r="L274" i="16" s="1"/>
  <c r="E274" i="16"/>
  <c r="R273" i="16"/>
  <c r="M273" i="16"/>
  <c r="K273" i="16"/>
  <c r="H273" i="16"/>
  <c r="L273" i="16" s="1"/>
  <c r="E273" i="16"/>
  <c r="R272" i="16"/>
  <c r="M272" i="16"/>
  <c r="Q272" i="16" s="1"/>
  <c r="K272" i="16"/>
  <c r="H272" i="16"/>
  <c r="L272" i="16" s="1"/>
  <c r="E272" i="16"/>
  <c r="M271" i="16"/>
  <c r="K271" i="16"/>
  <c r="H271" i="16"/>
  <c r="L271" i="16" s="1"/>
  <c r="E271" i="16"/>
  <c r="R270" i="16"/>
  <c r="Q270" i="16"/>
  <c r="M270" i="16"/>
  <c r="P270" i="16" s="1"/>
  <c r="K270" i="16"/>
  <c r="H270" i="16"/>
  <c r="L270" i="16" s="1"/>
  <c r="E270" i="16"/>
  <c r="P269" i="16"/>
  <c r="M269" i="16"/>
  <c r="Q269" i="16" s="1"/>
  <c r="K269" i="16"/>
  <c r="H269" i="16"/>
  <c r="L269" i="16" s="1"/>
  <c r="E269" i="16"/>
  <c r="M268" i="16"/>
  <c r="S268" i="16" s="1"/>
  <c r="K268" i="16"/>
  <c r="H268" i="16"/>
  <c r="L268" i="16" s="1"/>
  <c r="E268" i="16"/>
  <c r="M267" i="16"/>
  <c r="L267" i="16"/>
  <c r="K267" i="16"/>
  <c r="E267" i="16"/>
  <c r="M266" i="16"/>
  <c r="K266" i="16"/>
  <c r="H266" i="16"/>
  <c r="L266" i="16" s="1"/>
  <c r="E266" i="16"/>
  <c r="M265" i="16"/>
  <c r="L265" i="16"/>
  <c r="K265" i="16"/>
  <c r="H265" i="16"/>
  <c r="E265" i="16"/>
  <c r="M264" i="16"/>
  <c r="L264" i="16"/>
  <c r="K264" i="16"/>
  <c r="H264" i="16"/>
  <c r="E264" i="16"/>
  <c r="S263" i="16"/>
  <c r="M263" i="16"/>
  <c r="R263" i="16" s="1"/>
  <c r="K263" i="16"/>
  <c r="H263" i="16"/>
  <c r="L263" i="16" s="1"/>
  <c r="E263" i="16"/>
  <c r="M262" i="16"/>
  <c r="K262" i="16"/>
  <c r="H262" i="16"/>
  <c r="L262" i="16" s="1"/>
  <c r="E262" i="16"/>
  <c r="S261" i="16"/>
  <c r="R261" i="16"/>
  <c r="P261" i="16"/>
  <c r="M261" i="16"/>
  <c r="Q261" i="16" s="1"/>
  <c r="L261" i="16"/>
  <c r="K261" i="16"/>
  <c r="H261" i="16"/>
  <c r="E261" i="16"/>
  <c r="M260" i="16"/>
  <c r="K260" i="16"/>
  <c r="H260" i="16"/>
  <c r="L260" i="16" s="1"/>
  <c r="E260" i="16"/>
  <c r="P259" i="16"/>
  <c r="M259" i="16"/>
  <c r="L259" i="16"/>
  <c r="K259" i="16"/>
  <c r="E259" i="16"/>
  <c r="M258" i="16"/>
  <c r="K258" i="16"/>
  <c r="H258" i="16"/>
  <c r="L258" i="16" s="1"/>
  <c r="E258" i="16"/>
  <c r="M257" i="16"/>
  <c r="K257" i="16"/>
  <c r="H257" i="16"/>
  <c r="L257" i="16" s="1"/>
  <c r="E257" i="16"/>
  <c r="M256" i="16"/>
  <c r="K256" i="16"/>
  <c r="H256" i="16"/>
  <c r="L256" i="16" s="1"/>
  <c r="E256" i="16"/>
  <c r="M255" i="16"/>
  <c r="S255" i="16" s="1"/>
  <c r="K255" i="16"/>
  <c r="H255" i="16"/>
  <c r="L255" i="16" s="1"/>
  <c r="E255" i="16"/>
  <c r="M254" i="16"/>
  <c r="S254" i="16" s="1"/>
  <c r="L254" i="16"/>
  <c r="K254" i="16"/>
  <c r="H254" i="16"/>
  <c r="E254" i="16"/>
  <c r="M253" i="16"/>
  <c r="S253" i="16" s="1"/>
  <c r="K253" i="16"/>
  <c r="H253" i="16"/>
  <c r="L253" i="16" s="1"/>
  <c r="E253" i="16"/>
  <c r="S252" i="16"/>
  <c r="M252" i="16"/>
  <c r="K252" i="16"/>
  <c r="H252" i="16"/>
  <c r="L252" i="16" s="1"/>
  <c r="E252" i="16"/>
  <c r="M251" i="16"/>
  <c r="K251" i="16"/>
  <c r="H251" i="16"/>
  <c r="L251" i="16" s="1"/>
  <c r="E251" i="16"/>
  <c r="S250" i="16"/>
  <c r="R250" i="16"/>
  <c r="M250" i="16"/>
  <c r="K250" i="16"/>
  <c r="H250" i="16"/>
  <c r="L250" i="16" s="1"/>
  <c r="E250" i="16"/>
  <c r="M249" i="16"/>
  <c r="S249" i="16" s="1"/>
  <c r="K249" i="16"/>
  <c r="H249" i="16"/>
  <c r="L249" i="16" s="1"/>
  <c r="E249" i="16"/>
  <c r="M248" i="16"/>
  <c r="R248" i="16" s="1"/>
  <c r="K248" i="16"/>
  <c r="H248" i="16"/>
  <c r="L248" i="16" s="1"/>
  <c r="E248" i="16"/>
  <c r="Q247" i="16"/>
  <c r="M247" i="16"/>
  <c r="R247" i="16" s="1"/>
  <c r="K247" i="16"/>
  <c r="H247" i="16"/>
  <c r="L247" i="16" s="1"/>
  <c r="E247" i="16"/>
  <c r="Q246" i="16"/>
  <c r="P246" i="16"/>
  <c r="M246" i="16"/>
  <c r="R246" i="16" s="1"/>
  <c r="K246" i="16"/>
  <c r="H246" i="16"/>
  <c r="L246" i="16" s="1"/>
  <c r="E246" i="16"/>
  <c r="M245" i="16"/>
  <c r="K245" i="16"/>
  <c r="H245" i="16"/>
  <c r="L245" i="16" s="1"/>
  <c r="E245" i="16"/>
  <c r="S244" i="16"/>
  <c r="R244" i="16"/>
  <c r="P244" i="16"/>
  <c r="M244" i="16"/>
  <c r="Q244" i="16" s="1"/>
  <c r="L244" i="16"/>
  <c r="K244" i="16"/>
  <c r="H244" i="16"/>
  <c r="E244" i="16"/>
  <c r="M243" i="16"/>
  <c r="R243" i="16" s="1"/>
  <c r="K243" i="16"/>
  <c r="H243" i="16"/>
  <c r="L243" i="16" s="1"/>
  <c r="E243" i="16"/>
  <c r="M242" i="16"/>
  <c r="S242" i="16" s="1"/>
  <c r="K242" i="16"/>
  <c r="H242" i="16"/>
  <c r="L242" i="16" s="1"/>
  <c r="E242" i="16"/>
  <c r="M241" i="16"/>
  <c r="K241" i="16"/>
  <c r="H241" i="16"/>
  <c r="L241" i="16" s="1"/>
  <c r="E241" i="16"/>
  <c r="M240" i="16"/>
  <c r="P240" i="16" s="1"/>
  <c r="K240" i="16"/>
  <c r="H240" i="16"/>
  <c r="L240" i="16" s="1"/>
  <c r="E240" i="16"/>
  <c r="M239" i="16"/>
  <c r="L239" i="16"/>
  <c r="K239" i="16"/>
  <c r="E239" i="16"/>
  <c r="M238" i="16"/>
  <c r="K238" i="16"/>
  <c r="H238" i="16"/>
  <c r="L238" i="16" s="1"/>
  <c r="E238" i="16"/>
  <c r="M237" i="16"/>
  <c r="K237" i="16"/>
  <c r="H237" i="16"/>
  <c r="L237" i="16" s="1"/>
  <c r="E237" i="16"/>
  <c r="M236" i="16"/>
  <c r="S236" i="16" s="1"/>
  <c r="K236" i="16"/>
  <c r="H236" i="16"/>
  <c r="L236" i="16" s="1"/>
  <c r="E236" i="16"/>
  <c r="M235" i="16"/>
  <c r="R235" i="16" s="1"/>
  <c r="K235" i="16"/>
  <c r="H235" i="16"/>
  <c r="L235" i="16" s="1"/>
  <c r="E235" i="16"/>
  <c r="M234" i="16"/>
  <c r="Q234" i="16" s="1"/>
  <c r="L234" i="16"/>
  <c r="K234" i="16"/>
  <c r="H234" i="16"/>
  <c r="E234" i="16"/>
  <c r="S233" i="16"/>
  <c r="R233" i="16"/>
  <c r="M233" i="16"/>
  <c r="Q233" i="16" s="1"/>
  <c r="K233" i="16"/>
  <c r="H233" i="16"/>
  <c r="L233" i="16" s="1"/>
  <c r="E233" i="16"/>
  <c r="R232" i="16"/>
  <c r="P232" i="16"/>
  <c r="M232" i="16"/>
  <c r="Q232" i="16" s="1"/>
  <c r="K232" i="16"/>
  <c r="H232" i="16"/>
  <c r="L232" i="16" s="1"/>
  <c r="E232" i="16"/>
  <c r="Q231" i="16"/>
  <c r="P231" i="16"/>
  <c r="M231" i="16"/>
  <c r="R231" i="16" s="1"/>
  <c r="K231" i="16"/>
  <c r="H231" i="16"/>
  <c r="L231" i="16" s="1"/>
  <c r="E231" i="16"/>
  <c r="Q230" i="16"/>
  <c r="M230" i="16"/>
  <c r="S230" i="16" s="1"/>
  <c r="K230" i="16"/>
  <c r="H230" i="16"/>
  <c r="L230" i="16" s="1"/>
  <c r="E230" i="16"/>
  <c r="Q229" i="16"/>
  <c r="M229" i="16"/>
  <c r="P229" i="16" s="1"/>
  <c r="K229" i="16"/>
  <c r="H229" i="16"/>
  <c r="L229" i="16" s="1"/>
  <c r="E229" i="16"/>
  <c r="R228" i="16"/>
  <c r="M228" i="16"/>
  <c r="P228" i="16" s="1"/>
  <c r="L228" i="16"/>
  <c r="K228" i="16"/>
  <c r="E228" i="16"/>
  <c r="M227" i="16"/>
  <c r="K227" i="16"/>
  <c r="H227" i="16"/>
  <c r="L227" i="16" s="1"/>
  <c r="E227" i="16"/>
  <c r="M226" i="16"/>
  <c r="K226" i="16"/>
  <c r="H226" i="16"/>
  <c r="L226" i="16" s="1"/>
  <c r="E226" i="16"/>
  <c r="M225" i="16"/>
  <c r="S225" i="16" s="1"/>
  <c r="K225" i="16"/>
  <c r="H225" i="16"/>
  <c r="L225" i="16" s="1"/>
  <c r="E225" i="16"/>
  <c r="M224" i="16"/>
  <c r="S224" i="16" s="1"/>
  <c r="K224" i="16"/>
  <c r="H224" i="16"/>
  <c r="L224" i="16" s="1"/>
  <c r="E224" i="16"/>
  <c r="M223" i="16"/>
  <c r="K223" i="16"/>
  <c r="H223" i="16"/>
  <c r="L223" i="16" s="1"/>
  <c r="E223" i="16"/>
  <c r="M222" i="16"/>
  <c r="S222" i="16" s="1"/>
  <c r="K222" i="16"/>
  <c r="H222" i="16"/>
  <c r="L222" i="16" s="1"/>
  <c r="E222" i="16"/>
  <c r="M221" i="16"/>
  <c r="S221" i="16" s="1"/>
  <c r="K221" i="16"/>
  <c r="H221" i="16"/>
  <c r="L221" i="16" s="1"/>
  <c r="E221" i="16"/>
  <c r="S220" i="16"/>
  <c r="M220" i="16"/>
  <c r="L220" i="16"/>
  <c r="K220" i="16"/>
  <c r="E220" i="16"/>
  <c r="M219" i="16"/>
  <c r="L219" i="16"/>
  <c r="K219" i="16"/>
  <c r="H219" i="16"/>
  <c r="E219" i="16"/>
  <c r="M218" i="16"/>
  <c r="S218" i="16" s="1"/>
  <c r="K218" i="16"/>
  <c r="H218" i="16"/>
  <c r="L218" i="16" s="1"/>
  <c r="E218" i="16"/>
  <c r="M217" i="16"/>
  <c r="R217" i="16" s="1"/>
  <c r="K217" i="16"/>
  <c r="H217" i="16"/>
  <c r="L217" i="16" s="1"/>
  <c r="E217" i="16"/>
  <c r="M216" i="16"/>
  <c r="L216" i="16"/>
  <c r="K216" i="16"/>
  <c r="H216" i="16"/>
  <c r="E216" i="16"/>
  <c r="M215" i="16"/>
  <c r="R215" i="16" s="1"/>
  <c r="K215" i="16"/>
  <c r="H215" i="16"/>
  <c r="L215" i="16" s="1"/>
  <c r="E215" i="16"/>
  <c r="M214" i="16"/>
  <c r="S214" i="16" s="1"/>
  <c r="K214" i="16"/>
  <c r="H214" i="16"/>
  <c r="L214" i="16" s="1"/>
  <c r="E214" i="16"/>
  <c r="P213" i="16"/>
  <c r="M213" i="16"/>
  <c r="S213" i="16" s="1"/>
  <c r="K213" i="16"/>
  <c r="H213" i="16"/>
  <c r="L213" i="16" s="1"/>
  <c r="E213" i="16"/>
  <c r="M212" i="16"/>
  <c r="P212" i="16" s="1"/>
  <c r="K212" i="16"/>
  <c r="H212" i="16"/>
  <c r="L212" i="16" s="1"/>
  <c r="E212" i="16"/>
  <c r="M211" i="16"/>
  <c r="Q211" i="16" s="1"/>
  <c r="L211" i="16"/>
  <c r="K211" i="16"/>
  <c r="H211" i="16"/>
  <c r="E211" i="16"/>
  <c r="M210" i="16"/>
  <c r="R210" i="16" s="1"/>
  <c r="L210" i="16"/>
  <c r="K210" i="16"/>
  <c r="H210" i="16"/>
  <c r="E210" i="16"/>
  <c r="M209" i="16"/>
  <c r="S209" i="16" s="1"/>
  <c r="K209" i="16"/>
  <c r="H209" i="16"/>
  <c r="L209" i="16" s="1"/>
  <c r="E209" i="16"/>
  <c r="M208" i="16"/>
  <c r="S208" i="16" s="1"/>
  <c r="K208" i="16"/>
  <c r="H208" i="16"/>
  <c r="L208" i="16" s="1"/>
  <c r="E208" i="16"/>
  <c r="R207" i="16"/>
  <c r="Q207" i="16"/>
  <c r="M207" i="16"/>
  <c r="P207" i="16" s="1"/>
  <c r="L207" i="16"/>
  <c r="K207" i="16"/>
  <c r="H207" i="16"/>
  <c r="E207" i="16"/>
  <c r="Q206" i="16"/>
  <c r="M206" i="16"/>
  <c r="R206" i="16" s="1"/>
  <c r="K206" i="16"/>
  <c r="H206" i="16"/>
  <c r="L206" i="16" s="1"/>
  <c r="E206" i="16"/>
  <c r="P205" i="16"/>
  <c r="M205" i="16"/>
  <c r="S205" i="16" s="1"/>
  <c r="K205" i="16"/>
  <c r="H205" i="16"/>
  <c r="L205" i="16" s="1"/>
  <c r="E205" i="16"/>
  <c r="M204" i="16"/>
  <c r="P204" i="16" s="1"/>
  <c r="L204" i="16"/>
  <c r="K204" i="16"/>
  <c r="E204" i="16"/>
  <c r="M203" i="16"/>
  <c r="L203" i="16"/>
  <c r="K203" i="16"/>
  <c r="H203" i="16"/>
  <c r="E203" i="16"/>
  <c r="M202" i="16"/>
  <c r="K202" i="16"/>
  <c r="H202" i="16"/>
  <c r="L202" i="16" s="1"/>
  <c r="E202" i="16"/>
  <c r="S201" i="16"/>
  <c r="M201" i="16"/>
  <c r="K201" i="16"/>
  <c r="H201" i="16"/>
  <c r="L201" i="16" s="1"/>
  <c r="E201" i="16"/>
  <c r="M200" i="16"/>
  <c r="R200" i="16" s="1"/>
  <c r="K200" i="16"/>
  <c r="H200" i="16"/>
  <c r="L200" i="16" s="1"/>
  <c r="E200" i="16"/>
  <c r="M199" i="16"/>
  <c r="S199" i="16" s="1"/>
  <c r="K199" i="16"/>
  <c r="H199" i="16"/>
  <c r="L199" i="16" s="1"/>
  <c r="E199" i="16"/>
  <c r="Q198" i="16"/>
  <c r="M198" i="16"/>
  <c r="P198" i="16" s="1"/>
  <c r="K198" i="16"/>
  <c r="H198" i="16"/>
  <c r="L198" i="16" s="1"/>
  <c r="E198" i="16"/>
  <c r="M197" i="16"/>
  <c r="P197" i="16" s="1"/>
  <c r="L197" i="16"/>
  <c r="K197" i="16"/>
  <c r="H197" i="16"/>
  <c r="E197" i="16"/>
  <c r="M196" i="16"/>
  <c r="Q196" i="16" s="1"/>
  <c r="K196" i="16"/>
  <c r="H196" i="16"/>
  <c r="L196" i="16" s="1"/>
  <c r="E196" i="16"/>
  <c r="M195" i="16"/>
  <c r="R195" i="16" s="1"/>
  <c r="K195" i="16"/>
  <c r="H195" i="16"/>
  <c r="L195" i="16" s="1"/>
  <c r="E195" i="16"/>
  <c r="M194" i="16"/>
  <c r="S194" i="16" s="1"/>
  <c r="K194" i="16"/>
  <c r="H194" i="16"/>
  <c r="L194" i="16" s="1"/>
  <c r="E194" i="16"/>
  <c r="M193" i="16"/>
  <c r="S193" i="16" s="1"/>
  <c r="L193" i="16"/>
  <c r="K193" i="16"/>
  <c r="H193" i="16"/>
  <c r="E193" i="16"/>
  <c r="S192" i="16"/>
  <c r="M192" i="16"/>
  <c r="L192" i="16"/>
  <c r="K192" i="16"/>
  <c r="E192" i="16"/>
  <c r="M191" i="16"/>
  <c r="K191" i="16"/>
  <c r="H191" i="16"/>
  <c r="L191" i="16" s="1"/>
  <c r="E191" i="16"/>
  <c r="S190" i="16"/>
  <c r="M190" i="16"/>
  <c r="K190" i="16"/>
  <c r="H190" i="16"/>
  <c r="L190" i="16" s="1"/>
  <c r="E190" i="16"/>
  <c r="M189" i="16"/>
  <c r="K189" i="16"/>
  <c r="H189" i="16"/>
  <c r="L189" i="16" s="1"/>
  <c r="E189" i="16"/>
  <c r="M188" i="16"/>
  <c r="P188" i="16" s="1"/>
  <c r="K188" i="16"/>
  <c r="H188" i="16"/>
  <c r="L188" i="16" s="1"/>
  <c r="E188" i="16"/>
  <c r="M187" i="16"/>
  <c r="Q187" i="16" s="1"/>
  <c r="K187" i="16"/>
  <c r="H187" i="16"/>
  <c r="L187" i="16" s="1"/>
  <c r="E187" i="16"/>
  <c r="M186" i="16"/>
  <c r="R186" i="16" s="1"/>
  <c r="K186" i="16"/>
  <c r="H186" i="16"/>
  <c r="L186" i="16" s="1"/>
  <c r="E186" i="16"/>
  <c r="M185" i="16"/>
  <c r="S185" i="16" s="1"/>
  <c r="K185" i="16"/>
  <c r="H185" i="16"/>
  <c r="L185" i="16" s="1"/>
  <c r="E185" i="16"/>
  <c r="S184" i="16"/>
  <c r="P184" i="16"/>
  <c r="M184" i="16"/>
  <c r="R184" i="16" s="1"/>
  <c r="L184" i="16"/>
  <c r="K184" i="16"/>
  <c r="H184" i="16"/>
  <c r="E184" i="16"/>
  <c r="R183" i="16"/>
  <c r="M183" i="16"/>
  <c r="P183" i="16" s="1"/>
  <c r="K183" i="16"/>
  <c r="H183" i="16"/>
  <c r="L183" i="16" s="1"/>
  <c r="E183" i="16"/>
  <c r="S182" i="16"/>
  <c r="P182" i="16"/>
  <c r="M182" i="16"/>
  <c r="Q182" i="16" s="1"/>
  <c r="L182" i="16"/>
  <c r="K182" i="16"/>
  <c r="E182" i="16"/>
  <c r="M181" i="16"/>
  <c r="K181" i="16"/>
  <c r="H181" i="16"/>
  <c r="L181" i="16" s="1"/>
  <c r="E181" i="16"/>
  <c r="M180" i="16"/>
  <c r="S180" i="16" s="1"/>
  <c r="K180" i="16"/>
  <c r="H180" i="16"/>
  <c r="L180" i="16" s="1"/>
  <c r="E180" i="16"/>
  <c r="M179" i="16"/>
  <c r="K179" i="16"/>
  <c r="H179" i="16"/>
  <c r="L179" i="16" s="1"/>
  <c r="E179" i="16"/>
  <c r="Q178" i="16"/>
  <c r="M178" i="16"/>
  <c r="R178" i="16" s="1"/>
  <c r="L178" i="16"/>
  <c r="K178" i="16"/>
  <c r="H178" i="16"/>
  <c r="E178" i="16"/>
  <c r="S177" i="16"/>
  <c r="M177" i="16"/>
  <c r="R177" i="16" s="1"/>
  <c r="K177" i="16"/>
  <c r="H177" i="16"/>
  <c r="L177" i="16" s="1"/>
  <c r="E177" i="16"/>
  <c r="M176" i="16"/>
  <c r="S176" i="16" s="1"/>
  <c r="K176" i="16"/>
  <c r="H176" i="16"/>
  <c r="L176" i="16" s="1"/>
  <c r="E176" i="16"/>
  <c r="Q175" i="16"/>
  <c r="M175" i="16"/>
  <c r="P175" i="16" s="1"/>
  <c r="K175" i="16"/>
  <c r="H175" i="16"/>
  <c r="L175" i="16" s="1"/>
  <c r="E175" i="16"/>
  <c r="M174" i="16"/>
  <c r="K174" i="16"/>
  <c r="H174" i="16"/>
  <c r="L174" i="16" s="1"/>
  <c r="E174" i="16"/>
  <c r="M173" i="16"/>
  <c r="R173" i="16" s="1"/>
  <c r="K173" i="16"/>
  <c r="H173" i="16"/>
  <c r="L173" i="16" s="1"/>
  <c r="E173" i="16"/>
  <c r="M172" i="16"/>
  <c r="K172" i="16"/>
  <c r="H172" i="16"/>
  <c r="L172" i="16" s="1"/>
  <c r="E172" i="16"/>
  <c r="R171" i="16"/>
  <c r="M171" i="16"/>
  <c r="P171" i="16" s="1"/>
  <c r="K171" i="16"/>
  <c r="H171" i="16"/>
  <c r="L171" i="16" s="1"/>
  <c r="E171" i="16"/>
  <c r="S170" i="16"/>
  <c r="P170" i="16"/>
  <c r="M170" i="16"/>
  <c r="Q170" i="16" s="1"/>
  <c r="K170" i="16"/>
  <c r="H170" i="16"/>
  <c r="L170" i="16" s="1"/>
  <c r="E170" i="16"/>
  <c r="S169" i="16"/>
  <c r="M169" i="16"/>
  <c r="R169" i="16" s="1"/>
  <c r="L169" i="16"/>
  <c r="K169" i="16"/>
  <c r="E169" i="16"/>
  <c r="M168" i="16"/>
  <c r="K168" i="16"/>
  <c r="H168" i="16"/>
  <c r="L168" i="16" s="1"/>
  <c r="E168" i="16"/>
  <c r="M167" i="16"/>
  <c r="K167" i="16"/>
  <c r="H167" i="16"/>
  <c r="L167" i="16" s="1"/>
  <c r="E167" i="16"/>
  <c r="R166" i="16"/>
  <c r="Q166" i="16"/>
  <c r="M166" i="16"/>
  <c r="P166" i="16" s="1"/>
  <c r="L166" i="16"/>
  <c r="K166" i="16"/>
  <c r="H166" i="16"/>
  <c r="E166" i="16"/>
  <c r="Q165" i="16"/>
  <c r="M165" i="16"/>
  <c r="R165" i="16" s="1"/>
  <c r="L165" i="16"/>
  <c r="K165" i="16"/>
  <c r="E165" i="16"/>
  <c r="M164" i="16"/>
  <c r="K164" i="16"/>
  <c r="H164" i="16"/>
  <c r="L164" i="16" s="1"/>
  <c r="E164" i="16"/>
  <c r="M163" i="16"/>
  <c r="K163" i="16"/>
  <c r="H163" i="16"/>
  <c r="L163" i="16" s="1"/>
  <c r="E163" i="16"/>
  <c r="M162" i="16"/>
  <c r="S162" i="16" s="1"/>
  <c r="L162" i="16"/>
  <c r="K162" i="16"/>
  <c r="H162" i="16"/>
  <c r="E162" i="16"/>
  <c r="S161" i="16"/>
  <c r="R161" i="16"/>
  <c r="Q161" i="16"/>
  <c r="M161" i="16"/>
  <c r="L161" i="16"/>
  <c r="K161" i="16"/>
  <c r="H161" i="16"/>
  <c r="E161" i="16"/>
  <c r="Q160" i="16"/>
  <c r="M160" i="16"/>
  <c r="R160" i="16" s="1"/>
  <c r="L160" i="16"/>
  <c r="K160" i="16"/>
  <c r="E160" i="16"/>
  <c r="M159" i="16"/>
  <c r="K159" i="16"/>
  <c r="H159" i="16"/>
  <c r="L159" i="16" s="1"/>
  <c r="E159" i="16"/>
  <c r="M158" i="16"/>
  <c r="R158" i="16" s="1"/>
  <c r="L158" i="16"/>
  <c r="K158" i="16"/>
  <c r="H158" i="16"/>
  <c r="E158" i="16"/>
  <c r="M157" i="16"/>
  <c r="S157" i="16" s="1"/>
  <c r="K157" i="16"/>
  <c r="H157" i="16"/>
  <c r="L157" i="16" s="1"/>
  <c r="E157" i="16"/>
  <c r="M156" i="16"/>
  <c r="S156" i="16" s="1"/>
  <c r="L156" i="16"/>
  <c r="K156" i="16"/>
  <c r="H156" i="16"/>
  <c r="E156" i="16"/>
  <c r="Q155" i="16"/>
  <c r="M155" i="16"/>
  <c r="S155" i="16" s="1"/>
  <c r="K155" i="16"/>
  <c r="H155" i="16"/>
  <c r="L155" i="16" s="1"/>
  <c r="E155" i="16"/>
  <c r="M154" i="16"/>
  <c r="S154" i="16" s="1"/>
  <c r="K154" i="16"/>
  <c r="H154" i="16"/>
  <c r="L154" i="16" s="1"/>
  <c r="E154" i="16"/>
  <c r="Q153" i="16"/>
  <c r="P153" i="16"/>
  <c r="M153" i="16"/>
  <c r="R153" i="16" s="1"/>
  <c r="L153" i="16"/>
  <c r="K153" i="16"/>
  <c r="E153" i="16"/>
  <c r="M152" i="16"/>
  <c r="K152" i="16"/>
  <c r="H152" i="16"/>
  <c r="L152" i="16" s="1"/>
  <c r="E152" i="16"/>
  <c r="M151" i="16"/>
  <c r="S151" i="16" s="1"/>
  <c r="K151" i="16"/>
  <c r="H151" i="16"/>
  <c r="L151" i="16" s="1"/>
  <c r="E151" i="16"/>
  <c r="M150" i="16"/>
  <c r="S150" i="16" s="1"/>
  <c r="L150" i="16"/>
  <c r="K150" i="16"/>
  <c r="E150" i="16"/>
  <c r="M149" i="16"/>
  <c r="K149" i="16"/>
  <c r="H149" i="16"/>
  <c r="L149" i="16" s="1"/>
  <c r="E149" i="16"/>
  <c r="M148" i="16"/>
  <c r="S148" i="16" s="1"/>
  <c r="L148" i="16"/>
  <c r="K148" i="16"/>
  <c r="E148" i="16"/>
  <c r="M147" i="16"/>
  <c r="L147" i="16"/>
  <c r="K147" i="16"/>
  <c r="H147" i="16"/>
  <c r="E147" i="16"/>
  <c r="R146" i="16"/>
  <c r="M146" i="16"/>
  <c r="S146" i="16" s="1"/>
  <c r="L146" i="16"/>
  <c r="K146" i="16"/>
  <c r="E146" i="16"/>
  <c r="M145" i="16"/>
  <c r="K145" i="16"/>
  <c r="H145" i="16"/>
  <c r="L145" i="16" s="1"/>
  <c r="E145" i="16"/>
  <c r="M144" i="16"/>
  <c r="K144" i="16"/>
  <c r="H144" i="16"/>
  <c r="L144" i="16" s="1"/>
  <c r="E144" i="16"/>
  <c r="M143" i="16"/>
  <c r="S143" i="16" s="1"/>
  <c r="K143" i="16"/>
  <c r="H143" i="16"/>
  <c r="L143" i="16" s="1"/>
  <c r="E143" i="16"/>
  <c r="R142" i="16"/>
  <c r="M142" i="16"/>
  <c r="S142" i="16" s="1"/>
  <c r="L142" i="16"/>
  <c r="K142" i="16"/>
  <c r="E142" i="16"/>
  <c r="M141" i="16"/>
  <c r="K141" i="16"/>
  <c r="H141" i="16"/>
  <c r="L141" i="16" s="1"/>
  <c r="E141" i="16"/>
  <c r="M140" i="16"/>
  <c r="S140" i="16" s="1"/>
  <c r="K140" i="16"/>
  <c r="H140" i="16"/>
  <c r="L140" i="16" s="1"/>
  <c r="E140" i="16"/>
  <c r="M139" i="16"/>
  <c r="S139" i="16" s="1"/>
  <c r="K139" i="16"/>
  <c r="H139" i="16"/>
  <c r="L139" i="16" s="1"/>
  <c r="E139" i="16"/>
  <c r="M138" i="16"/>
  <c r="S138" i="16" s="1"/>
  <c r="K138" i="16"/>
  <c r="H138" i="16"/>
  <c r="L138" i="16" s="1"/>
  <c r="E138" i="16"/>
  <c r="R137" i="16"/>
  <c r="Q137" i="16"/>
  <c r="P137" i="16"/>
  <c r="M137" i="16"/>
  <c r="S137" i="16" s="1"/>
  <c r="K137" i="16"/>
  <c r="H137" i="16"/>
  <c r="L137" i="16" s="1"/>
  <c r="E137" i="16"/>
  <c r="Q136" i="16"/>
  <c r="M136" i="16"/>
  <c r="P136" i="16" s="1"/>
  <c r="K136" i="16"/>
  <c r="H136" i="16"/>
  <c r="L136" i="16" s="1"/>
  <c r="E136" i="16"/>
  <c r="M135" i="16"/>
  <c r="L135" i="16"/>
  <c r="K135" i="16"/>
  <c r="H135" i="16"/>
  <c r="E135" i="16"/>
  <c r="S134" i="16"/>
  <c r="M134" i="16"/>
  <c r="R134" i="16" s="1"/>
  <c r="K134" i="16"/>
  <c r="H134" i="16"/>
  <c r="L134" i="16" s="1"/>
  <c r="E134" i="16"/>
  <c r="M133" i="16"/>
  <c r="L133" i="16"/>
  <c r="K133" i="16"/>
  <c r="E133" i="16"/>
  <c r="M132" i="16"/>
  <c r="K132" i="16"/>
  <c r="H132" i="16"/>
  <c r="L132" i="16" s="1"/>
  <c r="E132" i="16"/>
  <c r="M131" i="16"/>
  <c r="L131" i="16"/>
  <c r="K131" i="16"/>
  <c r="H131" i="16"/>
  <c r="E131" i="16"/>
  <c r="M130" i="16"/>
  <c r="S130" i="16" s="1"/>
  <c r="K130" i="16"/>
  <c r="H130" i="16"/>
  <c r="L130" i="16" s="1"/>
  <c r="E130" i="16"/>
  <c r="M129" i="16"/>
  <c r="S129" i="16" s="1"/>
  <c r="K129" i="16"/>
  <c r="H129" i="16"/>
  <c r="L129" i="16" s="1"/>
  <c r="E129" i="16"/>
  <c r="M128" i="16"/>
  <c r="L128" i="16"/>
  <c r="K128" i="16"/>
  <c r="H128" i="16"/>
  <c r="E128" i="16"/>
  <c r="S127" i="16"/>
  <c r="M127" i="16"/>
  <c r="R127" i="16" s="1"/>
  <c r="K127" i="16"/>
  <c r="H127" i="16"/>
  <c r="L127" i="16" s="1"/>
  <c r="E127" i="16"/>
  <c r="M126" i="16"/>
  <c r="S126" i="16" s="1"/>
  <c r="K126" i="16"/>
  <c r="H126" i="16"/>
  <c r="L126" i="16" s="1"/>
  <c r="E126" i="16"/>
  <c r="R125" i="16"/>
  <c r="Q125" i="16"/>
  <c r="M125" i="16"/>
  <c r="P125" i="16" s="1"/>
  <c r="L125" i="16"/>
  <c r="K125" i="16"/>
  <c r="H125" i="16"/>
  <c r="E125" i="16"/>
  <c r="R124" i="16"/>
  <c r="Q124" i="16"/>
  <c r="M124" i="16"/>
  <c r="S124" i="16" s="1"/>
  <c r="K124" i="16"/>
  <c r="H124" i="16"/>
  <c r="L124" i="16" s="1"/>
  <c r="E124" i="16"/>
  <c r="M123" i="16"/>
  <c r="K123" i="16"/>
  <c r="H123" i="16"/>
  <c r="L123" i="16" s="1"/>
  <c r="E123" i="16"/>
  <c r="S122" i="16"/>
  <c r="Q122" i="16"/>
  <c r="P122" i="16"/>
  <c r="M122" i="16"/>
  <c r="R122" i="16" s="1"/>
  <c r="K122" i="16"/>
  <c r="H122" i="16"/>
  <c r="L122" i="16" s="1"/>
  <c r="E122" i="16"/>
  <c r="Q121" i="16"/>
  <c r="M121" i="16"/>
  <c r="P121" i="16" s="1"/>
  <c r="L121" i="16"/>
  <c r="K121" i="16"/>
  <c r="E121" i="16"/>
  <c r="M120" i="16"/>
  <c r="K120" i="16"/>
  <c r="H120" i="16"/>
  <c r="L120" i="16" s="1"/>
  <c r="E120" i="16"/>
  <c r="M119" i="16"/>
  <c r="R119" i="16" s="1"/>
  <c r="K119" i="16"/>
  <c r="H119" i="16"/>
  <c r="L119" i="16" s="1"/>
  <c r="E119" i="16"/>
  <c r="M118" i="16"/>
  <c r="S118" i="16" s="1"/>
  <c r="K118" i="16"/>
  <c r="H118" i="16"/>
  <c r="L118" i="16" s="1"/>
  <c r="E118" i="16"/>
  <c r="M117" i="16"/>
  <c r="S117" i="16" s="1"/>
  <c r="L117" i="16"/>
  <c r="K117" i="16"/>
  <c r="H117" i="16"/>
  <c r="E117" i="16"/>
  <c r="S116" i="16"/>
  <c r="M116" i="16"/>
  <c r="R116" i="16" s="1"/>
  <c r="K116" i="16"/>
  <c r="H116" i="16"/>
  <c r="L116" i="16" s="1"/>
  <c r="E116" i="16"/>
  <c r="S115" i="16"/>
  <c r="M115" i="16"/>
  <c r="R115" i="16" s="1"/>
  <c r="L115" i="16"/>
  <c r="K115" i="16"/>
  <c r="E115" i="16"/>
  <c r="M114" i="16"/>
  <c r="L114" i="16"/>
  <c r="K114" i="16"/>
  <c r="H114" i="16"/>
  <c r="E114" i="16"/>
  <c r="M113" i="16"/>
  <c r="S113" i="16" s="1"/>
  <c r="K113" i="16"/>
  <c r="H113" i="16"/>
  <c r="L113" i="16" s="1"/>
  <c r="E113" i="16"/>
  <c r="M112" i="16"/>
  <c r="S112" i="16" s="1"/>
  <c r="L112" i="16"/>
  <c r="K112" i="16"/>
  <c r="H112" i="16"/>
  <c r="E112" i="16"/>
  <c r="M111" i="16"/>
  <c r="S111" i="16" s="1"/>
  <c r="L111" i="16"/>
  <c r="K111" i="16"/>
  <c r="E111" i="16"/>
  <c r="M110" i="16"/>
  <c r="K110" i="16"/>
  <c r="H110" i="16"/>
  <c r="L110" i="16" s="1"/>
  <c r="E110" i="16"/>
  <c r="S109" i="16"/>
  <c r="M109" i="16"/>
  <c r="K109" i="16"/>
  <c r="H109" i="16"/>
  <c r="L109" i="16" s="1"/>
  <c r="E109" i="16"/>
  <c r="R108" i="16"/>
  <c r="Q108" i="16"/>
  <c r="M108" i="16"/>
  <c r="S108" i="16" s="1"/>
  <c r="K108" i="16"/>
  <c r="H108" i="16"/>
  <c r="L108" i="16" s="1"/>
  <c r="E108" i="16"/>
  <c r="Q107" i="16"/>
  <c r="M107" i="16"/>
  <c r="S107" i="16" s="1"/>
  <c r="K107" i="16"/>
  <c r="H107" i="16"/>
  <c r="L107" i="16" s="1"/>
  <c r="E107" i="16"/>
  <c r="M106" i="16"/>
  <c r="S106" i="16" s="1"/>
  <c r="K106" i="16"/>
  <c r="H106" i="16"/>
  <c r="L106" i="16" s="1"/>
  <c r="E106" i="16"/>
  <c r="P105" i="16"/>
  <c r="M105" i="16"/>
  <c r="R105" i="16" s="1"/>
  <c r="K105" i="16"/>
  <c r="H105" i="16"/>
  <c r="L105" i="16" s="1"/>
  <c r="E105" i="16"/>
  <c r="R104" i="16"/>
  <c r="M104" i="16"/>
  <c r="P104" i="16" s="1"/>
  <c r="L104" i="16"/>
  <c r="K104" i="16"/>
  <c r="E104" i="16"/>
  <c r="M103" i="16"/>
  <c r="K103" i="16"/>
  <c r="H103" i="16"/>
  <c r="L103" i="16" s="1"/>
  <c r="E103" i="16"/>
  <c r="M102" i="16"/>
  <c r="S102" i="16" s="1"/>
  <c r="K102" i="16"/>
  <c r="H102" i="16"/>
  <c r="L102" i="16" s="1"/>
  <c r="E102" i="16"/>
  <c r="M101" i="16"/>
  <c r="S101" i="16" s="1"/>
  <c r="K101" i="16"/>
  <c r="H101" i="16"/>
  <c r="L101" i="16" s="1"/>
  <c r="E101" i="16"/>
  <c r="R100" i="16"/>
  <c r="Q100" i="16"/>
  <c r="M100" i="16"/>
  <c r="P100" i="16" s="1"/>
  <c r="K100" i="16"/>
  <c r="H100" i="16"/>
  <c r="L100" i="16" s="1"/>
  <c r="E100" i="16"/>
  <c r="S99" i="16"/>
  <c r="R99" i="16"/>
  <c r="Q99" i="16"/>
  <c r="M99" i="16"/>
  <c r="P99" i="16" s="1"/>
  <c r="L99" i="16"/>
  <c r="K99" i="16"/>
  <c r="E99" i="16"/>
  <c r="M98" i="16"/>
  <c r="K98" i="16"/>
  <c r="H98" i="16"/>
  <c r="L98" i="16" s="1"/>
  <c r="E98" i="16"/>
  <c r="M97" i="16"/>
  <c r="S97" i="16" s="1"/>
  <c r="L97" i="16"/>
  <c r="K97" i="16"/>
  <c r="H97" i="16"/>
  <c r="E97" i="16"/>
  <c r="M96" i="16"/>
  <c r="S96" i="16" s="1"/>
  <c r="L96" i="16"/>
  <c r="K96" i="16"/>
  <c r="H96" i="16"/>
  <c r="E96" i="16"/>
  <c r="S95" i="16"/>
  <c r="M95" i="16"/>
  <c r="R95" i="16" s="1"/>
  <c r="K95" i="16"/>
  <c r="H95" i="16"/>
  <c r="L95" i="16" s="1"/>
  <c r="E95" i="16"/>
  <c r="M94" i="16"/>
  <c r="L94" i="16"/>
  <c r="K94" i="16"/>
  <c r="H94" i="16"/>
  <c r="E94" i="16"/>
  <c r="S93" i="16"/>
  <c r="M93" i="16"/>
  <c r="R93" i="16" s="1"/>
  <c r="K93" i="16"/>
  <c r="H93" i="16"/>
  <c r="L93" i="16" s="1"/>
  <c r="E93" i="16"/>
  <c r="M92" i="16"/>
  <c r="S92" i="16" s="1"/>
  <c r="K92" i="16"/>
  <c r="H92" i="16"/>
  <c r="L92" i="16" s="1"/>
  <c r="E92" i="16"/>
  <c r="Q91" i="16"/>
  <c r="P91" i="16"/>
  <c r="M91" i="16"/>
  <c r="S91" i="16" s="1"/>
  <c r="K91" i="16"/>
  <c r="H91" i="16"/>
  <c r="L91" i="16" s="1"/>
  <c r="E91" i="16"/>
  <c r="M90" i="16"/>
  <c r="L90" i="16"/>
  <c r="K90" i="16"/>
  <c r="H90" i="16"/>
  <c r="E90" i="16"/>
  <c r="M89" i="16"/>
  <c r="S89" i="16" s="1"/>
  <c r="L89" i="16"/>
  <c r="K89" i="16"/>
  <c r="E89" i="16"/>
  <c r="M88" i="16"/>
  <c r="K88" i="16"/>
  <c r="H88" i="16"/>
  <c r="L88" i="16" s="1"/>
  <c r="E88" i="16"/>
  <c r="M87" i="16"/>
  <c r="K87" i="16"/>
  <c r="H87" i="16"/>
  <c r="L87" i="16" s="1"/>
  <c r="E87" i="16"/>
  <c r="M86" i="16"/>
  <c r="S86" i="16" s="1"/>
  <c r="K86" i="16"/>
  <c r="H86" i="16"/>
  <c r="L86" i="16" s="1"/>
  <c r="E86" i="16"/>
  <c r="M85" i="16"/>
  <c r="S85" i="16" s="1"/>
  <c r="K85" i="16"/>
  <c r="H85" i="16"/>
  <c r="L85" i="16" s="1"/>
  <c r="E85" i="16"/>
  <c r="M84" i="16"/>
  <c r="S84" i="16" s="1"/>
  <c r="K84" i="16"/>
  <c r="H84" i="16"/>
  <c r="L84" i="16" s="1"/>
  <c r="E84" i="16"/>
  <c r="M83" i="16"/>
  <c r="S83" i="16" s="1"/>
  <c r="K83" i="16"/>
  <c r="H83" i="16"/>
  <c r="L83" i="16" s="1"/>
  <c r="E83" i="16"/>
  <c r="M82" i="16"/>
  <c r="S82" i="16" s="1"/>
  <c r="K82" i="16"/>
  <c r="H82" i="16"/>
  <c r="L82" i="16" s="1"/>
  <c r="E82" i="16"/>
  <c r="Q81" i="16"/>
  <c r="M81" i="16"/>
  <c r="P81" i="16" s="1"/>
  <c r="K81" i="16"/>
  <c r="H81" i="16"/>
  <c r="L81" i="16" s="1"/>
  <c r="E81" i="16"/>
  <c r="Q80" i="16"/>
  <c r="M80" i="16"/>
  <c r="P80" i="16" s="1"/>
  <c r="K80" i="16"/>
  <c r="H80" i="16"/>
  <c r="L80" i="16" s="1"/>
  <c r="E80" i="16"/>
  <c r="S79" i="16"/>
  <c r="R79" i="16"/>
  <c r="M79" i="16"/>
  <c r="Q79" i="16" s="1"/>
  <c r="L79" i="16"/>
  <c r="K79" i="16"/>
  <c r="H79" i="16"/>
  <c r="E79" i="16"/>
  <c r="S78" i="16"/>
  <c r="M78" i="16"/>
  <c r="R78" i="16" s="1"/>
  <c r="L78" i="16"/>
  <c r="K78" i="16"/>
  <c r="E78" i="16"/>
  <c r="M77" i="16"/>
  <c r="K77" i="16"/>
  <c r="H77" i="16"/>
  <c r="L77" i="16" s="1"/>
  <c r="E77" i="16"/>
  <c r="M76" i="16"/>
  <c r="K76" i="16"/>
  <c r="H76" i="16"/>
  <c r="L76" i="16" s="1"/>
  <c r="E76" i="16"/>
  <c r="M75" i="16"/>
  <c r="S75" i="16" s="1"/>
  <c r="K75" i="16"/>
  <c r="H75" i="16"/>
  <c r="L75" i="16" s="1"/>
  <c r="E75" i="16"/>
  <c r="M74" i="16"/>
  <c r="R74" i="16" s="1"/>
  <c r="K74" i="16"/>
  <c r="H74" i="16"/>
  <c r="L74" i="16" s="1"/>
  <c r="E74" i="16"/>
  <c r="R73" i="16"/>
  <c r="M73" i="16"/>
  <c r="Q73" i="16" s="1"/>
  <c r="K73" i="16"/>
  <c r="H73" i="16"/>
  <c r="L73" i="16" s="1"/>
  <c r="E73" i="16"/>
  <c r="S72" i="16"/>
  <c r="M72" i="16"/>
  <c r="Q72" i="16" s="1"/>
  <c r="L72" i="16"/>
  <c r="K72" i="16"/>
  <c r="H72" i="16"/>
  <c r="E72" i="16"/>
  <c r="S71" i="16"/>
  <c r="M71" i="16"/>
  <c r="R71" i="16" s="1"/>
  <c r="K71" i="16"/>
  <c r="H71" i="16"/>
  <c r="L71" i="16" s="1"/>
  <c r="E71" i="16"/>
  <c r="M70" i="16"/>
  <c r="S70" i="16" s="1"/>
  <c r="K70" i="16"/>
  <c r="H70" i="16"/>
  <c r="L70" i="16" s="1"/>
  <c r="E70" i="16"/>
  <c r="P69" i="16"/>
  <c r="M69" i="16"/>
  <c r="S69" i="16" s="1"/>
  <c r="K69" i="16"/>
  <c r="H69" i="16"/>
  <c r="L69" i="16" s="1"/>
  <c r="E69" i="16"/>
  <c r="M68" i="16"/>
  <c r="R68" i="16" s="1"/>
  <c r="L68" i="16"/>
  <c r="K68" i="16"/>
  <c r="H68" i="16"/>
  <c r="E68" i="16"/>
  <c r="M67" i="16"/>
  <c r="R67" i="16" s="1"/>
  <c r="K67" i="16"/>
  <c r="H67" i="16"/>
  <c r="L67" i="16" s="1"/>
  <c r="E67" i="16"/>
  <c r="M66" i="16"/>
  <c r="L66" i="16"/>
  <c r="K66" i="16"/>
  <c r="E66" i="16"/>
  <c r="M65" i="16"/>
  <c r="K65" i="16"/>
  <c r="H65" i="16"/>
  <c r="L65" i="16" s="1"/>
  <c r="E65" i="16"/>
  <c r="M64" i="16"/>
  <c r="S64" i="16" s="1"/>
  <c r="L64" i="16"/>
  <c r="K64" i="16"/>
  <c r="H64" i="16"/>
  <c r="E64" i="16"/>
  <c r="M63" i="16"/>
  <c r="S63" i="16" s="1"/>
  <c r="K63" i="16"/>
  <c r="H63" i="16"/>
  <c r="L63" i="16" s="1"/>
  <c r="E63" i="16"/>
  <c r="M62" i="16"/>
  <c r="R62" i="16" s="1"/>
  <c r="L62" i="16"/>
  <c r="K62" i="16"/>
  <c r="H62" i="16"/>
  <c r="E62" i="16"/>
  <c r="S61" i="16"/>
  <c r="M61" i="16"/>
  <c r="R61" i="16" s="1"/>
  <c r="K61" i="16"/>
  <c r="H61" i="16"/>
  <c r="L61" i="16" s="1"/>
  <c r="E61" i="16"/>
  <c r="M60" i="16"/>
  <c r="S60" i="16" s="1"/>
  <c r="K60" i="16"/>
  <c r="H60" i="16"/>
  <c r="L60" i="16" s="1"/>
  <c r="E60" i="16"/>
  <c r="M59" i="16"/>
  <c r="K59" i="16"/>
  <c r="H59" i="16"/>
  <c r="L59" i="16" s="1"/>
  <c r="E59" i="16"/>
  <c r="M58" i="16"/>
  <c r="S58" i="16" s="1"/>
  <c r="L58" i="16"/>
  <c r="K58" i="16"/>
  <c r="E58" i="16"/>
  <c r="M57" i="16"/>
  <c r="L57" i="16"/>
  <c r="K57" i="16"/>
  <c r="H57" i="16"/>
  <c r="E57" i="16"/>
  <c r="M56" i="16"/>
  <c r="K56" i="16"/>
  <c r="H56" i="16"/>
  <c r="L56" i="16" s="1"/>
  <c r="E56" i="16"/>
  <c r="M55" i="16"/>
  <c r="S55" i="16" s="1"/>
  <c r="K55" i="16"/>
  <c r="H55" i="16"/>
  <c r="L55" i="16" s="1"/>
  <c r="E55" i="16"/>
  <c r="M54" i="16"/>
  <c r="R54" i="16" s="1"/>
  <c r="K54" i="16"/>
  <c r="H54" i="16"/>
  <c r="L54" i="16" s="1"/>
  <c r="E54" i="16"/>
  <c r="S53" i="16"/>
  <c r="M53" i="16"/>
  <c r="P53" i="16" s="1"/>
  <c r="K53" i="16"/>
  <c r="H53" i="16"/>
  <c r="L53" i="16" s="1"/>
  <c r="E53" i="16"/>
  <c r="S52" i="16"/>
  <c r="R52" i="16"/>
  <c r="M52" i="16"/>
  <c r="Q52" i="16" s="1"/>
  <c r="K52" i="16"/>
  <c r="H52" i="16"/>
  <c r="L52" i="16" s="1"/>
  <c r="E52" i="16"/>
  <c r="M51" i="16"/>
  <c r="R51" i="16" s="1"/>
  <c r="L51" i="16"/>
  <c r="K51" i="16"/>
  <c r="H51" i="16"/>
  <c r="E51" i="16"/>
  <c r="M50" i="16"/>
  <c r="S50" i="16" s="1"/>
  <c r="K50" i="16"/>
  <c r="H50" i="16"/>
  <c r="L50" i="16" s="1"/>
  <c r="E50" i="16"/>
  <c r="R49" i="16"/>
  <c r="M49" i="16"/>
  <c r="S49" i="16" s="1"/>
  <c r="L49" i="16"/>
  <c r="K49" i="16"/>
  <c r="E49" i="16"/>
  <c r="M48" i="16"/>
  <c r="K48" i="16"/>
  <c r="H48" i="16"/>
  <c r="L48" i="16" s="1"/>
  <c r="E48" i="16"/>
  <c r="M47" i="16"/>
  <c r="S47" i="16" s="1"/>
  <c r="K47" i="16"/>
  <c r="H47" i="16"/>
  <c r="L47" i="16" s="1"/>
  <c r="E47" i="16"/>
  <c r="M46" i="16"/>
  <c r="R46" i="16" s="1"/>
  <c r="K46" i="16"/>
  <c r="H46" i="16"/>
  <c r="L46" i="16" s="1"/>
  <c r="E46" i="16"/>
  <c r="M45" i="16"/>
  <c r="S45" i="16" s="1"/>
  <c r="L45" i="16"/>
  <c r="K45" i="16"/>
  <c r="H45" i="16"/>
  <c r="E45" i="16"/>
  <c r="S44" i="16"/>
  <c r="M44" i="16"/>
  <c r="R44" i="16" s="1"/>
  <c r="L44" i="16"/>
  <c r="K44" i="16"/>
  <c r="H44" i="16"/>
  <c r="E44" i="16"/>
  <c r="Q43" i="16"/>
  <c r="M43" i="16"/>
  <c r="S43" i="16" s="1"/>
  <c r="K43" i="16"/>
  <c r="H43" i="16"/>
  <c r="L43" i="16" s="1"/>
  <c r="E43" i="16"/>
  <c r="M42" i="16"/>
  <c r="R42" i="16" s="1"/>
  <c r="K42" i="16"/>
  <c r="H42" i="16"/>
  <c r="L42" i="16" s="1"/>
  <c r="E42" i="16"/>
  <c r="S41" i="16"/>
  <c r="Q41" i="16"/>
  <c r="P41" i="16"/>
  <c r="M41" i="16"/>
  <c r="R41" i="16" s="1"/>
  <c r="K41" i="16"/>
  <c r="H41" i="16"/>
  <c r="L41" i="16" s="1"/>
  <c r="E41" i="16"/>
  <c r="M40" i="16"/>
  <c r="P40" i="16" s="1"/>
  <c r="K40" i="16"/>
  <c r="H40" i="16"/>
  <c r="L40" i="16" s="1"/>
  <c r="E40" i="16"/>
  <c r="S39" i="16"/>
  <c r="R39" i="16"/>
  <c r="M39" i="16"/>
  <c r="Q39" i="16" s="1"/>
  <c r="K39" i="16"/>
  <c r="H39" i="16"/>
  <c r="L39" i="16" s="1"/>
  <c r="E39" i="16"/>
  <c r="M38" i="16"/>
  <c r="R38" i="16" s="1"/>
  <c r="L38" i="16"/>
  <c r="K38" i="16"/>
  <c r="E38" i="16"/>
  <c r="M37" i="16"/>
  <c r="L37" i="16"/>
  <c r="K37" i="16"/>
  <c r="H37" i="16"/>
  <c r="E37" i="16"/>
  <c r="M36" i="16"/>
  <c r="S36" i="16" s="1"/>
  <c r="K36" i="16"/>
  <c r="H36" i="16"/>
  <c r="L36" i="16" s="1"/>
  <c r="E36" i="16"/>
  <c r="M35" i="16"/>
  <c r="S35" i="16" s="1"/>
  <c r="K35" i="16"/>
  <c r="H35" i="16"/>
  <c r="L35" i="16" s="1"/>
  <c r="E35" i="16"/>
  <c r="M34" i="16"/>
  <c r="P34" i="16" s="1"/>
  <c r="L34" i="16"/>
  <c r="K34" i="16"/>
  <c r="H34" i="16"/>
  <c r="E34" i="16"/>
  <c r="M33" i="16"/>
  <c r="S33" i="16" s="1"/>
  <c r="K33" i="16"/>
  <c r="H33" i="16"/>
  <c r="L33" i="16" s="1"/>
  <c r="E33" i="16"/>
  <c r="R32" i="16"/>
  <c r="M32" i="16"/>
  <c r="Q32" i="16" s="1"/>
  <c r="L32" i="16"/>
  <c r="K32" i="16"/>
  <c r="H32" i="16"/>
  <c r="E32" i="16"/>
  <c r="S31" i="16"/>
  <c r="M31" i="16"/>
  <c r="P31" i="16" s="1"/>
  <c r="L31" i="16"/>
  <c r="K31" i="16"/>
  <c r="E31" i="16"/>
  <c r="M30" i="16"/>
  <c r="L30" i="16"/>
  <c r="K30" i="16"/>
  <c r="H30" i="16"/>
  <c r="E30" i="16"/>
  <c r="M29" i="16"/>
  <c r="S29" i="16" s="1"/>
  <c r="K29" i="16"/>
  <c r="H29" i="16"/>
  <c r="L29" i="16" s="1"/>
  <c r="E29" i="16"/>
  <c r="M28" i="16"/>
  <c r="S28" i="16" s="1"/>
  <c r="K28" i="16"/>
  <c r="H28" i="16"/>
  <c r="L28" i="16" s="1"/>
  <c r="E28" i="16"/>
  <c r="M27" i="16"/>
  <c r="S27" i="16" s="1"/>
  <c r="K27" i="16"/>
  <c r="H27" i="16"/>
  <c r="L27" i="16" s="1"/>
  <c r="E27" i="16"/>
  <c r="M26" i="16"/>
  <c r="S26" i="16" s="1"/>
  <c r="K26" i="16"/>
  <c r="H26" i="16"/>
  <c r="L26" i="16" s="1"/>
  <c r="E26" i="16"/>
  <c r="M25" i="16"/>
  <c r="Q25" i="16" s="1"/>
  <c r="K25" i="16"/>
  <c r="H25" i="16"/>
  <c r="L25" i="16" s="1"/>
  <c r="E25" i="16"/>
  <c r="R24" i="16"/>
  <c r="Q24" i="16"/>
  <c r="M24" i="16"/>
  <c r="P24" i="16" s="1"/>
  <c r="L24" i="16"/>
  <c r="K24" i="16"/>
  <c r="H24" i="16"/>
  <c r="E24" i="16"/>
  <c r="S23" i="16"/>
  <c r="R23" i="16"/>
  <c r="M23" i="16"/>
  <c r="P23" i="16" s="1"/>
  <c r="L23" i="16"/>
  <c r="K23" i="16"/>
  <c r="E23" i="16"/>
  <c r="M22" i="16"/>
  <c r="L22" i="16"/>
  <c r="K22" i="16"/>
  <c r="H22" i="16"/>
  <c r="E22" i="16"/>
  <c r="M21" i="16"/>
  <c r="K21" i="16"/>
  <c r="H21" i="16"/>
  <c r="L21" i="16" s="1"/>
  <c r="E21" i="16"/>
  <c r="M20" i="16"/>
  <c r="S20" i="16" s="1"/>
  <c r="K20" i="16"/>
  <c r="H20" i="16"/>
  <c r="L20" i="16" s="1"/>
  <c r="E20" i="16"/>
  <c r="M19" i="16"/>
  <c r="R19" i="16" s="1"/>
  <c r="K19" i="16"/>
  <c r="H19" i="16"/>
  <c r="L19" i="16" s="1"/>
  <c r="E19" i="16"/>
  <c r="M18" i="16"/>
  <c r="R18" i="16" s="1"/>
  <c r="K18" i="16"/>
  <c r="H18" i="16"/>
  <c r="L18" i="16" s="1"/>
  <c r="E18" i="16"/>
  <c r="Q17" i="16"/>
  <c r="P17" i="16"/>
  <c r="M17" i="16"/>
  <c r="S17" i="16" s="1"/>
  <c r="K17" i="16"/>
  <c r="H17" i="16"/>
  <c r="L17" i="16" s="1"/>
  <c r="E17" i="16"/>
  <c r="R16" i="16"/>
  <c r="Q16" i="16"/>
  <c r="M16" i="16"/>
  <c r="P16" i="16" s="1"/>
  <c r="K16" i="16"/>
  <c r="H16" i="16"/>
  <c r="L16" i="16" s="1"/>
  <c r="E16" i="16"/>
  <c r="M15" i="16"/>
  <c r="Q15" i="16" s="1"/>
  <c r="K15" i="16"/>
  <c r="H15" i="16"/>
  <c r="L15" i="16" s="1"/>
  <c r="E15" i="16"/>
  <c r="M14" i="16"/>
  <c r="R14" i="16" s="1"/>
  <c r="K14" i="16"/>
  <c r="H14" i="16"/>
  <c r="L14" i="16" s="1"/>
  <c r="E14" i="16"/>
  <c r="M13" i="16"/>
  <c r="S13" i="16" s="1"/>
  <c r="K13" i="16"/>
  <c r="H13" i="16"/>
  <c r="L13" i="16" s="1"/>
  <c r="E13" i="16"/>
  <c r="M12" i="16"/>
  <c r="S12" i="16" s="1"/>
  <c r="L12" i="16"/>
  <c r="K12" i="16"/>
  <c r="E12" i="16"/>
  <c r="M11" i="16"/>
  <c r="K11" i="16"/>
  <c r="H11" i="16"/>
  <c r="L11" i="16" s="1"/>
  <c r="E11" i="16"/>
  <c r="M10" i="16"/>
  <c r="K10" i="16"/>
  <c r="H10" i="16"/>
  <c r="L10" i="16" s="1"/>
  <c r="E10" i="16"/>
  <c r="M9" i="16"/>
  <c r="S9" i="16" s="1"/>
  <c r="K9" i="16"/>
  <c r="H9" i="16"/>
  <c r="L9" i="16" s="1"/>
  <c r="E9" i="16"/>
  <c r="M8" i="16"/>
  <c r="S8" i="16" s="1"/>
  <c r="K8" i="16"/>
  <c r="H8" i="16"/>
  <c r="L8" i="16" s="1"/>
  <c r="E8" i="16"/>
  <c r="M7" i="16"/>
  <c r="S7" i="16" s="1"/>
  <c r="K7" i="16"/>
  <c r="H7" i="16"/>
  <c r="L7" i="16" s="1"/>
  <c r="E7" i="16"/>
  <c r="M6" i="16"/>
  <c r="S6" i="16" s="1"/>
  <c r="K6" i="16"/>
  <c r="H6" i="16"/>
  <c r="L6" i="16" s="1"/>
  <c r="E6" i="16"/>
  <c r="M5" i="16"/>
  <c r="S5" i="16" s="1"/>
  <c r="L5" i="16"/>
  <c r="K5" i="16"/>
  <c r="H5" i="16"/>
  <c r="E5" i="16"/>
  <c r="M4" i="16"/>
  <c r="S4" i="16" s="1"/>
  <c r="L4" i="16"/>
  <c r="K4" i="16"/>
  <c r="H4" i="16"/>
  <c r="E4" i="16"/>
  <c r="M3" i="16"/>
  <c r="Q3" i="16" s="1"/>
  <c r="K3" i="16"/>
  <c r="H3" i="16"/>
  <c r="L3" i="16" s="1"/>
  <c r="E3" i="16"/>
  <c r="M2" i="16"/>
  <c r="R2" i="16" s="1"/>
  <c r="L2" i="16"/>
  <c r="K2" i="16"/>
  <c r="E2" i="16"/>
  <c r="M65" i="17"/>
  <c r="K65" i="17"/>
  <c r="H65" i="17"/>
  <c r="L65" i="17" s="1"/>
  <c r="E65" i="17"/>
  <c r="M64" i="17"/>
  <c r="K64" i="17"/>
  <c r="H64" i="17"/>
  <c r="L64" i="17" s="1"/>
  <c r="E64" i="17"/>
  <c r="M63" i="17"/>
  <c r="S63" i="17" s="1"/>
  <c r="K63" i="17"/>
  <c r="H63" i="17"/>
  <c r="L63" i="17" s="1"/>
  <c r="E63" i="17"/>
  <c r="M62" i="17"/>
  <c r="S62" i="17" s="1"/>
  <c r="L62" i="17"/>
  <c r="K62" i="17"/>
  <c r="H62" i="17"/>
  <c r="E62" i="17"/>
  <c r="M61" i="17"/>
  <c r="R61" i="17" s="1"/>
  <c r="K61" i="17"/>
  <c r="H61" i="17"/>
  <c r="L61" i="17" s="1"/>
  <c r="E61" i="17"/>
  <c r="M60" i="17"/>
  <c r="R60" i="17" s="1"/>
  <c r="L60" i="17"/>
  <c r="K60" i="17"/>
  <c r="H60" i="17"/>
  <c r="E60" i="17"/>
  <c r="M59" i="17"/>
  <c r="S59" i="17" s="1"/>
  <c r="K59" i="17"/>
  <c r="H59" i="17"/>
  <c r="L59" i="17" s="1"/>
  <c r="E59" i="17"/>
  <c r="R58" i="17"/>
  <c r="M58" i="17"/>
  <c r="Q58" i="17" s="1"/>
  <c r="L58" i="17"/>
  <c r="K58" i="17"/>
  <c r="H58" i="17"/>
  <c r="E58" i="17"/>
  <c r="R57" i="17"/>
  <c r="M57" i="17"/>
  <c r="S57" i="17" s="1"/>
  <c r="L57" i="17"/>
  <c r="K57" i="17"/>
  <c r="H57" i="17"/>
  <c r="E57" i="17"/>
  <c r="M56" i="17"/>
  <c r="S56" i="17" s="1"/>
  <c r="L56" i="17"/>
  <c r="K56" i="17"/>
  <c r="E56" i="17"/>
  <c r="M55" i="17"/>
  <c r="K55" i="17"/>
  <c r="H55" i="17"/>
  <c r="L55" i="17" s="1"/>
  <c r="E55" i="17"/>
  <c r="M54" i="17"/>
  <c r="S54" i="17" s="1"/>
  <c r="K54" i="17"/>
  <c r="H54" i="17"/>
  <c r="L54" i="17" s="1"/>
  <c r="E54" i="17"/>
  <c r="M53" i="17"/>
  <c r="Q53" i="17" s="1"/>
  <c r="L53" i="17"/>
  <c r="K53" i="17"/>
  <c r="H53" i="17"/>
  <c r="E53" i="17"/>
  <c r="S52" i="17"/>
  <c r="M52" i="17"/>
  <c r="R52" i="17" s="1"/>
  <c r="L52" i="17"/>
  <c r="K52" i="17"/>
  <c r="E52" i="17"/>
  <c r="M51" i="17"/>
  <c r="K51" i="17"/>
  <c r="H51" i="17"/>
  <c r="L51" i="17" s="1"/>
  <c r="F51" i="17"/>
  <c r="E51" i="17"/>
  <c r="M50" i="17"/>
  <c r="L50" i="17"/>
  <c r="K50" i="17"/>
  <c r="H50" i="17"/>
  <c r="F50" i="17"/>
  <c r="E50" i="17"/>
  <c r="M49" i="17"/>
  <c r="K49" i="17"/>
  <c r="H49" i="17"/>
  <c r="L49" i="17" s="1"/>
  <c r="F49" i="17"/>
  <c r="E49" i="17"/>
  <c r="M48" i="17"/>
  <c r="K48" i="17"/>
  <c r="H48" i="17"/>
  <c r="L48" i="17" s="1"/>
  <c r="F48" i="17"/>
  <c r="E48" i="17"/>
  <c r="M47" i="17"/>
  <c r="K47" i="17"/>
  <c r="H47" i="17"/>
  <c r="L47" i="17" s="1"/>
  <c r="F47" i="17"/>
  <c r="E47" i="17"/>
  <c r="M46" i="17"/>
  <c r="K46" i="17"/>
  <c r="H46" i="17"/>
  <c r="L46" i="17" s="1"/>
  <c r="F46" i="17"/>
  <c r="E46" i="17"/>
  <c r="M45" i="17"/>
  <c r="L45" i="17"/>
  <c r="K45" i="17"/>
  <c r="H45" i="17"/>
  <c r="F45" i="17"/>
  <c r="E45" i="17"/>
  <c r="M44" i="17"/>
  <c r="L44" i="17"/>
  <c r="K44" i="17"/>
  <c r="F44" i="17"/>
  <c r="E44" i="17"/>
  <c r="M43" i="17"/>
  <c r="K43" i="17"/>
  <c r="H43" i="17"/>
  <c r="L43" i="17" s="1"/>
  <c r="F43" i="17"/>
  <c r="E43" i="17"/>
  <c r="M42" i="17"/>
  <c r="K42" i="17"/>
  <c r="H42" i="17"/>
  <c r="L42" i="17" s="1"/>
  <c r="F42" i="17"/>
  <c r="E42" i="17"/>
  <c r="M41" i="17"/>
  <c r="K41" i="17"/>
  <c r="H41" i="17"/>
  <c r="L41" i="17" s="1"/>
  <c r="F41" i="17"/>
  <c r="E41" i="17"/>
  <c r="M40" i="17"/>
  <c r="K40" i="17"/>
  <c r="H40" i="17"/>
  <c r="L40" i="17" s="1"/>
  <c r="F40" i="17"/>
  <c r="E40" i="17"/>
  <c r="M39" i="17"/>
  <c r="L39" i="17"/>
  <c r="K39" i="17"/>
  <c r="H39" i="17"/>
  <c r="F39" i="17"/>
  <c r="E39" i="17"/>
  <c r="M38" i="17"/>
  <c r="K38" i="17"/>
  <c r="H38" i="17"/>
  <c r="L38" i="17" s="1"/>
  <c r="F38" i="17"/>
  <c r="E38" i="17"/>
  <c r="M37" i="17"/>
  <c r="L37" i="17"/>
  <c r="K37" i="17"/>
  <c r="H37" i="17"/>
  <c r="F37" i="17"/>
  <c r="E37" i="17"/>
  <c r="M36" i="17"/>
  <c r="K36" i="17"/>
  <c r="H36" i="17"/>
  <c r="L36" i="17" s="1"/>
  <c r="F36" i="17"/>
  <c r="E36" i="17"/>
  <c r="M35" i="17"/>
  <c r="L35" i="17"/>
  <c r="K35" i="17"/>
  <c r="F35" i="17"/>
  <c r="E35" i="17"/>
  <c r="M34" i="17"/>
  <c r="L34" i="17"/>
  <c r="K34" i="17"/>
  <c r="H34" i="17"/>
  <c r="E34" i="17"/>
  <c r="M33" i="17"/>
  <c r="K33" i="17"/>
  <c r="H33" i="17"/>
  <c r="L33" i="17" s="1"/>
  <c r="E33" i="17"/>
  <c r="M32" i="17"/>
  <c r="S32" i="17" s="1"/>
  <c r="K32" i="17"/>
  <c r="H32" i="17"/>
  <c r="L32" i="17" s="1"/>
  <c r="E32" i="17"/>
  <c r="M31" i="17"/>
  <c r="S31" i="17" s="1"/>
  <c r="K31" i="17"/>
  <c r="H31" i="17"/>
  <c r="L31" i="17" s="1"/>
  <c r="E31" i="17"/>
  <c r="M30" i="17"/>
  <c r="S30" i="17" s="1"/>
  <c r="K30" i="17"/>
  <c r="H30" i="17"/>
  <c r="L30" i="17" s="1"/>
  <c r="E30" i="17"/>
  <c r="S29" i="17"/>
  <c r="Q29" i="17"/>
  <c r="P29" i="17"/>
  <c r="M29" i="17"/>
  <c r="R29" i="17" s="1"/>
  <c r="K29" i="17"/>
  <c r="H29" i="17"/>
  <c r="L29" i="17" s="1"/>
  <c r="E29" i="17"/>
  <c r="M28" i="17"/>
  <c r="P28" i="17" s="1"/>
  <c r="K28" i="17"/>
  <c r="H28" i="17"/>
  <c r="L28" i="17" s="1"/>
  <c r="E28" i="17"/>
  <c r="S27" i="17"/>
  <c r="M27" i="17"/>
  <c r="Q27" i="17" s="1"/>
  <c r="L27" i="17"/>
  <c r="K27" i="17"/>
  <c r="H27" i="17"/>
  <c r="E27" i="17"/>
  <c r="M26" i="17"/>
  <c r="R26" i="17" s="1"/>
  <c r="K26" i="17"/>
  <c r="H26" i="17"/>
  <c r="L26" i="17" s="1"/>
  <c r="E26" i="17"/>
  <c r="M25" i="17"/>
  <c r="S25" i="17" s="1"/>
  <c r="K25" i="17"/>
  <c r="H25" i="17"/>
  <c r="L25" i="17" s="1"/>
  <c r="E25" i="17"/>
  <c r="Q24" i="17"/>
  <c r="P24" i="17"/>
  <c r="M24" i="17"/>
  <c r="S24" i="17" s="1"/>
  <c r="L24" i="17"/>
  <c r="K24" i="17"/>
  <c r="E24" i="17"/>
  <c r="M23" i="17"/>
  <c r="K23" i="17"/>
  <c r="H23" i="17"/>
  <c r="L23" i="17" s="1"/>
  <c r="F23" i="17"/>
  <c r="E23" i="17"/>
  <c r="M22" i="17"/>
  <c r="K22" i="17"/>
  <c r="H22" i="17"/>
  <c r="L22" i="17" s="1"/>
  <c r="F22" i="17"/>
  <c r="E22" i="17"/>
  <c r="M21" i="17"/>
  <c r="L21" i="17"/>
  <c r="K21" i="17"/>
  <c r="H21" i="17"/>
  <c r="F21" i="17"/>
  <c r="E21" i="17"/>
  <c r="M20" i="17"/>
  <c r="K20" i="17"/>
  <c r="H20" i="17"/>
  <c r="L20" i="17" s="1"/>
  <c r="F20" i="17"/>
  <c r="E20" i="17"/>
  <c r="M19" i="17"/>
  <c r="K19" i="17"/>
  <c r="H19" i="17"/>
  <c r="L19" i="17" s="1"/>
  <c r="F19" i="17"/>
  <c r="E19" i="17"/>
  <c r="M18" i="17"/>
  <c r="L18" i="17"/>
  <c r="K18" i="17"/>
  <c r="F18" i="17"/>
  <c r="E18" i="17"/>
  <c r="M17" i="17"/>
  <c r="K17" i="17"/>
  <c r="H17" i="17"/>
  <c r="L17" i="17" s="1"/>
  <c r="F17" i="17"/>
  <c r="E17" i="17"/>
  <c r="M16" i="17"/>
  <c r="L16" i="17"/>
  <c r="K16" i="17"/>
  <c r="H16" i="17"/>
  <c r="F16" i="17"/>
  <c r="E16" i="17"/>
  <c r="M15" i="17"/>
  <c r="K15" i="17"/>
  <c r="H15" i="17"/>
  <c r="L15" i="17" s="1"/>
  <c r="F15" i="17"/>
  <c r="E15" i="17"/>
  <c r="M14" i="17"/>
  <c r="K14" i="17"/>
  <c r="H14" i="17"/>
  <c r="L14" i="17" s="1"/>
  <c r="F14" i="17"/>
  <c r="E14" i="17"/>
  <c r="M13" i="17"/>
  <c r="K13" i="17"/>
  <c r="H13" i="17"/>
  <c r="L13" i="17" s="1"/>
  <c r="F13" i="17"/>
  <c r="E13" i="17"/>
  <c r="M12" i="17"/>
  <c r="K12" i="17"/>
  <c r="H12" i="17"/>
  <c r="L12" i="17" s="1"/>
  <c r="F12" i="17"/>
  <c r="E12" i="17"/>
  <c r="M11" i="17"/>
  <c r="K11" i="17"/>
  <c r="H11" i="17"/>
  <c r="L11" i="17" s="1"/>
  <c r="F11" i="17"/>
  <c r="E11" i="17"/>
  <c r="M10" i="17"/>
  <c r="L10" i="17"/>
  <c r="K10" i="17"/>
  <c r="H10" i="17"/>
  <c r="F10" i="17"/>
  <c r="E10" i="17"/>
  <c r="M9" i="17"/>
  <c r="K9" i="17"/>
  <c r="H9" i="17"/>
  <c r="L9" i="17" s="1"/>
  <c r="F9" i="17"/>
  <c r="E9" i="17"/>
  <c r="M8" i="17"/>
  <c r="L8" i="17"/>
  <c r="K8" i="17"/>
  <c r="F8" i="17"/>
  <c r="E8" i="17"/>
  <c r="M7" i="17"/>
  <c r="K7" i="17"/>
  <c r="H7" i="17"/>
  <c r="L7" i="17" s="1"/>
  <c r="F7" i="17"/>
  <c r="E7" i="17"/>
  <c r="M6" i="17"/>
  <c r="K6" i="17"/>
  <c r="H6" i="17"/>
  <c r="L6" i="17" s="1"/>
  <c r="F6" i="17"/>
  <c r="E6" i="17"/>
  <c r="M5" i="17"/>
  <c r="L5" i="17"/>
  <c r="K5" i="17"/>
  <c r="H5" i="17"/>
  <c r="F5" i="17"/>
  <c r="E5" i="17"/>
  <c r="M4" i="17"/>
  <c r="K4" i="17"/>
  <c r="H4" i="17"/>
  <c r="L4" i="17" s="1"/>
  <c r="F4" i="17"/>
  <c r="E4" i="17"/>
  <c r="M3" i="17"/>
  <c r="L3" i="17"/>
  <c r="K3" i="17"/>
  <c r="F3" i="17"/>
  <c r="E3" i="17"/>
  <c r="M2" i="17"/>
  <c r="L2" i="17"/>
  <c r="K2" i="17"/>
  <c r="F2" i="17"/>
  <c r="E2" i="17"/>
  <c r="H409" i="15"/>
  <c r="S54" i="16" l="1"/>
  <c r="S223" i="16"/>
  <c r="R223" i="16"/>
  <c r="S26" i="17"/>
  <c r="Q28" i="17"/>
  <c r="R56" i="17"/>
  <c r="S58" i="17"/>
  <c r="S61" i="17"/>
  <c r="P2" i="16"/>
  <c r="P14" i="16"/>
  <c r="P15" i="16"/>
  <c r="S32" i="16"/>
  <c r="S46" i="16"/>
  <c r="P54" i="16"/>
  <c r="Q135" i="16"/>
  <c r="S135" i="16"/>
  <c r="R135" i="16"/>
  <c r="R271" i="16"/>
  <c r="S271" i="16"/>
  <c r="Q271" i="16"/>
  <c r="P271" i="16"/>
  <c r="P4" i="18"/>
  <c r="R4" i="18"/>
  <c r="Q4" i="18"/>
  <c r="S4" i="18"/>
  <c r="S2" i="16"/>
  <c r="S14" i="16"/>
  <c r="R172" i="16"/>
  <c r="S172" i="16"/>
  <c r="Q172" i="16"/>
  <c r="P172" i="16"/>
  <c r="R174" i="16"/>
  <c r="Q174" i="16"/>
  <c r="S179" i="16"/>
  <c r="R179" i="16"/>
  <c r="R251" i="16"/>
  <c r="S251" i="16"/>
  <c r="R61" i="18"/>
  <c r="S61" i="18"/>
  <c r="R24" i="17"/>
  <c r="R28" i="17"/>
  <c r="R53" i="17"/>
  <c r="P58" i="17"/>
  <c r="Q2" i="16"/>
  <c r="Q14" i="16"/>
  <c r="R15" i="16"/>
  <c r="S16" i="16"/>
  <c r="R17" i="16"/>
  <c r="S24" i="16"/>
  <c r="Q31" i="16"/>
  <c r="P32" i="16"/>
  <c r="S38" i="16"/>
  <c r="Q40" i="16"/>
  <c r="Q44" i="16"/>
  <c r="R45" i="16"/>
  <c r="P49" i="16"/>
  <c r="S51" i="16"/>
  <c r="Q53" i="16"/>
  <c r="Q54" i="16"/>
  <c r="Q58" i="16"/>
  <c r="S59" i="16"/>
  <c r="R59" i="16"/>
  <c r="Q59" i="16"/>
  <c r="R66" i="16"/>
  <c r="Q66" i="16"/>
  <c r="P66" i="16"/>
  <c r="R128" i="16"/>
  <c r="S128" i="16"/>
  <c r="S189" i="16"/>
  <c r="R189" i="16"/>
  <c r="Q189" i="16"/>
  <c r="S216" i="16"/>
  <c r="R216" i="16"/>
  <c r="R241" i="16"/>
  <c r="Q241" i="16"/>
  <c r="P241" i="16"/>
  <c r="R353" i="16"/>
  <c r="P353" i="16"/>
  <c r="S353" i="16"/>
  <c r="Q353" i="16"/>
  <c r="R90" i="16"/>
  <c r="Q90" i="16"/>
  <c r="R94" i="16"/>
  <c r="S94" i="16"/>
  <c r="R156" i="16"/>
  <c r="Q156" i="16"/>
  <c r="P156" i="16"/>
  <c r="R44" i="18"/>
  <c r="S44" i="18"/>
  <c r="R27" i="17"/>
  <c r="S53" i="17"/>
  <c r="Q57" i="17"/>
  <c r="S60" i="17"/>
  <c r="S15" i="16"/>
  <c r="Q23" i="16"/>
  <c r="R31" i="16"/>
  <c r="R40" i="16"/>
  <c r="Q49" i="16"/>
  <c r="R53" i="16"/>
  <c r="P59" i="16"/>
  <c r="S66" i="16"/>
  <c r="S123" i="16"/>
  <c r="R123" i="16"/>
  <c r="S133" i="16"/>
  <c r="Q133" i="16"/>
  <c r="P133" i="16"/>
  <c r="R192" i="16"/>
  <c r="Q192" i="16"/>
  <c r="P192" i="16"/>
  <c r="R220" i="16"/>
  <c r="Q220" i="16"/>
  <c r="P220" i="16"/>
  <c r="S241" i="16"/>
  <c r="R245" i="16"/>
  <c r="Q245" i="16"/>
  <c r="Q262" i="16"/>
  <c r="S262" i="16"/>
  <c r="R262" i="16"/>
  <c r="Q69" i="16"/>
  <c r="S73" i="16"/>
  <c r="R80" i="16"/>
  <c r="R81" i="16"/>
  <c r="R91" i="16"/>
  <c r="S100" i="16"/>
  <c r="Q105" i="16"/>
  <c r="R107" i="16"/>
  <c r="R121" i="16"/>
  <c r="S125" i="16"/>
  <c r="R136" i="16"/>
  <c r="S153" i="16"/>
  <c r="S166" i="16"/>
  <c r="R170" i="16"/>
  <c r="R175" i="16"/>
  <c r="R182" i="16"/>
  <c r="R198" i="16"/>
  <c r="Q205" i="16"/>
  <c r="S207" i="16"/>
  <c r="Q213" i="16"/>
  <c r="S228" i="16"/>
  <c r="R229" i="16"/>
  <c r="R230" i="16"/>
  <c r="S231" i="16"/>
  <c r="S232" i="16"/>
  <c r="S246" i="16"/>
  <c r="R269" i="16"/>
  <c r="S272" i="16"/>
  <c r="Q316" i="16"/>
  <c r="P316" i="16"/>
  <c r="S316" i="16"/>
  <c r="R316" i="16"/>
  <c r="R349" i="16"/>
  <c r="S349" i="16"/>
  <c r="R390" i="16"/>
  <c r="S390" i="16"/>
  <c r="P5" i="18"/>
  <c r="R5" i="18"/>
  <c r="Q5" i="18"/>
  <c r="S62" i="16"/>
  <c r="Q68" i="16"/>
  <c r="R69" i="16"/>
  <c r="R72" i="16"/>
  <c r="S74" i="16"/>
  <c r="S80" i="16"/>
  <c r="S81" i="16"/>
  <c r="Q104" i="16"/>
  <c r="S105" i="16"/>
  <c r="S136" i="16"/>
  <c r="S158" i="16"/>
  <c r="S175" i="16"/>
  <c r="S198" i="16"/>
  <c r="R204" i="16"/>
  <c r="R205" i="16"/>
  <c r="R213" i="16"/>
  <c r="S229" i="16"/>
  <c r="S234" i="16"/>
  <c r="S269" i="16"/>
  <c r="Q283" i="16"/>
  <c r="P283" i="16"/>
  <c r="R283" i="16"/>
  <c r="Q317" i="16"/>
  <c r="R317" i="16"/>
  <c r="Q327" i="16"/>
  <c r="S327" i="16"/>
  <c r="R327" i="16"/>
  <c r="R338" i="16"/>
  <c r="P338" i="16"/>
  <c r="S338" i="16"/>
  <c r="Q338" i="16"/>
  <c r="R359" i="16"/>
  <c r="Q359" i="16"/>
  <c r="S359" i="16"/>
  <c r="P370" i="16"/>
  <c r="R370" i="16"/>
  <c r="Q370" i="16"/>
  <c r="R2" i="18"/>
  <c r="S2" i="18"/>
  <c r="R23" i="18"/>
  <c r="S23" i="18"/>
  <c r="P46" i="18"/>
  <c r="Q46" i="18"/>
  <c r="S46" i="18"/>
  <c r="R46" i="18"/>
  <c r="Q171" i="16"/>
  <c r="S178" i="16"/>
  <c r="Q183" i="16"/>
  <c r="Q184" i="16"/>
  <c r="R224" i="16"/>
  <c r="Q228" i="16"/>
  <c r="P230" i="16"/>
  <c r="R274" i="16"/>
  <c r="S274" i="16"/>
  <c r="P284" i="16"/>
  <c r="R284" i="16"/>
  <c r="Q299" i="16"/>
  <c r="P299" i="16"/>
  <c r="S299" i="16"/>
  <c r="R299" i="16"/>
  <c r="Q302" i="16"/>
  <c r="S302" i="16"/>
  <c r="R328" i="16"/>
  <c r="S328" i="16"/>
  <c r="S370" i="16"/>
  <c r="S373" i="16"/>
  <c r="R373" i="16"/>
  <c r="R380" i="16"/>
  <c r="S380" i="16"/>
  <c r="Q27" i="18"/>
  <c r="R27" i="18"/>
  <c r="S27" i="18"/>
  <c r="Q33" i="18"/>
  <c r="S33" i="18"/>
  <c r="R33" i="18"/>
  <c r="P55" i="18"/>
  <c r="Q55" i="18"/>
  <c r="R55" i="18"/>
  <c r="S280" i="16"/>
  <c r="P285" i="16"/>
  <c r="S288" i="16"/>
  <c r="Q292" i="16"/>
  <c r="S293" i="16"/>
  <c r="R296" i="16"/>
  <c r="R304" i="16"/>
  <c r="R308" i="16"/>
  <c r="S318" i="16"/>
  <c r="S319" i="16"/>
  <c r="Q323" i="16"/>
  <c r="S324" i="16"/>
  <c r="P333" i="16"/>
  <c r="S336" i="16"/>
  <c r="P341" i="16"/>
  <c r="S351" i="16"/>
  <c r="S354" i="16"/>
  <c r="S356" i="16"/>
  <c r="R362" i="16"/>
  <c r="S365" i="16"/>
  <c r="R12" i="18"/>
  <c r="S14" i="18"/>
  <c r="S28" i="18"/>
  <c r="S34" i="18"/>
  <c r="S36" i="18"/>
  <c r="R47" i="18"/>
  <c r="P40" i="18"/>
  <c r="S51" i="18"/>
  <c r="S56" i="18"/>
  <c r="S64" i="18"/>
  <c r="S296" i="16"/>
  <c r="S304" i="16"/>
  <c r="S12" i="18"/>
  <c r="S47" i="18"/>
  <c r="Q293" i="16"/>
  <c r="R300" i="16"/>
  <c r="R314" i="16"/>
  <c r="S322" i="16"/>
  <c r="Q324" i="16"/>
  <c r="R336" i="16"/>
  <c r="R351" i="16"/>
  <c r="R354" i="16"/>
  <c r="S360" i="16"/>
  <c r="R365" i="16"/>
  <c r="S368" i="16"/>
  <c r="S19" i="18"/>
  <c r="R28" i="18"/>
  <c r="R29" i="18"/>
  <c r="R39" i="18"/>
  <c r="R58" i="18"/>
  <c r="Q64" i="18"/>
  <c r="Q65" i="18"/>
  <c r="R66" i="18"/>
  <c r="R65" i="18"/>
  <c r="P57" i="18"/>
  <c r="S55" i="18"/>
  <c r="Q57" i="18"/>
  <c r="P58" i="18"/>
  <c r="R57" i="18"/>
  <c r="R41" i="18"/>
  <c r="S39" i="18"/>
  <c r="Q48" i="18"/>
  <c r="R49" i="18"/>
  <c r="R48" i="18"/>
  <c r="Q43" i="18"/>
  <c r="P44" i="18"/>
  <c r="R43" i="18"/>
  <c r="Q44" i="18"/>
  <c r="P45" i="18"/>
  <c r="P43" i="18"/>
  <c r="P9" i="18"/>
  <c r="Q21" i="18"/>
  <c r="R22" i="18"/>
  <c r="P30" i="18"/>
  <c r="Q9" i="18"/>
  <c r="P10" i="18"/>
  <c r="R21" i="18"/>
  <c r="Q30" i="18"/>
  <c r="P31" i="18"/>
  <c r="R9" i="18"/>
  <c r="Q10" i="18"/>
  <c r="P11" i="18"/>
  <c r="R30" i="18"/>
  <c r="Q31" i="18"/>
  <c r="P32" i="18"/>
  <c r="S10" i="18"/>
  <c r="R11" i="18"/>
  <c r="P13" i="18"/>
  <c r="S31" i="18"/>
  <c r="R32" i="18"/>
  <c r="Q13" i="18"/>
  <c r="Q14" i="18"/>
  <c r="Q15" i="18"/>
  <c r="R16" i="18"/>
  <c r="P27" i="18"/>
  <c r="Q6" i="18"/>
  <c r="R7" i="18"/>
  <c r="R6" i="18"/>
  <c r="P2" i="18"/>
  <c r="Q2" i="18"/>
  <c r="P3" i="18"/>
  <c r="Q387" i="16"/>
  <c r="Q388" i="16"/>
  <c r="R389" i="16"/>
  <c r="Q379" i="16"/>
  <c r="P380" i="16"/>
  <c r="Q380" i="16"/>
  <c r="R377" i="16"/>
  <c r="S326" i="16"/>
  <c r="P326" i="16"/>
  <c r="S371" i="16"/>
  <c r="R371" i="16"/>
  <c r="Q371" i="16"/>
  <c r="R148" i="16"/>
  <c r="P154" i="16"/>
  <c r="P173" i="16"/>
  <c r="P185" i="16"/>
  <c r="P186" i="16"/>
  <c r="P187" i="16"/>
  <c r="Q188" i="16"/>
  <c r="P221" i="16"/>
  <c r="Q222" i="16"/>
  <c r="S235" i="16"/>
  <c r="Q240" i="16"/>
  <c r="P242" i="16"/>
  <c r="P243" i="16"/>
  <c r="S267" i="16"/>
  <c r="R267" i="16"/>
  <c r="Q267" i="16"/>
  <c r="S273" i="16"/>
  <c r="P273" i="16"/>
  <c r="R275" i="16"/>
  <c r="R282" i="16"/>
  <c r="Q282" i="16"/>
  <c r="P282" i="16"/>
  <c r="P325" i="16"/>
  <c r="Q326" i="16"/>
  <c r="R335" i="16"/>
  <c r="Q335" i="16"/>
  <c r="P335" i="16"/>
  <c r="S357" i="16"/>
  <c r="R357" i="16"/>
  <c r="Q357" i="16"/>
  <c r="S369" i="16"/>
  <c r="P369" i="16"/>
  <c r="P371" i="16"/>
  <c r="Q154" i="16"/>
  <c r="P155" i="16"/>
  <c r="P160" i="16"/>
  <c r="P165" i="16"/>
  <c r="S171" i="16"/>
  <c r="Q173" i="16"/>
  <c r="P174" i="16"/>
  <c r="S183" i="16"/>
  <c r="Q185" i="16"/>
  <c r="Q186" i="16"/>
  <c r="R187" i="16"/>
  <c r="R188" i="16"/>
  <c r="Q204" i="16"/>
  <c r="P206" i="16"/>
  <c r="S217" i="16"/>
  <c r="Q221" i="16"/>
  <c r="R222" i="16"/>
  <c r="R234" i="16"/>
  <c r="R240" i="16"/>
  <c r="Q242" i="16"/>
  <c r="Q243" i="16"/>
  <c r="R249" i="16"/>
  <c r="P267" i="16"/>
  <c r="P272" i="16"/>
  <c r="Q273" i="16"/>
  <c r="S282" i="16"/>
  <c r="S289" i="16"/>
  <c r="R289" i="16"/>
  <c r="R306" i="16"/>
  <c r="Q306" i="16"/>
  <c r="P306" i="16"/>
  <c r="S317" i="16"/>
  <c r="P317" i="16"/>
  <c r="R325" i="16"/>
  <c r="R326" i="16"/>
  <c r="S335" i="16"/>
  <c r="S355" i="16"/>
  <c r="P355" i="16"/>
  <c r="P357" i="16"/>
  <c r="P368" i="16"/>
  <c r="Q369" i="16"/>
  <c r="S186" i="16"/>
  <c r="S188" i="16"/>
  <c r="R221" i="16"/>
  <c r="R298" i="16"/>
  <c r="Q298" i="16"/>
  <c r="P298" i="16"/>
  <c r="S334" i="16"/>
  <c r="R334" i="16"/>
  <c r="Q334" i="16"/>
  <c r="S340" i="16"/>
  <c r="P340" i="16"/>
  <c r="R155" i="16"/>
  <c r="S279" i="16"/>
  <c r="P279" i="16"/>
  <c r="S305" i="16"/>
  <c r="R305" i="16"/>
  <c r="Q305" i="16"/>
  <c r="S332" i="16"/>
  <c r="P332" i="16"/>
  <c r="P334" i="16"/>
  <c r="P339" i="16"/>
  <c r="Q340" i="16"/>
  <c r="S348" i="16"/>
  <c r="P348" i="16"/>
  <c r="Q150" i="16"/>
  <c r="R151" i="16"/>
  <c r="Q157" i="16"/>
  <c r="P158" i="16"/>
  <c r="S160" i="16"/>
  <c r="S165" i="16"/>
  <c r="P169" i="16"/>
  <c r="S174" i="16"/>
  <c r="Q176" i="16"/>
  <c r="P177" i="16"/>
  <c r="Q193" i="16"/>
  <c r="P194" i="16"/>
  <c r="P195" i="16"/>
  <c r="P196" i="16"/>
  <c r="Q197" i="16"/>
  <c r="Q199" i="16"/>
  <c r="S200" i="16"/>
  <c r="S206" i="16"/>
  <c r="Q208" i="16"/>
  <c r="P209" i="16"/>
  <c r="P210" i="16"/>
  <c r="P211" i="16"/>
  <c r="Q212" i="16"/>
  <c r="Q214" i="16"/>
  <c r="S215" i="16"/>
  <c r="S248" i="16"/>
  <c r="S259" i="16"/>
  <c r="R259" i="16"/>
  <c r="Q259" i="16"/>
  <c r="Q279" i="16"/>
  <c r="R286" i="16"/>
  <c r="S297" i="16"/>
  <c r="R297" i="16"/>
  <c r="Q297" i="16"/>
  <c r="S303" i="16"/>
  <c r="P303" i="16"/>
  <c r="P305" i="16"/>
  <c r="Q332" i="16"/>
  <c r="R339" i="16"/>
  <c r="R340" i="16"/>
  <c r="P347" i="16"/>
  <c r="Q348" i="16"/>
  <c r="R154" i="16"/>
  <c r="S187" i="16"/>
  <c r="S243" i="16"/>
  <c r="R260" i="16"/>
  <c r="Q260" i="16"/>
  <c r="P260" i="16"/>
  <c r="S325" i="16"/>
  <c r="P157" i="16"/>
  <c r="S173" i="16"/>
  <c r="P176" i="16"/>
  <c r="P193" i="16"/>
  <c r="P208" i="16"/>
  <c r="P286" i="16"/>
  <c r="S298" i="16"/>
  <c r="R150" i="16"/>
  <c r="R157" i="16"/>
  <c r="Q158" i="16"/>
  <c r="Q169" i="16"/>
  <c r="R176" i="16"/>
  <c r="Q177" i="16"/>
  <c r="R193" i="16"/>
  <c r="Q194" i="16"/>
  <c r="Q195" i="16"/>
  <c r="R196" i="16"/>
  <c r="R197" i="16"/>
  <c r="R199" i="16"/>
  <c r="R208" i="16"/>
  <c r="Q209" i="16"/>
  <c r="Q210" i="16"/>
  <c r="R211" i="16"/>
  <c r="R212" i="16"/>
  <c r="R214" i="16"/>
  <c r="R279" i="16"/>
  <c r="S286" i="16"/>
  <c r="S295" i="16"/>
  <c r="P295" i="16"/>
  <c r="P297" i="16"/>
  <c r="P302" i="16"/>
  <c r="Q303" i="16"/>
  <c r="R332" i="16"/>
  <c r="S339" i="16"/>
  <c r="R347" i="16"/>
  <c r="R348" i="16"/>
  <c r="R185" i="16"/>
  <c r="S240" i="16"/>
  <c r="R242" i="16"/>
  <c r="S281" i="16"/>
  <c r="R281" i="16"/>
  <c r="Q281" i="16"/>
  <c r="S287" i="16"/>
  <c r="P287" i="16"/>
  <c r="P150" i="16"/>
  <c r="S204" i="16"/>
  <c r="Q248" i="16"/>
  <c r="S260" i="16"/>
  <c r="Q287" i="16"/>
  <c r="R194" i="16"/>
  <c r="S195" i="16"/>
  <c r="S196" i="16"/>
  <c r="S197" i="16"/>
  <c r="R209" i="16"/>
  <c r="S210" i="16"/>
  <c r="S211" i="16"/>
  <c r="S212" i="16"/>
  <c r="P245" i="16"/>
  <c r="S245" i="16"/>
  <c r="S247" i="16"/>
  <c r="R268" i="16"/>
  <c r="Q268" i="16"/>
  <c r="P268" i="16"/>
  <c r="P294" i="16"/>
  <c r="Q295" i="16"/>
  <c r="R302" i="16"/>
  <c r="R303" i="16"/>
  <c r="S329" i="16"/>
  <c r="S347" i="16"/>
  <c r="R358" i="16"/>
  <c r="Q358" i="16"/>
  <c r="P358" i="16"/>
  <c r="S270" i="16"/>
  <c r="S284" i="16"/>
  <c r="S292" i="16"/>
  <c r="S300" i="16"/>
  <c r="S314" i="16"/>
  <c r="S323" i="16"/>
  <c r="S337" i="16"/>
  <c r="S352" i="16"/>
  <c r="P138" i="16"/>
  <c r="Q138" i="16"/>
  <c r="Q139" i="16"/>
  <c r="R140" i="16"/>
  <c r="R138" i="16"/>
  <c r="R139" i="16"/>
  <c r="R133" i="16"/>
  <c r="Q134" i="16"/>
  <c r="P135" i="16"/>
  <c r="P134" i="16"/>
  <c r="P106" i="16"/>
  <c r="P123" i="16"/>
  <c r="S104" i="16"/>
  <c r="Q106" i="16"/>
  <c r="P107" i="16"/>
  <c r="S121" i="16"/>
  <c r="Q123" i="16"/>
  <c r="P124" i="16"/>
  <c r="R106" i="16"/>
  <c r="Q111" i="16"/>
  <c r="R112" i="16"/>
  <c r="R118" i="16"/>
  <c r="S119" i="16"/>
  <c r="Q126" i="16"/>
  <c r="P127" i="16"/>
  <c r="R111" i="16"/>
  <c r="Q115" i="16"/>
  <c r="Q116" i="16"/>
  <c r="R117" i="16"/>
  <c r="R126" i="16"/>
  <c r="Q127" i="16"/>
  <c r="Q128" i="16"/>
  <c r="R129" i="16"/>
  <c r="P126" i="16"/>
  <c r="P42" i="16"/>
  <c r="Q55" i="16"/>
  <c r="P67" i="16"/>
  <c r="Q82" i="16"/>
  <c r="Q83" i="16"/>
  <c r="Q84" i="16"/>
  <c r="Q85" i="16"/>
  <c r="R86" i="16"/>
  <c r="P89" i="16"/>
  <c r="Q101" i="16"/>
  <c r="R102" i="16"/>
  <c r="S40" i="16"/>
  <c r="Q42" i="16"/>
  <c r="P43" i="16"/>
  <c r="R55" i="16"/>
  <c r="P58" i="16"/>
  <c r="Q67" i="16"/>
  <c r="P68" i="16"/>
  <c r="R82" i="16"/>
  <c r="R83" i="16"/>
  <c r="R84" i="16"/>
  <c r="R85" i="16"/>
  <c r="Q89" i="16"/>
  <c r="P90" i="16"/>
  <c r="R101" i="16"/>
  <c r="S42" i="16"/>
  <c r="R43" i="16"/>
  <c r="R58" i="16"/>
  <c r="P92" i="16"/>
  <c r="P38" i="16"/>
  <c r="Q50" i="16"/>
  <c r="P51" i="16"/>
  <c r="Q60" i="16"/>
  <c r="P61" i="16"/>
  <c r="R64" i="16"/>
  <c r="S68" i="16"/>
  <c r="Q70" i="16"/>
  <c r="P71" i="16"/>
  <c r="P78" i="16"/>
  <c r="S90" i="16"/>
  <c r="Q92" i="16"/>
  <c r="P93" i="16"/>
  <c r="R89" i="16"/>
  <c r="P50" i="16"/>
  <c r="P60" i="16"/>
  <c r="S67" i="16"/>
  <c r="Q38" i="16"/>
  <c r="P39" i="16"/>
  <c r="R50" i="16"/>
  <c r="Q51" i="16"/>
  <c r="P52" i="16"/>
  <c r="R60" i="16"/>
  <c r="Q61" i="16"/>
  <c r="Q62" i="16"/>
  <c r="R63" i="16"/>
  <c r="R70" i="16"/>
  <c r="Q71" i="16"/>
  <c r="P72" i="16"/>
  <c r="Q78" i="16"/>
  <c r="P79" i="16"/>
  <c r="R92" i="16"/>
  <c r="Q93" i="16"/>
  <c r="Q94" i="16"/>
  <c r="Q95" i="16"/>
  <c r="R96" i="16"/>
  <c r="P70" i="16"/>
  <c r="P33" i="16"/>
  <c r="P4" i="16"/>
  <c r="P26" i="16"/>
  <c r="Q33" i="16"/>
  <c r="Q4" i="16"/>
  <c r="R9" i="16"/>
  <c r="P12" i="16"/>
  <c r="S18" i="16"/>
  <c r="R25" i="16"/>
  <c r="Q26" i="16"/>
  <c r="P27" i="16"/>
  <c r="R33" i="16"/>
  <c r="Q34" i="16"/>
  <c r="R35" i="16"/>
  <c r="S3" i="16"/>
  <c r="R4" i="16"/>
  <c r="Q5" i="16"/>
  <c r="Q6" i="16"/>
  <c r="Q7" i="16"/>
  <c r="R8" i="16"/>
  <c r="Q12" i="16"/>
  <c r="P13" i="16"/>
  <c r="S25" i="16"/>
  <c r="R26" i="16"/>
  <c r="Q27" i="16"/>
  <c r="Q28" i="16"/>
  <c r="R29" i="16"/>
  <c r="R34" i="16"/>
  <c r="P25" i="16"/>
  <c r="R3" i="16"/>
  <c r="R5" i="16"/>
  <c r="R6" i="16"/>
  <c r="R7" i="16"/>
  <c r="R12" i="16"/>
  <c r="Q13" i="16"/>
  <c r="R27" i="16"/>
  <c r="R28" i="16"/>
  <c r="S34" i="16"/>
  <c r="P3" i="16"/>
  <c r="Q18" i="16"/>
  <c r="S19" i="16"/>
  <c r="P5" i="16"/>
  <c r="R13" i="16"/>
  <c r="Q30" i="17"/>
  <c r="Q31" i="17"/>
  <c r="R32" i="17"/>
  <c r="P56" i="17"/>
  <c r="S28" i="17"/>
  <c r="R30" i="17"/>
  <c r="R31" i="17"/>
  <c r="Q56" i="17"/>
  <c r="P57" i="17"/>
  <c r="P25" i="17"/>
  <c r="P59" i="17"/>
  <c r="P26" i="17"/>
  <c r="P52" i="17"/>
  <c r="P60" i="17"/>
  <c r="R25" i="17"/>
  <c r="Q26" i="17"/>
  <c r="P27" i="17"/>
  <c r="Q52" i="17"/>
  <c r="P53" i="17"/>
  <c r="R59" i="17"/>
  <c r="Q60" i="17"/>
  <c r="Q61" i="17"/>
  <c r="R62" i="17"/>
  <c r="Q25" i="17"/>
  <c r="Q59" i="17"/>
  <c r="M525" i="15"/>
  <c r="K525" i="15"/>
  <c r="H525" i="15"/>
  <c r="L525" i="15" s="1"/>
  <c r="E525" i="15"/>
  <c r="M524" i="15"/>
  <c r="K524" i="15"/>
  <c r="H524" i="15"/>
  <c r="L524" i="15" s="1"/>
  <c r="E524" i="15"/>
  <c r="M523" i="15"/>
  <c r="K523" i="15"/>
  <c r="H523" i="15"/>
  <c r="L523" i="15" s="1"/>
  <c r="E523" i="15"/>
  <c r="M522" i="15"/>
  <c r="T522" i="15" s="1"/>
  <c r="K522" i="15"/>
  <c r="H522" i="15"/>
  <c r="L522" i="15" s="1"/>
  <c r="E522" i="15"/>
  <c r="T521" i="15"/>
  <c r="M521" i="15"/>
  <c r="S521" i="15" s="1"/>
  <c r="K521" i="15"/>
  <c r="H521" i="15"/>
  <c r="L521" i="15" s="1"/>
  <c r="E521" i="15"/>
  <c r="T520" i="15"/>
  <c r="S520" i="15"/>
  <c r="M520" i="15"/>
  <c r="R520" i="15" s="1"/>
  <c r="K520" i="15"/>
  <c r="H520" i="15"/>
  <c r="L520" i="15" s="1"/>
  <c r="E520" i="15"/>
  <c r="M519" i="15"/>
  <c r="S519" i="15" s="1"/>
  <c r="L519" i="15"/>
  <c r="K519" i="15"/>
  <c r="E519" i="15"/>
  <c r="S522" i="15" l="1"/>
  <c r="R521" i="15"/>
  <c r="T519" i="15"/>
  <c r="S523" i="15"/>
  <c r="T523" i="15"/>
  <c r="Q519" i="15"/>
  <c r="T524" i="15"/>
  <c r="R519" i="15"/>
  <c r="L3" i="15"/>
  <c r="M52" i="15"/>
  <c r="T52" i="15" l="1"/>
  <c r="Q52" i="15"/>
  <c r="R52" i="15"/>
  <c r="S52" i="15"/>
  <c r="E247" i="15"/>
  <c r="K247" i="15"/>
  <c r="L247" i="15"/>
  <c r="M247" i="15"/>
  <c r="E248" i="15"/>
  <c r="H248" i="15"/>
  <c r="L248" i="15" s="1"/>
  <c r="K248" i="15"/>
  <c r="M248" i="15"/>
  <c r="E249" i="15"/>
  <c r="H249" i="15"/>
  <c r="K249" i="15"/>
  <c r="L249" i="15"/>
  <c r="M249" i="15"/>
  <c r="E250" i="15"/>
  <c r="H250" i="15"/>
  <c r="L250" i="15" s="1"/>
  <c r="K250" i="15"/>
  <c r="M250" i="15"/>
  <c r="E251" i="15"/>
  <c r="H251" i="15"/>
  <c r="L251" i="15" s="1"/>
  <c r="K251" i="15"/>
  <c r="M251" i="15"/>
  <c r="E252" i="15"/>
  <c r="H252" i="15"/>
  <c r="K252" i="15"/>
  <c r="L252" i="15"/>
  <c r="M252" i="15"/>
  <c r="E253" i="15"/>
  <c r="H253" i="15"/>
  <c r="K253" i="15"/>
  <c r="L253" i="15"/>
  <c r="M253" i="15"/>
  <c r="E254" i="15"/>
  <c r="H254" i="15"/>
  <c r="L254" i="15" s="1"/>
  <c r="K254" i="15"/>
  <c r="M254" i="15"/>
  <c r="K512" i="15"/>
  <c r="L512" i="15"/>
  <c r="M512" i="15"/>
  <c r="K513" i="15"/>
  <c r="M513" i="15"/>
  <c r="K514" i="15"/>
  <c r="M514" i="15"/>
  <c r="K515" i="15"/>
  <c r="M515" i="15"/>
  <c r="T515" i="15" s="1"/>
  <c r="K516" i="15"/>
  <c r="M516" i="15"/>
  <c r="K517" i="15"/>
  <c r="L517" i="15"/>
  <c r="M517" i="15"/>
  <c r="K518" i="15"/>
  <c r="M518" i="15"/>
  <c r="E512" i="15"/>
  <c r="E513" i="15"/>
  <c r="E514" i="15"/>
  <c r="E515" i="15"/>
  <c r="E516" i="15"/>
  <c r="E517" i="15"/>
  <c r="E518" i="15"/>
  <c r="H514" i="15"/>
  <c r="L514" i="15" s="1"/>
  <c r="H515" i="15"/>
  <c r="L515" i="15" s="1"/>
  <c r="H516" i="15"/>
  <c r="L516" i="15" s="1"/>
  <c r="H517" i="15"/>
  <c r="H518" i="15"/>
  <c r="L518" i="15" s="1"/>
  <c r="H513" i="15"/>
  <c r="L513" i="15" s="1"/>
  <c r="K505" i="15"/>
  <c r="L505" i="15"/>
  <c r="M505" i="15"/>
  <c r="K506" i="15"/>
  <c r="M506" i="15"/>
  <c r="K507" i="15"/>
  <c r="M507" i="15"/>
  <c r="K508" i="15"/>
  <c r="M508" i="15"/>
  <c r="K509" i="15"/>
  <c r="M509" i="15"/>
  <c r="T509" i="15" s="1"/>
  <c r="K510" i="15"/>
  <c r="M510" i="15"/>
  <c r="K511" i="15"/>
  <c r="M511" i="15"/>
  <c r="E505" i="15"/>
  <c r="E506" i="15"/>
  <c r="E507" i="15"/>
  <c r="E508" i="15"/>
  <c r="E509" i="15"/>
  <c r="E510" i="15"/>
  <c r="E511" i="15"/>
  <c r="H507" i="15"/>
  <c r="L507" i="15" s="1"/>
  <c r="H508" i="15"/>
  <c r="L508" i="15" s="1"/>
  <c r="H509" i="15"/>
  <c r="L509" i="15" s="1"/>
  <c r="H510" i="15"/>
  <c r="L510" i="15" s="1"/>
  <c r="H511" i="15"/>
  <c r="L511" i="15" s="1"/>
  <c r="H506" i="15"/>
  <c r="L506" i="15" s="1"/>
  <c r="K498" i="15"/>
  <c r="K499" i="15"/>
  <c r="K500" i="15"/>
  <c r="K501" i="15"/>
  <c r="K502" i="15"/>
  <c r="K503" i="15"/>
  <c r="K504" i="15"/>
  <c r="K496" i="15"/>
  <c r="L496" i="15"/>
  <c r="M496" i="15"/>
  <c r="K497" i="15"/>
  <c r="M497" i="15"/>
  <c r="M498" i="15"/>
  <c r="M499" i="15"/>
  <c r="M500" i="15"/>
  <c r="M501" i="15"/>
  <c r="M502" i="15"/>
  <c r="M503" i="15"/>
  <c r="T503" i="15" s="1"/>
  <c r="M504" i="15"/>
  <c r="E496" i="15"/>
  <c r="E497" i="15"/>
  <c r="E498" i="15"/>
  <c r="E499" i="15"/>
  <c r="E500" i="15"/>
  <c r="E501" i="15"/>
  <c r="E502" i="15"/>
  <c r="E503" i="15"/>
  <c r="E504" i="15"/>
  <c r="H498" i="15"/>
  <c r="L498" i="15" s="1"/>
  <c r="H499" i="15"/>
  <c r="L499" i="15" s="1"/>
  <c r="H500" i="15"/>
  <c r="L500" i="15" s="1"/>
  <c r="H501" i="15"/>
  <c r="L501" i="15" s="1"/>
  <c r="H502" i="15"/>
  <c r="L502" i="15" s="1"/>
  <c r="H503" i="15"/>
  <c r="L503" i="15" s="1"/>
  <c r="H504" i="15"/>
  <c r="L504" i="15" s="1"/>
  <c r="H497" i="15"/>
  <c r="L497" i="15" s="1"/>
  <c r="K492" i="15"/>
  <c r="L492" i="15"/>
  <c r="M492" i="15"/>
  <c r="K493" i="15"/>
  <c r="M493" i="15"/>
  <c r="K494" i="15"/>
  <c r="M494" i="15"/>
  <c r="K495" i="15"/>
  <c r="M495" i="15"/>
  <c r="E492" i="15"/>
  <c r="E493" i="15"/>
  <c r="E494" i="15"/>
  <c r="E495" i="15"/>
  <c r="H494" i="15"/>
  <c r="L494" i="15" s="1"/>
  <c r="H495" i="15"/>
  <c r="L495" i="15" s="1"/>
  <c r="H493" i="15"/>
  <c r="L493" i="15" s="1"/>
  <c r="E488" i="15"/>
  <c r="E489" i="15"/>
  <c r="E490" i="15"/>
  <c r="E491" i="15"/>
  <c r="K488" i="15"/>
  <c r="L488" i="15"/>
  <c r="M488" i="15"/>
  <c r="K489" i="15"/>
  <c r="M489" i="15"/>
  <c r="K490" i="15"/>
  <c r="M490" i="15"/>
  <c r="K491" i="15"/>
  <c r="L491" i="15"/>
  <c r="M491" i="15"/>
  <c r="H490" i="15"/>
  <c r="L490" i="15" s="1"/>
  <c r="H491" i="15"/>
  <c r="H489" i="15"/>
  <c r="L489" i="15" s="1"/>
  <c r="M487" i="15"/>
  <c r="M486" i="15"/>
  <c r="K486" i="15"/>
  <c r="K487" i="15"/>
  <c r="E486" i="15"/>
  <c r="E487" i="15"/>
  <c r="L486" i="15"/>
  <c r="L487" i="15"/>
  <c r="H487" i="15"/>
  <c r="K481" i="15"/>
  <c r="L481" i="15"/>
  <c r="M481" i="15"/>
  <c r="K482" i="15"/>
  <c r="M482" i="15"/>
  <c r="K483" i="15"/>
  <c r="M483" i="15"/>
  <c r="K484" i="15"/>
  <c r="M484" i="15"/>
  <c r="K485" i="15"/>
  <c r="M485" i="15"/>
  <c r="E481" i="15"/>
  <c r="E482" i="15"/>
  <c r="E483" i="15"/>
  <c r="E484" i="15"/>
  <c r="E485" i="15"/>
  <c r="H483" i="15"/>
  <c r="L483" i="15" s="1"/>
  <c r="H484" i="15"/>
  <c r="L484" i="15" s="1"/>
  <c r="H485" i="15"/>
  <c r="L485" i="15" s="1"/>
  <c r="H482" i="15"/>
  <c r="L482" i="15" s="1"/>
  <c r="K478" i="15"/>
  <c r="L478" i="15"/>
  <c r="M478" i="15"/>
  <c r="K479" i="15"/>
  <c r="M479" i="15"/>
  <c r="T479" i="15" s="1"/>
  <c r="K480" i="15"/>
  <c r="M480" i="15"/>
  <c r="E478" i="15"/>
  <c r="E479" i="15"/>
  <c r="E480" i="15"/>
  <c r="H480" i="15"/>
  <c r="L480" i="15" s="1"/>
  <c r="H479" i="15"/>
  <c r="L479" i="15" s="1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L464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H466" i="15"/>
  <c r="L466" i="15" s="1"/>
  <c r="H467" i="15"/>
  <c r="L467" i="15" s="1"/>
  <c r="H468" i="15"/>
  <c r="L468" i="15" s="1"/>
  <c r="H469" i="15"/>
  <c r="L469" i="15" s="1"/>
  <c r="H470" i="15"/>
  <c r="L470" i="15" s="1"/>
  <c r="H471" i="15"/>
  <c r="L471" i="15" s="1"/>
  <c r="H472" i="15"/>
  <c r="L472" i="15" s="1"/>
  <c r="H473" i="15"/>
  <c r="L473" i="15" s="1"/>
  <c r="H474" i="15"/>
  <c r="L474" i="15" s="1"/>
  <c r="H475" i="15"/>
  <c r="L475" i="15" s="1"/>
  <c r="H476" i="15"/>
  <c r="L476" i="15" s="1"/>
  <c r="H477" i="15"/>
  <c r="L477" i="15" s="1"/>
  <c r="H465" i="15"/>
  <c r="L465" i="15" s="1"/>
  <c r="H462" i="15"/>
  <c r="L462" i="15" s="1"/>
  <c r="H463" i="15"/>
  <c r="L463" i="15" s="1"/>
  <c r="H457" i="15"/>
  <c r="L457" i="15" s="1"/>
  <c r="H458" i="15"/>
  <c r="L458" i="15" s="1"/>
  <c r="H459" i="15"/>
  <c r="L459" i="15" s="1"/>
  <c r="H461" i="15"/>
  <c r="L461" i="15" s="1"/>
  <c r="M460" i="15"/>
  <c r="M461" i="15"/>
  <c r="M462" i="15"/>
  <c r="M463" i="15"/>
  <c r="L460" i="15"/>
  <c r="K460" i="15"/>
  <c r="K461" i="15"/>
  <c r="K462" i="15"/>
  <c r="K463" i="15"/>
  <c r="E460" i="15"/>
  <c r="E461" i="15"/>
  <c r="E462" i="15"/>
  <c r="E463" i="15"/>
  <c r="H447" i="15"/>
  <c r="L447" i="15" s="1"/>
  <c r="H448" i="15"/>
  <c r="L448" i="15" s="1"/>
  <c r="H449" i="15"/>
  <c r="L449" i="15" s="1"/>
  <c r="H450" i="15"/>
  <c r="L450" i="15" s="1"/>
  <c r="H451" i="15"/>
  <c r="L451" i="15" s="1"/>
  <c r="H452" i="15"/>
  <c r="L452" i="15" s="1"/>
  <c r="H453" i="15"/>
  <c r="L453" i="15" s="1"/>
  <c r="H454" i="15"/>
  <c r="L454" i="15" s="1"/>
  <c r="H455" i="15"/>
  <c r="L455" i="15" s="1"/>
  <c r="H456" i="15"/>
  <c r="L456" i="15" s="1"/>
  <c r="H446" i="15"/>
  <c r="L446" i="15" s="1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T457" i="15" s="1"/>
  <c r="M458" i="15"/>
  <c r="M459" i="15"/>
  <c r="L445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M435" i="15"/>
  <c r="M436" i="15"/>
  <c r="M437" i="15"/>
  <c r="M438" i="15"/>
  <c r="M439" i="15"/>
  <c r="M440" i="15"/>
  <c r="M441" i="15"/>
  <c r="M442" i="15"/>
  <c r="M443" i="15"/>
  <c r="M444" i="15"/>
  <c r="L435" i="15"/>
  <c r="K435" i="15"/>
  <c r="K436" i="15"/>
  <c r="K437" i="15"/>
  <c r="K438" i="15"/>
  <c r="K439" i="15"/>
  <c r="K440" i="15"/>
  <c r="K441" i="15"/>
  <c r="K442" i="15"/>
  <c r="K443" i="15"/>
  <c r="K444" i="15"/>
  <c r="E435" i="15"/>
  <c r="E436" i="15"/>
  <c r="E437" i="15"/>
  <c r="E438" i="15"/>
  <c r="E439" i="15"/>
  <c r="E440" i="15"/>
  <c r="E441" i="15"/>
  <c r="E442" i="15"/>
  <c r="E443" i="15"/>
  <c r="E444" i="15"/>
  <c r="H437" i="15"/>
  <c r="L437" i="15" s="1"/>
  <c r="H438" i="15"/>
  <c r="L438" i="15" s="1"/>
  <c r="H439" i="15"/>
  <c r="L439" i="15" s="1"/>
  <c r="H440" i="15"/>
  <c r="L440" i="15" s="1"/>
  <c r="H441" i="15"/>
  <c r="L441" i="15" s="1"/>
  <c r="H442" i="15"/>
  <c r="L442" i="15" s="1"/>
  <c r="H443" i="15"/>
  <c r="L443" i="15" s="1"/>
  <c r="H444" i="15"/>
  <c r="L444" i="15" s="1"/>
  <c r="H436" i="15"/>
  <c r="L436" i="15" s="1"/>
  <c r="M428" i="15"/>
  <c r="M429" i="15"/>
  <c r="M430" i="15"/>
  <c r="M431" i="15"/>
  <c r="M432" i="15"/>
  <c r="M433" i="15"/>
  <c r="M434" i="15"/>
  <c r="E427" i="15"/>
  <c r="E428" i="15"/>
  <c r="E429" i="15"/>
  <c r="E430" i="15"/>
  <c r="E431" i="15"/>
  <c r="E432" i="15"/>
  <c r="E433" i="15"/>
  <c r="E434" i="15"/>
  <c r="M427" i="15"/>
  <c r="L427" i="15"/>
  <c r="K434" i="15"/>
  <c r="K427" i="15"/>
  <c r="K428" i="15"/>
  <c r="K429" i="15"/>
  <c r="K430" i="15"/>
  <c r="K431" i="15"/>
  <c r="K432" i="15"/>
  <c r="K433" i="15"/>
  <c r="H429" i="15"/>
  <c r="L429" i="15" s="1"/>
  <c r="H430" i="15"/>
  <c r="L430" i="15" s="1"/>
  <c r="H431" i="15"/>
  <c r="L431" i="15" s="1"/>
  <c r="H432" i="15"/>
  <c r="L432" i="15" s="1"/>
  <c r="H433" i="15"/>
  <c r="L433" i="15" s="1"/>
  <c r="H434" i="15"/>
  <c r="L434" i="15" s="1"/>
  <c r="H428" i="15"/>
  <c r="L428" i="15" s="1"/>
  <c r="M426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T422" i="15" s="1"/>
  <c r="M423" i="15"/>
  <c r="T423" i="15" s="1"/>
  <c r="M424" i="15"/>
  <c r="M425" i="15"/>
  <c r="L405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H407" i="15"/>
  <c r="L407" i="15" s="1"/>
  <c r="H408" i="15"/>
  <c r="L408" i="15" s="1"/>
  <c r="L409" i="15"/>
  <c r="H410" i="15"/>
  <c r="L410" i="15" s="1"/>
  <c r="H411" i="15"/>
  <c r="L411" i="15" s="1"/>
  <c r="H412" i="15"/>
  <c r="L412" i="15" s="1"/>
  <c r="H413" i="15"/>
  <c r="L413" i="15" s="1"/>
  <c r="H414" i="15"/>
  <c r="L414" i="15" s="1"/>
  <c r="H415" i="15"/>
  <c r="L415" i="15" s="1"/>
  <c r="H416" i="15"/>
  <c r="L416" i="15" s="1"/>
  <c r="H417" i="15"/>
  <c r="L417" i="15" s="1"/>
  <c r="H418" i="15"/>
  <c r="L418" i="15" s="1"/>
  <c r="H419" i="15"/>
  <c r="L419" i="15" s="1"/>
  <c r="H420" i="15"/>
  <c r="L420" i="15" s="1"/>
  <c r="H421" i="15"/>
  <c r="L421" i="15" s="1"/>
  <c r="H422" i="15"/>
  <c r="L422" i="15" s="1"/>
  <c r="H423" i="15"/>
  <c r="L423" i="15" s="1"/>
  <c r="H424" i="15"/>
  <c r="L424" i="15" s="1"/>
  <c r="H425" i="15"/>
  <c r="L425" i="15" s="1"/>
  <c r="H426" i="15"/>
  <c r="L426" i="15" s="1"/>
  <c r="H406" i="15"/>
  <c r="L406" i="15" s="1"/>
  <c r="E407" i="15"/>
  <c r="E406" i="15"/>
  <c r="E405" i="15"/>
  <c r="E425" i="15"/>
  <c r="E423" i="15"/>
  <c r="E422" i="15"/>
  <c r="E421" i="15"/>
  <c r="E419" i="15"/>
  <c r="E410" i="15"/>
  <c r="E412" i="15"/>
  <c r="E417" i="15"/>
  <c r="E420" i="15"/>
  <c r="E424" i="15"/>
  <c r="E426" i="15"/>
  <c r="R418" i="15" l="1"/>
  <c r="S418" i="15"/>
  <c r="T418" i="15"/>
  <c r="Q418" i="15"/>
  <c r="R414" i="15"/>
  <c r="S414" i="15"/>
  <c r="T414" i="15"/>
  <c r="Q414" i="15"/>
  <c r="R410" i="15"/>
  <c r="S410" i="15"/>
  <c r="T410" i="15"/>
  <c r="Q410" i="15"/>
  <c r="R406" i="15"/>
  <c r="S406" i="15"/>
  <c r="T406" i="15"/>
  <c r="Q406" i="15"/>
  <c r="S430" i="15"/>
  <c r="T430" i="15"/>
  <c r="Q430" i="15"/>
  <c r="R430" i="15"/>
  <c r="S441" i="15"/>
  <c r="T441" i="15"/>
  <c r="S437" i="15"/>
  <c r="T437" i="15"/>
  <c r="Q437" i="15"/>
  <c r="R437" i="15"/>
  <c r="T454" i="15"/>
  <c r="Q454" i="15"/>
  <c r="R454" i="15"/>
  <c r="S454" i="15"/>
  <c r="T450" i="15"/>
  <c r="Q450" i="15"/>
  <c r="R450" i="15"/>
  <c r="S450" i="15"/>
  <c r="T446" i="15"/>
  <c r="Q446" i="15"/>
  <c r="R446" i="15"/>
  <c r="S446" i="15"/>
  <c r="S460" i="15"/>
  <c r="T460" i="15"/>
  <c r="Q460" i="15"/>
  <c r="R460" i="15"/>
  <c r="T482" i="15"/>
  <c r="Q482" i="15"/>
  <c r="R482" i="15"/>
  <c r="S482" i="15"/>
  <c r="T492" i="15"/>
  <c r="Q492" i="15"/>
  <c r="R492" i="15"/>
  <c r="S492" i="15"/>
  <c r="S502" i="15"/>
  <c r="T502" i="15"/>
  <c r="R499" i="15"/>
  <c r="S499" i="15"/>
  <c r="T499" i="15"/>
  <c r="Q499" i="15"/>
  <c r="R497" i="15"/>
  <c r="S497" i="15"/>
  <c r="T497" i="15"/>
  <c r="Q497" i="15"/>
  <c r="Q506" i="15"/>
  <c r="R506" i="15"/>
  <c r="S506" i="15"/>
  <c r="T506" i="15"/>
  <c r="Q248" i="15"/>
  <c r="R248" i="15"/>
  <c r="S248" i="15"/>
  <c r="T248" i="15"/>
  <c r="Q247" i="15"/>
  <c r="R247" i="15"/>
  <c r="S247" i="15"/>
  <c r="T247" i="15"/>
  <c r="S421" i="15"/>
  <c r="T421" i="15"/>
  <c r="R417" i="15"/>
  <c r="S417" i="15"/>
  <c r="T417" i="15"/>
  <c r="Q417" i="15"/>
  <c r="R413" i="15"/>
  <c r="S413" i="15"/>
  <c r="T413" i="15"/>
  <c r="Q413" i="15"/>
  <c r="R405" i="15"/>
  <c r="S405" i="15"/>
  <c r="T405" i="15"/>
  <c r="Q405" i="15"/>
  <c r="S433" i="15"/>
  <c r="T433" i="15"/>
  <c r="S429" i="15"/>
  <c r="T429" i="15"/>
  <c r="Q429" i="15"/>
  <c r="R429" i="15"/>
  <c r="T440" i="15"/>
  <c r="R440" i="15"/>
  <c r="S440" i="15"/>
  <c r="S436" i="15"/>
  <c r="T436" i="15"/>
  <c r="Q436" i="15"/>
  <c r="R436" i="15"/>
  <c r="T453" i="15"/>
  <c r="Q453" i="15"/>
  <c r="R453" i="15"/>
  <c r="S453" i="15"/>
  <c r="T449" i="15"/>
  <c r="Q449" i="15"/>
  <c r="R449" i="15"/>
  <c r="S449" i="15"/>
  <c r="T445" i="15"/>
  <c r="Q445" i="15"/>
  <c r="R445" i="15"/>
  <c r="S445" i="15"/>
  <c r="Q478" i="15"/>
  <c r="R478" i="15"/>
  <c r="S478" i="15"/>
  <c r="T478" i="15"/>
  <c r="S486" i="15"/>
  <c r="T486" i="15"/>
  <c r="R507" i="15"/>
  <c r="S507" i="15"/>
  <c r="T507" i="15"/>
  <c r="S512" i="15"/>
  <c r="T512" i="15"/>
  <c r="Q512" i="15"/>
  <c r="R512" i="15"/>
  <c r="T253" i="15"/>
  <c r="S253" i="15"/>
  <c r="S420" i="15"/>
  <c r="T420" i="15"/>
  <c r="R420" i="15"/>
  <c r="R416" i="15"/>
  <c r="S416" i="15"/>
  <c r="T416" i="15"/>
  <c r="Q416" i="15"/>
  <c r="R412" i="15"/>
  <c r="S412" i="15"/>
  <c r="T412" i="15"/>
  <c r="Q412" i="15"/>
  <c r="R408" i="15"/>
  <c r="S408" i="15"/>
  <c r="T408" i="15"/>
  <c r="Q408" i="15"/>
  <c r="R432" i="15"/>
  <c r="S432" i="15"/>
  <c r="T432" i="15"/>
  <c r="S428" i="15"/>
  <c r="T428" i="15"/>
  <c r="Q428" i="15"/>
  <c r="R428" i="15"/>
  <c r="S439" i="15"/>
  <c r="T439" i="15"/>
  <c r="Q439" i="15"/>
  <c r="R439" i="15"/>
  <c r="S435" i="15"/>
  <c r="T435" i="15"/>
  <c r="Q435" i="15"/>
  <c r="R435" i="15"/>
  <c r="T456" i="15"/>
  <c r="S456" i="15"/>
  <c r="T452" i="15"/>
  <c r="Q452" i="15"/>
  <c r="R452" i="15"/>
  <c r="S452" i="15"/>
  <c r="T448" i="15"/>
  <c r="Q448" i="15"/>
  <c r="R448" i="15"/>
  <c r="S448" i="15"/>
  <c r="S462" i="15"/>
  <c r="T462" i="15"/>
  <c r="T483" i="15"/>
  <c r="Q483" i="15"/>
  <c r="R483" i="15"/>
  <c r="S483" i="15"/>
  <c r="T488" i="15"/>
  <c r="S488" i="15"/>
  <c r="T493" i="15"/>
  <c r="Q493" i="15"/>
  <c r="R493" i="15"/>
  <c r="S493" i="15"/>
  <c r="T501" i="15"/>
  <c r="R501" i="15"/>
  <c r="S501" i="15"/>
  <c r="R498" i="15"/>
  <c r="S498" i="15"/>
  <c r="T498" i="15"/>
  <c r="Q498" i="15"/>
  <c r="R496" i="15"/>
  <c r="S496" i="15"/>
  <c r="T496" i="15"/>
  <c r="Q496" i="15"/>
  <c r="T508" i="15"/>
  <c r="S508" i="15"/>
  <c r="T513" i="15"/>
  <c r="R513" i="15"/>
  <c r="S513" i="15"/>
  <c r="R252" i="15"/>
  <c r="S252" i="15"/>
  <c r="T252" i="15"/>
  <c r="R419" i="15"/>
  <c r="S419" i="15"/>
  <c r="T419" i="15"/>
  <c r="Q419" i="15"/>
  <c r="R415" i="15"/>
  <c r="S415" i="15"/>
  <c r="T415" i="15"/>
  <c r="Q415" i="15"/>
  <c r="R411" i="15"/>
  <c r="S411" i="15"/>
  <c r="T411" i="15"/>
  <c r="Q411" i="15"/>
  <c r="R407" i="15"/>
  <c r="S407" i="15"/>
  <c r="T407" i="15"/>
  <c r="Q407" i="15"/>
  <c r="S427" i="15"/>
  <c r="T427" i="15"/>
  <c r="Q427" i="15"/>
  <c r="R427" i="15"/>
  <c r="T431" i="15"/>
  <c r="R431" i="15"/>
  <c r="S431" i="15"/>
  <c r="T442" i="15"/>
  <c r="S442" i="15"/>
  <c r="S438" i="15"/>
  <c r="T438" i="15"/>
  <c r="Q438" i="15"/>
  <c r="R438" i="15"/>
  <c r="S455" i="15"/>
  <c r="T455" i="15"/>
  <c r="T451" i="15"/>
  <c r="Q451" i="15"/>
  <c r="R451" i="15"/>
  <c r="S451" i="15"/>
  <c r="T447" i="15"/>
  <c r="Q447" i="15"/>
  <c r="R447" i="15"/>
  <c r="S447" i="15"/>
  <c r="S461" i="15"/>
  <c r="T461" i="15"/>
  <c r="Q461" i="15"/>
  <c r="R461" i="15"/>
  <c r="T484" i="15"/>
  <c r="Q484" i="15"/>
  <c r="R484" i="15"/>
  <c r="S484" i="15"/>
  <c r="T481" i="15"/>
  <c r="Q481" i="15"/>
  <c r="R481" i="15"/>
  <c r="S481" i="15"/>
  <c r="S494" i="15"/>
  <c r="T494" i="15"/>
  <c r="S500" i="15"/>
  <c r="T500" i="15"/>
  <c r="R500" i="15"/>
  <c r="Q505" i="15"/>
  <c r="R505" i="15"/>
  <c r="S505" i="15"/>
  <c r="T505" i="15"/>
  <c r="S514" i="15"/>
  <c r="T514" i="15"/>
  <c r="Q251" i="15"/>
  <c r="R251" i="15"/>
  <c r="S251" i="15"/>
  <c r="T251" i="15"/>
  <c r="Q250" i="15"/>
  <c r="R250" i="15"/>
  <c r="S250" i="15"/>
  <c r="T250" i="15"/>
  <c r="Q249" i="15"/>
  <c r="R249" i="15"/>
  <c r="S249" i="15"/>
  <c r="T249" i="15"/>
  <c r="Q464" i="15"/>
  <c r="T464" i="15"/>
  <c r="R464" i="15"/>
  <c r="S464" i="15"/>
  <c r="Q470" i="15"/>
  <c r="S470" i="15"/>
  <c r="R470" i="15"/>
  <c r="T470" i="15"/>
  <c r="R469" i="15"/>
  <c r="S469" i="15"/>
  <c r="T469" i="15"/>
  <c r="Q469" i="15"/>
  <c r="S468" i="15"/>
  <c r="T468" i="15"/>
  <c r="Q468" i="15"/>
  <c r="R468" i="15"/>
  <c r="R474" i="15"/>
  <c r="S474" i="15"/>
  <c r="T474" i="15"/>
  <c r="T473" i="15"/>
  <c r="S473" i="15"/>
  <c r="R473" i="15"/>
  <c r="R467" i="15"/>
  <c r="S467" i="15"/>
  <c r="Q467" i="15"/>
  <c r="T467" i="15"/>
  <c r="T472" i="15"/>
  <c r="R472" i="15"/>
  <c r="S472" i="15"/>
  <c r="S475" i="15"/>
  <c r="T475" i="15"/>
  <c r="R471" i="15"/>
  <c r="S471" i="15"/>
  <c r="T471" i="15"/>
  <c r="Q471" i="15"/>
  <c r="R465" i="15"/>
  <c r="S465" i="15"/>
  <c r="T465" i="15"/>
  <c r="Q465" i="15"/>
  <c r="Q466" i="15"/>
  <c r="R466" i="15"/>
  <c r="S466" i="15"/>
  <c r="T466" i="15"/>
  <c r="R409" i="15"/>
  <c r="Q409" i="15"/>
  <c r="S409" i="15"/>
  <c r="T409" i="15"/>
  <c r="H394" i="15"/>
  <c r="H395" i="15"/>
  <c r="H396" i="15"/>
  <c r="H397" i="15"/>
  <c r="H398" i="15"/>
  <c r="H399" i="15"/>
  <c r="H400" i="15"/>
  <c r="H401" i="15"/>
  <c r="H402" i="15"/>
  <c r="H403" i="15"/>
  <c r="H404" i="15"/>
  <c r="H393" i="15"/>
  <c r="H382" i="15"/>
  <c r="H383" i="15"/>
  <c r="H384" i="15"/>
  <c r="H385" i="15"/>
  <c r="H386" i="15"/>
  <c r="H387" i="15"/>
  <c r="H388" i="15"/>
  <c r="H389" i="15"/>
  <c r="H390" i="15"/>
  <c r="H391" i="15"/>
  <c r="H381" i="15"/>
  <c r="H374" i="15"/>
  <c r="H375" i="15"/>
  <c r="H376" i="15"/>
  <c r="H377" i="15"/>
  <c r="H378" i="15"/>
  <c r="H379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44" i="15"/>
  <c r="H345" i="15"/>
  <c r="H346" i="15"/>
  <c r="H347" i="15"/>
  <c r="H348" i="15"/>
  <c r="H349" i="15"/>
  <c r="H350" i="15"/>
  <c r="H351" i="15"/>
  <c r="H343" i="15"/>
  <c r="H335" i="15"/>
  <c r="H336" i="15"/>
  <c r="H337" i="15"/>
  <c r="H338" i="15"/>
  <c r="H339" i="15"/>
  <c r="H340" i="15"/>
  <c r="H334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18" i="15"/>
  <c r="H307" i="15"/>
  <c r="H308" i="15"/>
  <c r="H309" i="15"/>
  <c r="H310" i="15"/>
  <c r="H311" i="15"/>
  <c r="H312" i="15"/>
  <c r="H313" i="15"/>
  <c r="H314" i="15"/>
  <c r="H315" i="15"/>
  <c r="H316" i="15"/>
  <c r="H306" i="15"/>
  <c r="E306" i="15"/>
  <c r="E308" i="15"/>
  <c r="E307" i="15"/>
  <c r="E309" i="15"/>
  <c r="E310" i="15"/>
  <c r="E311" i="15"/>
  <c r="E312" i="15"/>
  <c r="E313" i="15"/>
  <c r="E314" i="15"/>
  <c r="E315" i="15"/>
  <c r="E296" i="15"/>
  <c r="H298" i="15"/>
  <c r="H299" i="15"/>
  <c r="H300" i="15"/>
  <c r="H301" i="15"/>
  <c r="H302" i="15"/>
  <c r="H303" i="15"/>
  <c r="H304" i="15"/>
  <c r="H297" i="15"/>
  <c r="H284" i="15" l="1"/>
  <c r="H285" i="15"/>
  <c r="L285" i="15" s="1"/>
  <c r="H286" i="15"/>
  <c r="L286" i="15" s="1"/>
  <c r="H287" i="15"/>
  <c r="L287" i="15" s="1"/>
  <c r="H288" i="15"/>
  <c r="L288" i="15" s="1"/>
  <c r="H289" i="15"/>
  <c r="L289" i="15" s="1"/>
  <c r="H290" i="15"/>
  <c r="H291" i="15"/>
  <c r="L291" i="15" s="1"/>
  <c r="H292" i="15"/>
  <c r="L292" i="15" s="1"/>
  <c r="H293" i="15"/>
  <c r="L293" i="15" s="1"/>
  <c r="H294" i="15"/>
  <c r="H283" i="15"/>
  <c r="E291" i="15"/>
  <c r="K291" i="15"/>
  <c r="M291" i="15"/>
  <c r="E285" i="15"/>
  <c r="K285" i="15"/>
  <c r="M285" i="15"/>
  <c r="E286" i="15"/>
  <c r="K286" i="15"/>
  <c r="M286" i="15"/>
  <c r="E287" i="15"/>
  <c r="K287" i="15"/>
  <c r="M287" i="15"/>
  <c r="E288" i="15"/>
  <c r="K288" i="15"/>
  <c r="M288" i="15"/>
  <c r="E289" i="15"/>
  <c r="K289" i="15"/>
  <c r="M289" i="15"/>
  <c r="E292" i="15"/>
  <c r="K292" i="15"/>
  <c r="M292" i="15"/>
  <c r="E293" i="15"/>
  <c r="K293" i="15"/>
  <c r="M293" i="15"/>
  <c r="T293" i="15" s="1"/>
  <c r="H265" i="15"/>
  <c r="E264" i="15"/>
  <c r="E265" i="15"/>
  <c r="E282" i="15"/>
  <c r="E283" i="15"/>
  <c r="E284" i="15"/>
  <c r="E290" i="15"/>
  <c r="E294" i="15"/>
  <c r="Q287" i="15" l="1"/>
  <c r="R287" i="15"/>
  <c r="S287" i="15"/>
  <c r="T287" i="15"/>
  <c r="Q288" i="15"/>
  <c r="R288" i="15"/>
  <c r="S288" i="15"/>
  <c r="T288" i="15"/>
  <c r="R291" i="15"/>
  <c r="S291" i="15"/>
  <c r="T291" i="15"/>
  <c r="Q289" i="15"/>
  <c r="R289" i="15"/>
  <c r="S289" i="15"/>
  <c r="T289" i="15"/>
  <c r="Q285" i="15"/>
  <c r="R285" i="15"/>
  <c r="S285" i="15"/>
  <c r="T285" i="15"/>
  <c r="T292" i="15"/>
  <c r="S292" i="15"/>
  <c r="Q286" i="15"/>
  <c r="R286" i="15"/>
  <c r="S286" i="15"/>
  <c r="T286" i="15"/>
  <c r="M394" i="15"/>
  <c r="L392" i="15"/>
  <c r="K394" i="15"/>
  <c r="E393" i="15"/>
  <c r="E394" i="15"/>
  <c r="L394" i="15"/>
  <c r="K393" i="15"/>
  <c r="M393" i="15"/>
  <c r="K392" i="15"/>
  <c r="M392" i="15"/>
  <c r="E392" i="15"/>
  <c r="L393" i="15"/>
  <c r="M391" i="15"/>
  <c r="L380" i="15"/>
  <c r="K391" i="15"/>
  <c r="E391" i="15"/>
  <c r="L391" i="15"/>
  <c r="K380" i="15"/>
  <c r="M380" i="15"/>
  <c r="E380" i="15"/>
  <c r="M337" i="15"/>
  <c r="M379" i="15"/>
  <c r="K337" i="15"/>
  <c r="K379" i="15"/>
  <c r="E379" i="15"/>
  <c r="L379" i="15"/>
  <c r="L333" i="15"/>
  <c r="E334" i="15"/>
  <c r="E337" i="15"/>
  <c r="L337" i="15"/>
  <c r="K334" i="15"/>
  <c r="M334" i="15"/>
  <c r="K333" i="15"/>
  <c r="M333" i="15"/>
  <c r="E333" i="15"/>
  <c r="L334" i="15"/>
  <c r="M281" i="15"/>
  <c r="L278" i="15"/>
  <c r="K281" i="15"/>
  <c r="E279" i="15"/>
  <c r="E280" i="15"/>
  <c r="E281" i="15"/>
  <c r="H280" i="15"/>
  <c r="L280" i="15" s="1"/>
  <c r="H281" i="15"/>
  <c r="L281" i="15" s="1"/>
  <c r="K280" i="15"/>
  <c r="M280" i="15"/>
  <c r="K279" i="15"/>
  <c r="M279" i="15"/>
  <c r="K278" i="15"/>
  <c r="M278" i="15"/>
  <c r="E278" i="15"/>
  <c r="H279" i="15"/>
  <c r="L279" i="15" s="1"/>
  <c r="K352" i="15"/>
  <c r="L352" i="15"/>
  <c r="M352" i="15"/>
  <c r="K353" i="15"/>
  <c r="M353" i="15"/>
  <c r="K354" i="15"/>
  <c r="M354" i="15"/>
  <c r="K355" i="15"/>
  <c r="M355" i="15"/>
  <c r="K357" i="15"/>
  <c r="M357" i="15"/>
  <c r="K361" i="15"/>
  <c r="M361" i="15"/>
  <c r="K371" i="15"/>
  <c r="M371" i="15"/>
  <c r="E352" i="15"/>
  <c r="E353" i="15"/>
  <c r="E354" i="15"/>
  <c r="E355" i="15"/>
  <c r="E357" i="15"/>
  <c r="E361" i="15"/>
  <c r="E371" i="15"/>
  <c r="L354" i="15"/>
  <c r="L355" i="15"/>
  <c r="L357" i="15"/>
  <c r="L361" i="15"/>
  <c r="L371" i="15"/>
  <c r="H353" i="15"/>
  <c r="L353" i="15" s="1"/>
  <c r="M273" i="15"/>
  <c r="M274" i="15"/>
  <c r="M275" i="15"/>
  <c r="T275" i="15" s="1"/>
  <c r="M276" i="15"/>
  <c r="M277" i="15"/>
  <c r="L273" i="15"/>
  <c r="K273" i="15"/>
  <c r="K274" i="15"/>
  <c r="K275" i="15"/>
  <c r="K276" i="15"/>
  <c r="K277" i="15"/>
  <c r="H275" i="15"/>
  <c r="L275" i="15" s="1"/>
  <c r="H276" i="15"/>
  <c r="L276" i="15" s="1"/>
  <c r="H277" i="15"/>
  <c r="L277" i="15" s="1"/>
  <c r="E273" i="15"/>
  <c r="E274" i="15"/>
  <c r="E275" i="15"/>
  <c r="E276" i="15"/>
  <c r="E277" i="15"/>
  <c r="H274" i="15"/>
  <c r="L274" i="15" s="1"/>
  <c r="M341" i="15"/>
  <c r="M342" i="15"/>
  <c r="L341" i="15"/>
  <c r="K341" i="15"/>
  <c r="K342" i="15"/>
  <c r="E341" i="15"/>
  <c r="E342" i="15"/>
  <c r="H342" i="15"/>
  <c r="L342" i="15" s="1"/>
  <c r="L295" i="15"/>
  <c r="M295" i="15"/>
  <c r="M296" i="15"/>
  <c r="K295" i="15"/>
  <c r="K296" i="15"/>
  <c r="E295" i="15"/>
  <c r="H296" i="15"/>
  <c r="L296" i="15" s="1"/>
  <c r="L317" i="15"/>
  <c r="L319" i="15"/>
  <c r="L320" i="15"/>
  <c r="K320" i="15"/>
  <c r="M320" i="15"/>
  <c r="K319" i="15"/>
  <c r="M319" i="15"/>
  <c r="K318" i="15"/>
  <c r="M318" i="15"/>
  <c r="K317" i="15"/>
  <c r="M317" i="15"/>
  <c r="L318" i="15"/>
  <c r="L305" i="15"/>
  <c r="K307" i="15"/>
  <c r="M307" i="15"/>
  <c r="K305" i="15"/>
  <c r="M305" i="15"/>
  <c r="L307" i="15"/>
  <c r="E305" i="15"/>
  <c r="L266" i="15"/>
  <c r="H268" i="15"/>
  <c r="L268" i="15" s="1"/>
  <c r="H269" i="15"/>
  <c r="L269" i="15" s="1"/>
  <c r="H270" i="15"/>
  <c r="L270" i="15" s="1"/>
  <c r="H271" i="15"/>
  <c r="L271" i="15" s="1"/>
  <c r="H272" i="15"/>
  <c r="L272" i="15" s="1"/>
  <c r="K272" i="15"/>
  <c r="M272" i="15"/>
  <c r="K271" i="15"/>
  <c r="M271" i="15"/>
  <c r="K270" i="15"/>
  <c r="M270" i="15"/>
  <c r="K269" i="15"/>
  <c r="M269" i="15"/>
  <c r="K268" i="15"/>
  <c r="M268" i="15"/>
  <c r="K267" i="15"/>
  <c r="M267" i="15"/>
  <c r="K266" i="15"/>
  <c r="M266" i="15"/>
  <c r="E267" i="15"/>
  <c r="E268" i="15"/>
  <c r="E269" i="15"/>
  <c r="E270" i="15"/>
  <c r="E271" i="15"/>
  <c r="E272" i="15"/>
  <c r="E266" i="15"/>
  <c r="H267" i="15"/>
  <c r="L267" i="15" s="1"/>
  <c r="L282" i="15"/>
  <c r="K284" i="15"/>
  <c r="K290" i="15"/>
  <c r="K294" i="15"/>
  <c r="L284" i="15"/>
  <c r="L290" i="15"/>
  <c r="L294" i="15"/>
  <c r="M294" i="15"/>
  <c r="M290" i="15"/>
  <c r="M284" i="15"/>
  <c r="K283" i="15"/>
  <c r="M283" i="15"/>
  <c r="K282" i="15"/>
  <c r="M282" i="15"/>
  <c r="L283" i="15"/>
  <c r="M265" i="15"/>
  <c r="L263" i="15"/>
  <c r="L265" i="15"/>
  <c r="K265" i="15"/>
  <c r="K264" i="15"/>
  <c r="M264" i="15"/>
  <c r="K263" i="15"/>
  <c r="M263" i="15"/>
  <c r="E263" i="15"/>
  <c r="H264" i="15"/>
  <c r="L264" i="15" s="1"/>
  <c r="M262" i="15"/>
  <c r="L261" i="15"/>
  <c r="K262" i="15"/>
  <c r="E262" i="15"/>
  <c r="K261" i="15"/>
  <c r="M261" i="15"/>
  <c r="E261" i="15"/>
  <c r="H262" i="15"/>
  <c r="L262" i="15" s="1"/>
  <c r="H260" i="15"/>
  <c r="L260" i="15" s="1"/>
  <c r="M259" i="15"/>
  <c r="M260" i="15"/>
  <c r="L259" i="15"/>
  <c r="K259" i="15"/>
  <c r="K260" i="15"/>
  <c r="E259" i="15"/>
  <c r="E260" i="15"/>
  <c r="L255" i="15"/>
  <c r="E256" i="15"/>
  <c r="E257" i="15"/>
  <c r="E258" i="15"/>
  <c r="H257" i="15"/>
  <c r="L257" i="15" s="1"/>
  <c r="H258" i="15"/>
  <c r="L258" i="15" s="1"/>
  <c r="K258" i="15"/>
  <c r="M258" i="15"/>
  <c r="K257" i="15"/>
  <c r="M257" i="15"/>
  <c r="K256" i="15"/>
  <c r="M256" i="15"/>
  <c r="T256" i="15" s="1"/>
  <c r="K255" i="15"/>
  <c r="M255" i="15"/>
  <c r="E255" i="15"/>
  <c r="H256" i="15"/>
  <c r="L256" i="15" s="1"/>
  <c r="L238" i="15"/>
  <c r="E238" i="15"/>
  <c r="E239" i="15"/>
  <c r="E240" i="15"/>
  <c r="E241" i="15"/>
  <c r="E242" i="15"/>
  <c r="E243" i="15"/>
  <c r="E244" i="15"/>
  <c r="E245" i="15"/>
  <c r="E246" i="15"/>
  <c r="H240" i="15"/>
  <c r="L240" i="15" s="1"/>
  <c r="H241" i="15"/>
  <c r="L241" i="15" s="1"/>
  <c r="H242" i="15"/>
  <c r="L242" i="15" s="1"/>
  <c r="H243" i="15"/>
  <c r="L243" i="15" s="1"/>
  <c r="H244" i="15"/>
  <c r="L244" i="15" s="1"/>
  <c r="H245" i="15"/>
  <c r="L245" i="15" s="1"/>
  <c r="H246" i="15"/>
  <c r="L246" i="15" s="1"/>
  <c r="K246" i="15"/>
  <c r="M246" i="15"/>
  <c r="K245" i="15"/>
  <c r="M245" i="15"/>
  <c r="K244" i="15"/>
  <c r="M244" i="15"/>
  <c r="K243" i="15"/>
  <c r="M243" i="15"/>
  <c r="K242" i="15"/>
  <c r="M242" i="15"/>
  <c r="K241" i="15"/>
  <c r="M241" i="15"/>
  <c r="K240" i="15"/>
  <c r="M240" i="15"/>
  <c r="K239" i="15"/>
  <c r="M239" i="15"/>
  <c r="K238" i="15"/>
  <c r="M238" i="15"/>
  <c r="H239" i="15"/>
  <c r="L239" i="15" s="1"/>
  <c r="M234" i="15"/>
  <c r="M235" i="15"/>
  <c r="M236" i="15"/>
  <c r="M237" i="15"/>
  <c r="L234" i="15"/>
  <c r="K234" i="15"/>
  <c r="K235" i="15"/>
  <c r="K236" i="15"/>
  <c r="K237" i="15"/>
  <c r="E234" i="15"/>
  <c r="E235" i="15"/>
  <c r="E236" i="15"/>
  <c r="E237" i="15"/>
  <c r="H236" i="15"/>
  <c r="L236" i="15" s="1"/>
  <c r="H237" i="15"/>
  <c r="L237" i="15" s="1"/>
  <c r="H235" i="15"/>
  <c r="L235" i="15" s="1"/>
  <c r="L222" i="15"/>
  <c r="E223" i="15"/>
  <c r="E224" i="15"/>
  <c r="E225" i="15"/>
  <c r="E226" i="15"/>
  <c r="E227" i="15"/>
  <c r="E228" i="15"/>
  <c r="E229" i="15"/>
  <c r="E230" i="15"/>
  <c r="E231" i="15"/>
  <c r="E232" i="15"/>
  <c r="E233" i="15"/>
  <c r="H224" i="15"/>
  <c r="L224" i="15" s="1"/>
  <c r="H225" i="15"/>
  <c r="L225" i="15" s="1"/>
  <c r="H226" i="15"/>
  <c r="L226" i="15" s="1"/>
  <c r="H227" i="15"/>
  <c r="L227" i="15" s="1"/>
  <c r="H228" i="15"/>
  <c r="L228" i="15" s="1"/>
  <c r="H229" i="15"/>
  <c r="L229" i="15" s="1"/>
  <c r="H230" i="15"/>
  <c r="L230" i="15" s="1"/>
  <c r="H231" i="15"/>
  <c r="L231" i="15" s="1"/>
  <c r="H232" i="15"/>
  <c r="L232" i="15" s="1"/>
  <c r="H233" i="15"/>
  <c r="L233" i="15" s="1"/>
  <c r="K233" i="15"/>
  <c r="M233" i="15"/>
  <c r="K232" i="15"/>
  <c r="M232" i="15"/>
  <c r="K231" i="15"/>
  <c r="M231" i="15"/>
  <c r="T231" i="15" s="1"/>
  <c r="K230" i="15"/>
  <c r="M230" i="15"/>
  <c r="K229" i="15"/>
  <c r="M229" i="15"/>
  <c r="K228" i="15"/>
  <c r="M228" i="15"/>
  <c r="K227" i="15"/>
  <c r="M227" i="15"/>
  <c r="K226" i="15"/>
  <c r="M226" i="15"/>
  <c r="K225" i="15"/>
  <c r="M225" i="15"/>
  <c r="K224" i="15"/>
  <c r="M224" i="15"/>
  <c r="K223" i="15"/>
  <c r="M223" i="15"/>
  <c r="K222" i="15"/>
  <c r="M222" i="15"/>
  <c r="E222" i="15"/>
  <c r="H223" i="15"/>
  <c r="L223" i="15" s="1"/>
  <c r="L216" i="15"/>
  <c r="H218" i="15"/>
  <c r="L218" i="15" s="1"/>
  <c r="H219" i="15"/>
  <c r="L219" i="15" s="1"/>
  <c r="H220" i="15"/>
  <c r="L220" i="15" s="1"/>
  <c r="H221" i="15"/>
  <c r="L221" i="15" s="1"/>
  <c r="E217" i="15"/>
  <c r="E218" i="15"/>
  <c r="E219" i="15"/>
  <c r="E220" i="15"/>
  <c r="E221" i="15"/>
  <c r="K221" i="15"/>
  <c r="M221" i="15"/>
  <c r="K220" i="15"/>
  <c r="M220" i="15"/>
  <c r="K219" i="15"/>
  <c r="M219" i="15"/>
  <c r="K218" i="15"/>
  <c r="M218" i="15"/>
  <c r="K217" i="15"/>
  <c r="M217" i="15"/>
  <c r="K216" i="15"/>
  <c r="M216" i="15"/>
  <c r="E216" i="15"/>
  <c r="H217" i="15"/>
  <c r="L217" i="15" s="1"/>
  <c r="L212" i="15"/>
  <c r="E213" i="15"/>
  <c r="E214" i="15"/>
  <c r="E215" i="15"/>
  <c r="H214" i="15"/>
  <c r="L214" i="15" s="1"/>
  <c r="H215" i="15"/>
  <c r="L215" i="15" s="1"/>
  <c r="K215" i="15"/>
  <c r="M215" i="15"/>
  <c r="K214" i="15"/>
  <c r="M214" i="15"/>
  <c r="T214" i="15" s="1"/>
  <c r="K213" i="15"/>
  <c r="M213" i="15"/>
  <c r="K212" i="15"/>
  <c r="M212" i="15"/>
  <c r="E212" i="15"/>
  <c r="H213" i="15"/>
  <c r="L213" i="15" s="1"/>
  <c r="M211" i="15"/>
  <c r="L205" i="15"/>
  <c r="K211" i="15"/>
  <c r="E206" i="15"/>
  <c r="E207" i="15"/>
  <c r="E208" i="15"/>
  <c r="E209" i="15"/>
  <c r="E210" i="15"/>
  <c r="E211" i="15"/>
  <c r="H207" i="15"/>
  <c r="L207" i="15" s="1"/>
  <c r="H208" i="15"/>
  <c r="L208" i="15" s="1"/>
  <c r="H209" i="15"/>
  <c r="L209" i="15" s="1"/>
  <c r="H210" i="15"/>
  <c r="L210" i="15" s="1"/>
  <c r="H211" i="15"/>
  <c r="L211" i="15" s="1"/>
  <c r="K210" i="15"/>
  <c r="M210" i="15"/>
  <c r="T210" i="15" s="1"/>
  <c r="K209" i="15"/>
  <c r="M209" i="15"/>
  <c r="K208" i="15"/>
  <c r="M208" i="15"/>
  <c r="K207" i="15"/>
  <c r="M207" i="15"/>
  <c r="K206" i="15"/>
  <c r="M206" i="15"/>
  <c r="K205" i="15"/>
  <c r="M205" i="15"/>
  <c r="E205" i="15"/>
  <c r="H206" i="15"/>
  <c r="L206" i="15" s="1"/>
  <c r="T208" i="15" l="1"/>
  <c r="Q208" i="15"/>
  <c r="R208" i="15"/>
  <c r="S208" i="15"/>
  <c r="S213" i="15"/>
  <c r="T213" i="15"/>
  <c r="T217" i="15"/>
  <c r="R217" i="15"/>
  <c r="S217" i="15"/>
  <c r="T219" i="15"/>
  <c r="S219" i="15"/>
  <c r="R223" i="15"/>
  <c r="S223" i="15"/>
  <c r="T223" i="15"/>
  <c r="Q223" i="15"/>
  <c r="R225" i="15"/>
  <c r="S225" i="15"/>
  <c r="T225" i="15"/>
  <c r="Q225" i="15"/>
  <c r="R227" i="15"/>
  <c r="S227" i="15"/>
  <c r="T227" i="15"/>
  <c r="Q227" i="15"/>
  <c r="S229" i="15"/>
  <c r="T229" i="15"/>
  <c r="R229" i="15"/>
  <c r="S264" i="15"/>
  <c r="T264" i="15"/>
  <c r="Q290" i="15"/>
  <c r="R290" i="15"/>
  <c r="S290" i="15"/>
  <c r="T290" i="15"/>
  <c r="T296" i="15"/>
  <c r="Q296" i="15"/>
  <c r="R296" i="15"/>
  <c r="S296" i="15"/>
  <c r="S357" i="15"/>
  <c r="T357" i="15"/>
  <c r="Q357" i="15"/>
  <c r="R357" i="15"/>
  <c r="S354" i="15"/>
  <c r="T354" i="15"/>
  <c r="Q354" i="15"/>
  <c r="R354" i="15"/>
  <c r="R380" i="15"/>
  <c r="S380" i="15"/>
  <c r="T380" i="15"/>
  <c r="Q380" i="15"/>
  <c r="S236" i="15"/>
  <c r="T236" i="15"/>
  <c r="R238" i="15"/>
  <c r="S238" i="15"/>
  <c r="T238" i="15"/>
  <c r="Q238" i="15"/>
  <c r="R240" i="15"/>
  <c r="S240" i="15"/>
  <c r="T240" i="15"/>
  <c r="Q240" i="15"/>
  <c r="R242" i="15"/>
  <c r="S242" i="15"/>
  <c r="T242" i="15"/>
  <c r="Q242" i="15"/>
  <c r="S244" i="15"/>
  <c r="T244" i="15"/>
  <c r="R244" i="15"/>
  <c r="Q283" i="15"/>
  <c r="R283" i="15"/>
  <c r="S283" i="15"/>
  <c r="T283" i="15"/>
  <c r="Q266" i="15"/>
  <c r="R266" i="15"/>
  <c r="S266" i="15"/>
  <c r="T266" i="15"/>
  <c r="Q268" i="15"/>
  <c r="R268" i="15"/>
  <c r="S268" i="15"/>
  <c r="T268" i="15"/>
  <c r="Q270" i="15"/>
  <c r="R270" i="15"/>
  <c r="S270" i="15"/>
  <c r="T270" i="15"/>
  <c r="T307" i="15"/>
  <c r="Q307" i="15"/>
  <c r="R307" i="15"/>
  <c r="S307" i="15"/>
  <c r="R317" i="15"/>
  <c r="S317" i="15"/>
  <c r="T317" i="15"/>
  <c r="Q317" i="15"/>
  <c r="R319" i="15"/>
  <c r="S319" i="15"/>
  <c r="T319" i="15"/>
  <c r="Q319" i="15"/>
  <c r="S295" i="15"/>
  <c r="T295" i="15"/>
  <c r="Q295" i="15"/>
  <c r="R295" i="15"/>
  <c r="T342" i="15"/>
  <c r="Q342" i="15"/>
  <c r="R342" i="15"/>
  <c r="S342" i="15"/>
  <c r="R274" i="15"/>
  <c r="S274" i="15"/>
  <c r="T274" i="15"/>
  <c r="Q278" i="15"/>
  <c r="R278" i="15"/>
  <c r="S278" i="15"/>
  <c r="T278" i="15"/>
  <c r="T333" i="15"/>
  <c r="Q333" i="15"/>
  <c r="R333" i="15"/>
  <c r="S333" i="15"/>
  <c r="S392" i="15"/>
  <c r="T392" i="15"/>
  <c r="Q392" i="15"/>
  <c r="R392" i="15"/>
  <c r="T206" i="15"/>
  <c r="Q206" i="15"/>
  <c r="R206" i="15"/>
  <c r="S206" i="15"/>
  <c r="T205" i="15"/>
  <c r="Q205" i="15"/>
  <c r="R205" i="15"/>
  <c r="S205" i="15"/>
  <c r="T207" i="15"/>
  <c r="Q207" i="15"/>
  <c r="R207" i="15"/>
  <c r="S207" i="15"/>
  <c r="R209" i="15"/>
  <c r="S209" i="15"/>
  <c r="T209" i="15"/>
  <c r="R212" i="15"/>
  <c r="S212" i="15"/>
  <c r="T212" i="15"/>
  <c r="S216" i="15"/>
  <c r="T216" i="15"/>
  <c r="R216" i="15"/>
  <c r="S218" i="15"/>
  <c r="T218" i="15"/>
  <c r="S220" i="15"/>
  <c r="T220" i="15"/>
  <c r="R222" i="15"/>
  <c r="S222" i="15"/>
  <c r="T222" i="15"/>
  <c r="Q222" i="15"/>
  <c r="R224" i="15"/>
  <c r="S224" i="15"/>
  <c r="T224" i="15"/>
  <c r="Q224" i="15"/>
  <c r="R226" i="15"/>
  <c r="S226" i="15"/>
  <c r="T226" i="15"/>
  <c r="Q226" i="15"/>
  <c r="R228" i="15"/>
  <c r="S228" i="15"/>
  <c r="T228" i="15"/>
  <c r="Q228" i="15"/>
  <c r="S230" i="15"/>
  <c r="T230" i="15"/>
  <c r="T235" i="15"/>
  <c r="Q235" i="15"/>
  <c r="R235" i="15"/>
  <c r="S235" i="15"/>
  <c r="T255" i="15"/>
  <c r="S255" i="15"/>
  <c r="S259" i="15"/>
  <c r="T259" i="15"/>
  <c r="S261" i="15"/>
  <c r="T261" i="15"/>
  <c r="S263" i="15"/>
  <c r="T263" i="15"/>
  <c r="Q263" i="15"/>
  <c r="R263" i="15"/>
  <c r="T341" i="15"/>
  <c r="Q341" i="15"/>
  <c r="R341" i="15"/>
  <c r="S341" i="15"/>
  <c r="Q273" i="15"/>
  <c r="R273" i="15"/>
  <c r="S273" i="15"/>
  <c r="T273" i="15"/>
  <c r="R361" i="15"/>
  <c r="S361" i="15"/>
  <c r="T361" i="15"/>
  <c r="S355" i="15"/>
  <c r="T355" i="15"/>
  <c r="Q355" i="15"/>
  <c r="R355" i="15"/>
  <c r="S353" i="15"/>
  <c r="T353" i="15"/>
  <c r="Q353" i="15"/>
  <c r="R353" i="15"/>
  <c r="S337" i="15"/>
  <c r="T337" i="15"/>
  <c r="S394" i="15"/>
  <c r="T394" i="15"/>
  <c r="Q394" i="15"/>
  <c r="R394" i="15"/>
  <c r="T234" i="15"/>
  <c r="Q234" i="15"/>
  <c r="R234" i="15"/>
  <c r="S234" i="15"/>
  <c r="R239" i="15"/>
  <c r="S239" i="15"/>
  <c r="T239" i="15"/>
  <c r="Q239" i="15"/>
  <c r="R241" i="15"/>
  <c r="S241" i="15"/>
  <c r="T241" i="15"/>
  <c r="Q241" i="15"/>
  <c r="R243" i="15"/>
  <c r="S243" i="15"/>
  <c r="T243" i="15"/>
  <c r="Q243" i="15"/>
  <c r="S245" i="15"/>
  <c r="T245" i="15"/>
  <c r="Q282" i="15"/>
  <c r="R282" i="15"/>
  <c r="S282" i="15"/>
  <c r="T282" i="15"/>
  <c r="Q284" i="15"/>
  <c r="R284" i="15"/>
  <c r="S284" i="15"/>
  <c r="T284" i="15"/>
  <c r="Q267" i="15"/>
  <c r="R267" i="15"/>
  <c r="S267" i="15"/>
  <c r="T267" i="15"/>
  <c r="Q269" i="15"/>
  <c r="R269" i="15"/>
  <c r="S269" i="15"/>
  <c r="T269" i="15"/>
  <c r="Q271" i="15"/>
  <c r="R271" i="15"/>
  <c r="S271" i="15"/>
  <c r="T271" i="15"/>
  <c r="T305" i="15"/>
  <c r="Q305" i="15"/>
  <c r="R305" i="15"/>
  <c r="S305" i="15"/>
  <c r="R318" i="15"/>
  <c r="S318" i="15"/>
  <c r="T318" i="15"/>
  <c r="Q318" i="15"/>
  <c r="R320" i="15"/>
  <c r="S320" i="15"/>
  <c r="T320" i="15"/>
  <c r="Q320" i="15"/>
  <c r="Q279" i="15"/>
  <c r="R279" i="15"/>
  <c r="S279" i="15"/>
  <c r="T279" i="15"/>
  <c r="T334" i="15"/>
  <c r="Q334" i="15"/>
  <c r="R334" i="15"/>
  <c r="S334" i="15"/>
  <c r="S393" i="15"/>
  <c r="T393" i="15"/>
  <c r="Q393" i="15"/>
  <c r="R393" i="15"/>
  <c r="L193" i="15"/>
  <c r="E194" i="15"/>
  <c r="E195" i="15"/>
  <c r="E196" i="15"/>
  <c r="E197" i="15"/>
  <c r="E198" i="15"/>
  <c r="E199" i="15"/>
  <c r="E200" i="15"/>
  <c r="E201" i="15"/>
  <c r="E202" i="15"/>
  <c r="E203" i="15"/>
  <c r="E204" i="15"/>
  <c r="H195" i="15"/>
  <c r="L195" i="15" s="1"/>
  <c r="H196" i="15"/>
  <c r="L196" i="15" s="1"/>
  <c r="H197" i="15"/>
  <c r="L197" i="15" s="1"/>
  <c r="H198" i="15"/>
  <c r="L198" i="15" s="1"/>
  <c r="H199" i="15"/>
  <c r="L199" i="15" s="1"/>
  <c r="H200" i="15"/>
  <c r="L200" i="15" s="1"/>
  <c r="H201" i="15"/>
  <c r="L201" i="15" s="1"/>
  <c r="H202" i="15"/>
  <c r="L202" i="15" s="1"/>
  <c r="H203" i="15"/>
  <c r="L203" i="15" s="1"/>
  <c r="H204" i="15"/>
  <c r="L204" i="15" s="1"/>
  <c r="K204" i="15"/>
  <c r="M204" i="15"/>
  <c r="K203" i="15"/>
  <c r="M203" i="15"/>
  <c r="T203" i="15" s="1"/>
  <c r="K202" i="15"/>
  <c r="M202" i="15"/>
  <c r="K201" i="15"/>
  <c r="M201" i="15"/>
  <c r="K200" i="15"/>
  <c r="M200" i="15"/>
  <c r="K199" i="15"/>
  <c r="M199" i="15"/>
  <c r="K198" i="15"/>
  <c r="M198" i="15"/>
  <c r="K197" i="15"/>
  <c r="M197" i="15"/>
  <c r="K196" i="15"/>
  <c r="M196" i="15"/>
  <c r="K195" i="15"/>
  <c r="M195" i="15"/>
  <c r="K194" i="15"/>
  <c r="M194" i="15"/>
  <c r="K193" i="15"/>
  <c r="M193" i="15"/>
  <c r="E193" i="15"/>
  <c r="H194" i="15"/>
  <c r="L194" i="15" s="1"/>
  <c r="L185" i="15"/>
  <c r="E186" i="15"/>
  <c r="E187" i="15"/>
  <c r="E188" i="15"/>
  <c r="E189" i="15"/>
  <c r="E190" i="15"/>
  <c r="E191" i="15"/>
  <c r="E192" i="15"/>
  <c r="H187" i="15"/>
  <c r="L187" i="15" s="1"/>
  <c r="H188" i="15"/>
  <c r="L188" i="15" s="1"/>
  <c r="H189" i="15"/>
  <c r="L189" i="15" s="1"/>
  <c r="H190" i="15"/>
  <c r="L190" i="15" s="1"/>
  <c r="H191" i="15"/>
  <c r="L191" i="15" s="1"/>
  <c r="H192" i="15"/>
  <c r="L192" i="15" s="1"/>
  <c r="K192" i="15"/>
  <c r="M192" i="15"/>
  <c r="K191" i="15"/>
  <c r="M191" i="15"/>
  <c r="K190" i="15"/>
  <c r="M190" i="15"/>
  <c r="T190" i="15" s="1"/>
  <c r="K189" i="15"/>
  <c r="M189" i="15"/>
  <c r="K188" i="15"/>
  <c r="M188" i="15"/>
  <c r="K187" i="15"/>
  <c r="M187" i="15"/>
  <c r="K186" i="15"/>
  <c r="M186" i="15"/>
  <c r="K185" i="15"/>
  <c r="M185" i="15"/>
  <c r="E185" i="15"/>
  <c r="H186" i="15"/>
  <c r="L186" i="15" s="1"/>
  <c r="L175" i="15"/>
  <c r="E176" i="15"/>
  <c r="E177" i="15"/>
  <c r="E178" i="15"/>
  <c r="E179" i="15"/>
  <c r="E180" i="15"/>
  <c r="E181" i="15"/>
  <c r="E182" i="15"/>
  <c r="E183" i="15"/>
  <c r="E184" i="15"/>
  <c r="H177" i="15"/>
  <c r="L177" i="15" s="1"/>
  <c r="H178" i="15"/>
  <c r="L178" i="15" s="1"/>
  <c r="H179" i="15"/>
  <c r="L179" i="15" s="1"/>
  <c r="H180" i="15"/>
  <c r="L180" i="15" s="1"/>
  <c r="H181" i="15"/>
  <c r="L181" i="15" s="1"/>
  <c r="H182" i="15"/>
  <c r="L182" i="15" s="1"/>
  <c r="H183" i="15"/>
  <c r="L183" i="15" s="1"/>
  <c r="H184" i="15"/>
  <c r="L184" i="15" s="1"/>
  <c r="K184" i="15"/>
  <c r="M184" i="15"/>
  <c r="K183" i="15"/>
  <c r="M183" i="15"/>
  <c r="T183" i="15" s="1"/>
  <c r="K182" i="15"/>
  <c r="M182" i="15"/>
  <c r="K181" i="15"/>
  <c r="M181" i="15"/>
  <c r="K180" i="15"/>
  <c r="M180" i="15"/>
  <c r="K179" i="15"/>
  <c r="M179" i="15"/>
  <c r="K178" i="15"/>
  <c r="M178" i="15"/>
  <c r="K177" i="15"/>
  <c r="M177" i="15"/>
  <c r="K176" i="15"/>
  <c r="M176" i="15"/>
  <c r="K175" i="15"/>
  <c r="M175" i="15"/>
  <c r="E175" i="15"/>
  <c r="H176" i="15"/>
  <c r="L176" i="15" s="1"/>
  <c r="L170" i="15"/>
  <c r="M174" i="15"/>
  <c r="E170" i="15"/>
  <c r="E171" i="15"/>
  <c r="E172" i="15"/>
  <c r="E173" i="15"/>
  <c r="E174" i="15"/>
  <c r="H172" i="15"/>
  <c r="L172" i="15" s="1"/>
  <c r="H173" i="15"/>
  <c r="L173" i="15" s="1"/>
  <c r="H174" i="15"/>
  <c r="L174" i="15" s="1"/>
  <c r="K174" i="15"/>
  <c r="K173" i="15"/>
  <c r="M173" i="15"/>
  <c r="K172" i="15"/>
  <c r="M172" i="15"/>
  <c r="K171" i="15"/>
  <c r="M171" i="15"/>
  <c r="K170" i="15"/>
  <c r="M170" i="15"/>
  <c r="H171" i="15"/>
  <c r="L171" i="15" s="1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3" i="15"/>
  <c r="F4" i="15"/>
  <c r="F5" i="15"/>
  <c r="F6" i="15"/>
  <c r="F7" i="15"/>
  <c r="F2" i="15"/>
  <c r="L160" i="15"/>
  <c r="E161" i="15"/>
  <c r="E162" i="15"/>
  <c r="E163" i="15"/>
  <c r="E164" i="15"/>
  <c r="E165" i="15"/>
  <c r="E166" i="15"/>
  <c r="E167" i="15"/>
  <c r="E168" i="15"/>
  <c r="E169" i="15"/>
  <c r="H162" i="15"/>
  <c r="L162" i="15" s="1"/>
  <c r="H163" i="15"/>
  <c r="L163" i="15" s="1"/>
  <c r="H164" i="15"/>
  <c r="L164" i="15" s="1"/>
  <c r="H165" i="15"/>
  <c r="L165" i="15" s="1"/>
  <c r="H166" i="15"/>
  <c r="L166" i="15" s="1"/>
  <c r="H167" i="15"/>
  <c r="L167" i="15" s="1"/>
  <c r="H168" i="15"/>
  <c r="L168" i="15" s="1"/>
  <c r="H169" i="15"/>
  <c r="L169" i="15" s="1"/>
  <c r="K169" i="15"/>
  <c r="M169" i="15"/>
  <c r="K168" i="15"/>
  <c r="M168" i="15"/>
  <c r="T168" i="15" s="1"/>
  <c r="K167" i="15"/>
  <c r="M167" i="15"/>
  <c r="K166" i="15"/>
  <c r="M166" i="15"/>
  <c r="K165" i="15"/>
  <c r="M165" i="15"/>
  <c r="K164" i="15"/>
  <c r="M164" i="15"/>
  <c r="K163" i="15"/>
  <c r="M163" i="15"/>
  <c r="K162" i="15"/>
  <c r="M162" i="15"/>
  <c r="K161" i="15"/>
  <c r="M161" i="15"/>
  <c r="K160" i="15"/>
  <c r="M160" i="15"/>
  <c r="E160" i="15"/>
  <c r="H161" i="15"/>
  <c r="L161" i="15" s="1"/>
  <c r="L149" i="15"/>
  <c r="E150" i="15"/>
  <c r="E151" i="15"/>
  <c r="E152" i="15"/>
  <c r="E153" i="15"/>
  <c r="E154" i="15"/>
  <c r="E155" i="15"/>
  <c r="E156" i="15"/>
  <c r="E157" i="15"/>
  <c r="E158" i="15"/>
  <c r="E159" i="15"/>
  <c r="H151" i="15"/>
  <c r="L151" i="15" s="1"/>
  <c r="H152" i="15"/>
  <c r="L152" i="15" s="1"/>
  <c r="H153" i="15"/>
  <c r="L153" i="15" s="1"/>
  <c r="H154" i="15"/>
  <c r="L154" i="15" s="1"/>
  <c r="H155" i="15"/>
  <c r="L155" i="15" s="1"/>
  <c r="H156" i="15"/>
  <c r="L156" i="15" s="1"/>
  <c r="H157" i="15"/>
  <c r="L157" i="15" s="1"/>
  <c r="H158" i="15"/>
  <c r="L158" i="15" s="1"/>
  <c r="H159" i="15"/>
  <c r="L159" i="15" s="1"/>
  <c r="K159" i="15"/>
  <c r="M159" i="15"/>
  <c r="K158" i="15"/>
  <c r="M158" i="15"/>
  <c r="K157" i="15"/>
  <c r="M157" i="15"/>
  <c r="K156" i="15"/>
  <c r="M156" i="15"/>
  <c r="K155" i="15"/>
  <c r="M155" i="15"/>
  <c r="K154" i="15"/>
  <c r="M154" i="15"/>
  <c r="K153" i="15"/>
  <c r="M153" i="15"/>
  <c r="K152" i="15"/>
  <c r="M152" i="15"/>
  <c r="K151" i="15"/>
  <c r="M151" i="15"/>
  <c r="K150" i="15"/>
  <c r="M150" i="15"/>
  <c r="K149" i="15"/>
  <c r="M149" i="15"/>
  <c r="E149" i="15"/>
  <c r="H150" i="15"/>
  <c r="L150" i="15" s="1"/>
  <c r="L137" i="15"/>
  <c r="E138" i="15"/>
  <c r="E139" i="15"/>
  <c r="E140" i="15"/>
  <c r="E141" i="15"/>
  <c r="E142" i="15"/>
  <c r="E143" i="15"/>
  <c r="E144" i="15"/>
  <c r="E145" i="15"/>
  <c r="E146" i="15"/>
  <c r="E147" i="15"/>
  <c r="E148" i="15"/>
  <c r="H139" i="15"/>
  <c r="L139" i="15" s="1"/>
  <c r="H140" i="15"/>
  <c r="L140" i="15" s="1"/>
  <c r="H141" i="15"/>
  <c r="L141" i="15" s="1"/>
  <c r="H142" i="15"/>
  <c r="L142" i="15" s="1"/>
  <c r="H143" i="15"/>
  <c r="L143" i="15" s="1"/>
  <c r="H144" i="15"/>
  <c r="L144" i="15" s="1"/>
  <c r="H145" i="15"/>
  <c r="L145" i="15" s="1"/>
  <c r="H146" i="15"/>
  <c r="L146" i="15" s="1"/>
  <c r="H147" i="15"/>
  <c r="L147" i="15" s="1"/>
  <c r="H148" i="15"/>
  <c r="L148" i="15" s="1"/>
  <c r="K148" i="15"/>
  <c r="M148" i="15"/>
  <c r="K147" i="15"/>
  <c r="M147" i="15"/>
  <c r="K146" i="15"/>
  <c r="M146" i="15"/>
  <c r="T146" i="15" s="1"/>
  <c r="K145" i="15"/>
  <c r="M145" i="15"/>
  <c r="K144" i="15"/>
  <c r="M144" i="15"/>
  <c r="K143" i="15"/>
  <c r="M143" i="15"/>
  <c r="K142" i="15"/>
  <c r="M142" i="15"/>
  <c r="K141" i="15"/>
  <c r="M141" i="15"/>
  <c r="K140" i="15"/>
  <c r="M140" i="15"/>
  <c r="K139" i="15"/>
  <c r="M139" i="15"/>
  <c r="K138" i="15"/>
  <c r="M138" i="15"/>
  <c r="K137" i="15"/>
  <c r="M137" i="15"/>
  <c r="E137" i="15"/>
  <c r="H138" i="15"/>
  <c r="L138" i="15" s="1"/>
  <c r="L129" i="15"/>
  <c r="E130" i="15"/>
  <c r="E131" i="15"/>
  <c r="E132" i="15"/>
  <c r="E133" i="15"/>
  <c r="E134" i="15"/>
  <c r="E135" i="15"/>
  <c r="E136" i="15"/>
  <c r="H131" i="15"/>
  <c r="L131" i="15" s="1"/>
  <c r="H132" i="15"/>
  <c r="L132" i="15" s="1"/>
  <c r="H133" i="15"/>
  <c r="L133" i="15" s="1"/>
  <c r="H134" i="15"/>
  <c r="L134" i="15" s="1"/>
  <c r="H135" i="15"/>
  <c r="L135" i="15" s="1"/>
  <c r="H136" i="15"/>
  <c r="L136" i="15" s="1"/>
  <c r="K136" i="15"/>
  <c r="M136" i="15"/>
  <c r="K135" i="15"/>
  <c r="M135" i="15"/>
  <c r="K134" i="15"/>
  <c r="M134" i="15"/>
  <c r="K133" i="15"/>
  <c r="M133" i="15"/>
  <c r="K132" i="15"/>
  <c r="M132" i="15"/>
  <c r="K131" i="15"/>
  <c r="M131" i="15"/>
  <c r="K130" i="15"/>
  <c r="M130" i="15"/>
  <c r="K129" i="15"/>
  <c r="M129" i="15"/>
  <c r="E129" i="15"/>
  <c r="H130" i="15"/>
  <c r="L130" i="15" s="1"/>
  <c r="T176" i="15" l="1"/>
  <c r="Q176" i="15"/>
  <c r="R176" i="15"/>
  <c r="S176" i="15"/>
  <c r="T178" i="15"/>
  <c r="Q178" i="15"/>
  <c r="R178" i="15"/>
  <c r="S178" i="15"/>
  <c r="R180" i="15"/>
  <c r="S180" i="15"/>
  <c r="T180" i="15"/>
  <c r="T182" i="15"/>
  <c r="S182" i="15"/>
  <c r="S186" i="15"/>
  <c r="T186" i="15"/>
  <c r="Q186" i="15"/>
  <c r="R186" i="15"/>
  <c r="S188" i="15"/>
  <c r="T188" i="15"/>
  <c r="S194" i="15"/>
  <c r="T194" i="15"/>
  <c r="Q194" i="15"/>
  <c r="R194" i="15"/>
  <c r="S196" i="15"/>
  <c r="T196" i="15"/>
  <c r="Q196" i="15"/>
  <c r="R196" i="15"/>
  <c r="S198" i="15"/>
  <c r="T198" i="15"/>
  <c r="Q198" i="15"/>
  <c r="R198" i="15"/>
  <c r="R200" i="15"/>
  <c r="S200" i="15"/>
  <c r="T200" i="15"/>
  <c r="S202" i="15"/>
  <c r="T202" i="15"/>
  <c r="Q132" i="15"/>
  <c r="R132" i="15"/>
  <c r="S132" i="15"/>
  <c r="T132" i="15"/>
  <c r="T134" i="15"/>
  <c r="S134" i="15"/>
  <c r="R138" i="15"/>
  <c r="S138" i="15"/>
  <c r="T138" i="15"/>
  <c r="Q138" i="15"/>
  <c r="R140" i="15"/>
  <c r="S140" i="15"/>
  <c r="T140" i="15"/>
  <c r="Q140" i="15"/>
  <c r="R142" i="15"/>
  <c r="S142" i="15"/>
  <c r="T142" i="15"/>
  <c r="Q142" i="15"/>
  <c r="S144" i="15"/>
  <c r="T144" i="15"/>
  <c r="R144" i="15"/>
  <c r="T150" i="15"/>
  <c r="Q150" i="15"/>
  <c r="R150" i="15"/>
  <c r="S150" i="15"/>
  <c r="T152" i="15"/>
  <c r="Q152" i="15"/>
  <c r="R152" i="15"/>
  <c r="S152" i="15"/>
  <c r="R154" i="15"/>
  <c r="S154" i="15"/>
  <c r="T154" i="15"/>
  <c r="T156" i="15"/>
  <c r="R156" i="15"/>
  <c r="S156" i="15"/>
  <c r="R161" i="15"/>
  <c r="S161" i="15"/>
  <c r="T161" i="15"/>
  <c r="Q161" i="15"/>
  <c r="R163" i="15"/>
  <c r="Q163" i="15"/>
  <c r="S163" i="15"/>
  <c r="T163" i="15"/>
  <c r="S165" i="15"/>
  <c r="T165" i="15"/>
  <c r="R165" i="15"/>
  <c r="S167" i="15"/>
  <c r="T167" i="15"/>
  <c r="Q170" i="15"/>
  <c r="R170" i="15"/>
  <c r="S170" i="15"/>
  <c r="T170" i="15"/>
  <c r="R172" i="15"/>
  <c r="S172" i="15"/>
  <c r="T172" i="15"/>
  <c r="T175" i="15"/>
  <c r="Q175" i="15"/>
  <c r="R175" i="15"/>
  <c r="S175" i="15"/>
  <c r="T177" i="15"/>
  <c r="Q177" i="15"/>
  <c r="R177" i="15"/>
  <c r="S177" i="15"/>
  <c r="T179" i="15"/>
  <c r="Q179" i="15"/>
  <c r="R179" i="15"/>
  <c r="S179" i="15"/>
  <c r="R181" i="15"/>
  <c r="S181" i="15"/>
  <c r="T181" i="15"/>
  <c r="S185" i="15"/>
  <c r="T185" i="15"/>
  <c r="Q185" i="15"/>
  <c r="R185" i="15"/>
  <c r="T187" i="15"/>
  <c r="R187" i="15"/>
  <c r="S187" i="15"/>
  <c r="T189" i="15"/>
  <c r="S189" i="15"/>
  <c r="S193" i="15"/>
  <c r="T193" i="15"/>
  <c r="Q193" i="15"/>
  <c r="R193" i="15"/>
  <c r="S195" i="15"/>
  <c r="T195" i="15"/>
  <c r="Q195" i="15"/>
  <c r="R195" i="15"/>
  <c r="S197" i="15"/>
  <c r="T197" i="15"/>
  <c r="Q197" i="15"/>
  <c r="R197" i="15"/>
  <c r="T199" i="15"/>
  <c r="R199" i="15"/>
  <c r="S199" i="15"/>
  <c r="S201" i="15"/>
  <c r="T201" i="15"/>
  <c r="Q130" i="15"/>
  <c r="R130" i="15"/>
  <c r="S130" i="15"/>
  <c r="T130" i="15"/>
  <c r="Q129" i="15"/>
  <c r="R129" i="15"/>
  <c r="S129" i="15"/>
  <c r="T129" i="15"/>
  <c r="Q131" i="15"/>
  <c r="R131" i="15"/>
  <c r="S131" i="15"/>
  <c r="T131" i="15"/>
  <c r="R133" i="15"/>
  <c r="S133" i="15"/>
  <c r="T133" i="15"/>
  <c r="S135" i="15"/>
  <c r="T135" i="15"/>
  <c r="T137" i="15"/>
  <c r="R137" i="15"/>
  <c r="S137" i="15"/>
  <c r="Q137" i="15"/>
  <c r="R139" i="15"/>
  <c r="S139" i="15"/>
  <c r="T139" i="15"/>
  <c r="Q139" i="15"/>
  <c r="R141" i="15"/>
  <c r="S141" i="15"/>
  <c r="T141" i="15"/>
  <c r="Q141" i="15"/>
  <c r="R143" i="15"/>
  <c r="S143" i="15"/>
  <c r="T143" i="15"/>
  <c r="Q143" i="15"/>
  <c r="S145" i="15"/>
  <c r="T145" i="15"/>
  <c r="T149" i="15"/>
  <c r="Q149" i="15"/>
  <c r="R149" i="15"/>
  <c r="S149" i="15"/>
  <c r="T151" i="15"/>
  <c r="Q151" i="15"/>
  <c r="R151" i="15"/>
  <c r="S151" i="15"/>
  <c r="R153" i="15"/>
  <c r="S153" i="15"/>
  <c r="T153" i="15"/>
  <c r="S155" i="15"/>
  <c r="T155" i="15"/>
  <c r="R155" i="15"/>
  <c r="S157" i="15"/>
  <c r="T157" i="15"/>
  <c r="R160" i="15"/>
  <c r="S160" i="15"/>
  <c r="T160" i="15"/>
  <c r="Q160" i="15"/>
  <c r="R162" i="15"/>
  <c r="S162" i="15"/>
  <c r="T162" i="15"/>
  <c r="Q162" i="15"/>
  <c r="R164" i="15"/>
  <c r="S164" i="15"/>
  <c r="T164" i="15"/>
  <c r="Q164" i="15"/>
  <c r="T166" i="15"/>
  <c r="R166" i="15"/>
  <c r="S166" i="15"/>
  <c r="Q171" i="15"/>
  <c r="R171" i="15"/>
  <c r="S171" i="15"/>
  <c r="T171" i="15"/>
  <c r="T173" i="15"/>
  <c r="S173" i="15"/>
  <c r="M125" i="15"/>
  <c r="M126" i="15"/>
  <c r="M127" i="15"/>
  <c r="M128" i="15"/>
  <c r="H122" i="15"/>
  <c r="L122" i="15" s="1"/>
  <c r="H123" i="15"/>
  <c r="L123" i="15" s="1"/>
  <c r="H124" i="15"/>
  <c r="L124" i="15" s="1"/>
  <c r="H125" i="15"/>
  <c r="L125" i="15" s="1"/>
  <c r="H126" i="15"/>
  <c r="L126" i="15" s="1"/>
  <c r="H127" i="15"/>
  <c r="L127" i="15" s="1"/>
  <c r="H128" i="15"/>
  <c r="L128" i="15" s="1"/>
  <c r="K128" i="15"/>
  <c r="K127" i="15"/>
  <c r="K126" i="15"/>
  <c r="K125" i="15"/>
  <c r="L120" i="15"/>
  <c r="E121" i="15"/>
  <c r="E122" i="15"/>
  <c r="E123" i="15"/>
  <c r="E124" i="15"/>
  <c r="E125" i="15"/>
  <c r="E126" i="15"/>
  <c r="E127" i="15"/>
  <c r="E128" i="15"/>
  <c r="K124" i="15"/>
  <c r="M124" i="15"/>
  <c r="K123" i="15"/>
  <c r="M123" i="15"/>
  <c r="K122" i="15"/>
  <c r="M122" i="15"/>
  <c r="K121" i="15"/>
  <c r="M121" i="15"/>
  <c r="K120" i="15"/>
  <c r="M120" i="15"/>
  <c r="E120" i="15"/>
  <c r="H121" i="15"/>
  <c r="L121" i="15" s="1"/>
  <c r="M110" i="15"/>
  <c r="M111" i="15"/>
  <c r="M112" i="15"/>
  <c r="M113" i="15"/>
  <c r="M114" i="15"/>
  <c r="M115" i="15"/>
  <c r="M116" i="15"/>
  <c r="M117" i="15"/>
  <c r="M118" i="15"/>
  <c r="T118" i="15" s="1"/>
  <c r="M119" i="15"/>
  <c r="M109" i="15"/>
  <c r="L109" i="15"/>
  <c r="K110" i="15"/>
  <c r="K111" i="15"/>
  <c r="K112" i="15"/>
  <c r="K113" i="15"/>
  <c r="K114" i="15"/>
  <c r="K115" i="15"/>
  <c r="K116" i="15"/>
  <c r="K117" i="15"/>
  <c r="K118" i="15"/>
  <c r="K119" i="15"/>
  <c r="K109" i="15"/>
  <c r="H111" i="15"/>
  <c r="L111" i="15" s="1"/>
  <c r="H112" i="15"/>
  <c r="L112" i="15" s="1"/>
  <c r="H113" i="15"/>
  <c r="L113" i="15" s="1"/>
  <c r="H114" i="15"/>
  <c r="L114" i="15" s="1"/>
  <c r="H115" i="15"/>
  <c r="L115" i="15" s="1"/>
  <c r="H116" i="15"/>
  <c r="L116" i="15" s="1"/>
  <c r="H117" i="15"/>
  <c r="L117" i="15" s="1"/>
  <c r="H118" i="15"/>
  <c r="L118" i="15" s="1"/>
  <c r="H119" i="15"/>
  <c r="L119" i="15" s="1"/>
  <c r="H110" i="15"/>
  <c r="L110" i="15" s="1"/>
  <c r="E110" i="15"/>
  <c r="E111" i="15"/>
  <c r="E112" i="15"/>
  <c r="E113" i="15"/>
  <c r="E114" i="15"/>
  <c r="E115" i="15"/>
  <c r="E116" i="15"/>
  <c r="E117" i="15"/>
  <c r="E118" i="15"/>
  <c r="E119" i="15"/>
  <c r="E109" i="15"/>
  <c r="L102" i="15"/>
  <c r="E103" i="15"/>
  <c r="E104" i="15"/>
  <c r="E105" i="15"/>
  <c r="E106" i="15"/>
  <c r="E107" i="15"/>
  <c r="E108" i="15"/>
  <c r="H104" i="15"/>
  <c r="L104" i="15" s="1"/>
  <c r="H105" i="15"/>
  <c r="L105" i="15" s="1"/>
  <c r="H106" i="15"/>
  <c r="L106" i="15" s="1"/>
  <c r="H107" i="15"/>
  <c r="L107" i="15" s="1"/>
  <c r="H108" i="15"/>
  <c r="L108" i="15" s="1"/>
  <c r="K108" i="15"/>
  <c r="M108" i="15"/>
  <c r="K107" i="15"/>
  <c r="M107" i="15"/>
  <c r="K106" i="15"/>
  <c r="M106" i="15"/>
  <c r="K105" i="15"/>
  <c r="M105" i="15"/>
  <c r="K104" i="15"/>
  <c r="M104" i="15"/>
  <c r="K103" i="15"/>
  <c r="M103" i="15"/>
  <c r="K102" i="15"/>
  <c r="M102" i="15"/>
  <c r="E102" i="15"/>
  <c r="H103" i="15"/>
  <c r="L103" i="15" s="1"/>
  <c r="L95" i="15"/>
  <c r="E96" i="15"/>
  <c r="E97" i="15"/>
  <c r="E98" i="15"/>
  <c r="E99" i="15"/>
  <c r="E100" i="15"/>
  <c r="E101" i="15"/>
  <c r="H97" i="15"/>
  <c r="L97" i="15" s="1"/>
  <c r="H98" i="15"/>
  <c r="L98" i="15" s="1"/>
  <c r="H99" i="15"/>
  <c r="L99" i="15" s="1"/>
  <c r="H100" i="15"/>
  <c r="L100" i="15" s="1"/>
  <c r="H101" i="15"/>
  <c r="L101" i="15" s="1"/>
  <c r="K101" i="15"/>
  <c r="M101" i="15"/>
  <c r="K100" i="15"/>
  <c r="M100" i="15"/>
  <c r="T100" i="15" s="1"/>
  <c r="K99" i="15"/>
  <c r="M99" i="15"/>
  <c r="K98" i="15"/>
  <c r="M98" i="15"/>
  <c r="K97" i="15"/>
  <c r="M97" i="15"/>
  <c r="K96" i="15"/>
  <c r="M96" i="15"/>
  <c r="K95" i="15"/>
  <c r="M95" i="15"/>
  <c r="E95" i="15"/>
  <c r="H96" i="15"/>
  <c r="L96" i="15" s="1"/>
  <c r="E409" i="15"/>
  <c r="E411" i="15"/>
  <c r="E413" i="15"/>
  <c r="E414" i="15"/>
  <c r="E415" i="15"/>
  <c r="E416" i="15"/>
  <c r="E418" i="15"/>
  <c r="E408" i="15"/>
  <c r="L395" i="15"/>
  <c r="E396" i="15"/>
  <c r="E397" i="15"/>
  <c r="E398" i="15"/>
  <c r="E399" i="15"/>
  <c r="E400" i="15"/>
  <c r="E401" i="15"/>
  <c r="E402" i="15"/>
  <c r="E403" i="15"/>
  <c r="E404" i="15"/>
  <c r="L404" i="15"/>
  <c r="L397" i="15"/>
  <c r="L398" i="15"/>
  <c r="L399" i="15"/>
  <c r="L400" i="15"/>
  <c r="L401" i="15"/>
  <c r="L402" i="15"/>
  <c r="L403" i="15"/>
  <c r="K404" i="15"/>
  <c r="M404" i="15"/>
  <c r="K403" i="15"/>
  <c r="M403" i="15"/>
  <c r="K402" i="15"/>
  <c r="M402" i="15"/>
  <c r="K401" i="15"/>
  <c r="M401" i="15"/>
  <c r="K400" i="15"/>
  <c r="M400" i="15"/>
  <c r="K399" i="15"/>
  <c r="M399" i="15"/>
  <c r="K398" i="15"/>
  <c r="M398" i="15"/>
  <c r="K397" i="15"/>
  <c r="M397" i="15"/>
  <c r="K396" i="15"/>
  <c r="M396" i="15"/>
  <c r="K395" i="15"/>
  <c r="M395" i="15"/>
  <c r="L396" i="15"/>
  <c r="E395" i="15"/>
  <c r="M390" i="15"/>
  <c r="M389" i="15"/>
  <c r="T389" i="15" s="1"/>
  <c r="M388" i="15"/>
  <c r="M387" i="15"/>
  <c r="M386" i="15"/>
  <c r="L383" i="15"/>
  <c r="L384" i="15"/>
  <c r="L385" i="15"/>
  <c r="L386" i="15"/>
  <c r="L387" i="15"/>
  <c r="L388" i="15"/>
  <c r="L389" i="15"/>
  <c r="L390" i="15"/>
  <c r="L382" i="15"/>
  <c r="L381" i="15"/>
  <c r="K386" i="15"/>
  <c r="K387" i="15"/>
  <c r="K388" i="15"/>
  <c r="K389" i="15"/>
  <c r="K390" i="15"/>
  <c r="E382" i="15"/>
  <c r="E383" i="15"/>
  <c r="E384" i="15"/>
  <c r="E385" i="15"/>
  <c r="E386" i="15"/>
  <c r="E387" i="15"/>
  <c r="E388" i="15"/>
  <c r="E389" i="15"/>
  <c r="E390" i="15"/>
  <c r="K385" i="15"/>
  <c r="M385" i="15"/>
  <c r="K384" i="15"/>
  <c r="M384" i="15"/>
  <c r="K383" i="15"/>
  <c r="M383" i="15"/>
  <c r="K382" i="15"/>
  <c r="M382" i="15"/>
  <c r="K381" i="15"/>
  <c r="M381" i="15"/>
  <c r="E381" i="15"/>
  <c r="M373" i="15"/>
  <c r="M374" i="15"/>
  <c r="M375" i="15"/>
  <c r="M376" i="15"/>
  <c r="M377" i="15"/>
  <c r="M378" i="15"/>
  <c r="L372" i="15"/>
  <c r="K373" i="15"/>
  <c r="K374" i="15"/>
  <c r="K375" i="15"/>
  <c r="K376" i="15"/>
  <c r="K377" i="15"/>
  <c r="K378" i="15"/>
  <c r="E373" i="15"/>
  <c r="E374" i="15"/>
  <c r="E375" i="15"/>
  <c r="E376" i="15"/>
  <c r="E377" i="15"/>
  <c r="E378" i="15"/>
  <c r="L374" i="15"/>
  <c r="L375" i="15"/>
  <c r="L376" i="15"/>
  <c r="L377" i="15"/>
  <c r="L378" i="15"/>
  <c r="H373" i="15"/>
  <c r="L373" i="15" s="1"/>
  <c r="K372" i="15"/>
  <c r="M372" i="15"/>
  <c r="E372" i="15"/>
  <c r="E344" i="15"/>
  <c r="E345" i="15"/>
  <c r="E346" i="15"/>
  <c r="E347" i="15"/>
  <c r="E348" i="15"/>
  <c r="E349" i="15"/>
  <c r="E350" i="15"/>
  <c r="E351" i="15"/>
  <c r="M347" i="15"/>
  <c r="M348" i="15"/>
  <c r="M349" i="15"/>
  <c r="T349" i="15" s="1"/>
  <c r="M350" i="15"/>
  <c r="M351" i="15"/>
  <c r="L343" i="15"/>
  <c r="K347" i="15"/>
  <c r="K348" i="15"/>
  <c r="K349" i="15"/>
  <c r="K350" i="15"/>
  <c r="K351" i="15"/>
  <c r="L345" i="15"/>
  <c r="L346" i="15"/>
  <c r="L347" i="15"/>
  <c r="L348" i="15"/>
  <c r="L349" i="15"/>
  <c r="L350" i="15"/>
  <c r="L351" i="15"/>
  <c r="L344" i="15"/>
  <c r="K346" i="15"/>
  <c r="M346" i="15"/>
  <c r="K345" i="15"/>
  <c r="M345" i="15"/>
  <c r="K344" i="15"/>
  <c r="M344" i="15"/>
  <c r="K343" i="15"/>
  <c r="M343" i="15"/>
  <c r="E343" i="15"/>
  <c r="M358" i="15"/>
  <c r="M359" i="15"/>
  <c r="M360" i="15"/>
  <c r="M362" i="15"/>
  <c r="M363" i="15"/>
  <c r="M364" i="15"/>
  <c r="M365" i="15"/>
  <c r="T365" i="15" s="1"/>
  <c r="M366" i="15"/>
  <c r="T366" i="15" s="1"/>
  <c r="M367" i="15"/>
  <c r="T367" i="15" s="1"/>
  <c r="M368" i="15"/>
  <c r="T368" i="15" s="1"/>
  <c r="M369" i="15"/>
  <c r="M370" i="15"/>
  <c r="L356" i="15"/>
  <c r="K358" i="15"/>
  <c r="K359" i="15"/>
  <c r="K360" i="15"/>
  <c r="K362" i="15"/>
  <c r="K363" i="15"/>
  <c r="K364" i="15"/>
  <c r="K365" i="15"/>
  <c r="K366" i="15"/>
  <c r="K367" i="15"/>
  <c r="K368" i="15"/>
  <c r="K369" i="15"/>
  <c r="K370" i="15"/>
  <c r="E358" i="15"/>
  <c r="E359" i="15"/>
  <c r="E360" i="15"/>
  <c r="E362" i="15"/>
  <c r="E363" i="15"/>
  <c r="E364" i="15"/>
  <c r="E365" i="15"/>
  <c r="E366" i="15"/>
  <c r="E367" i="15"/>
  <c r="E368" i="15"/>
  <c r="E369" i="15"/>
  <c r="E370" i="15"/>
  <c r="L359" i="15"/>
  <c r="L360" i="15"/>
  <c r="L362" i="15"/>
  <c r="L363" i="15"/>
  <c r="L364" i="15"/>
  <c r="L365" i="15"/>
  <c r="L366" i="15"/>
  <c r="L367" i="15"/>
  <c r="L368" i="15"/>
  <c r="L369" i="15"/>
  <c r="L370" i="15"/>
  <c r="L358" i="15"/>
  <c r="K356" i="15"/>
  <c r="M356" i="15"/>
  <c r="E356" i="15"/>
  <c r="L87" i="15"/>
  <c r="E88" i="15"/>
  <c r="E89" i="15"/>
  <c r="E90" i="15"/>
  <c r="E91" i="15"/>
  <c r="E92" i="15"/>
  <c r="E93" i="15"/>
  <c r="E94" i="15"/>
  <c r="H89" i="15"/>
  <c r="L89" i="15" s="1"/>
  <c r="H90" i="15"/>
  <c r="L90" i="15" s="1"/>
  <c r="H91" i="15"/>
  <c r="L91" i="15" s="1"/>
  <c r="H92" i="15"/>
  <c r="L92" i="15" s="1"/>
  <c r="H93" i="15"/>
  <c r="L93" i="15" s="1"/>
  <c r="H94" i="15"/>
  <c r="L94" i="15" s="1"/>
  <c r="H88" i="15"/>
  <c r="L88" i="15" s="1"/>
  <c r="K94" i="15"/>
  <c r="M94" i="15"/>
  <c r="K93" i="15"/>
  <c r="M93" i="15"/>
  <c r="K92" i="15"/>
  <c r="M92" i="15"/>
  <c r="K91" i="15"/>
  <c r="M91" i="15"/>
  <c r="K90" i="15"/>
  <c r="M90" i="15"/>
  <c r="K89" i="15"/>
  <c r="M89" i="15"/>
  <c r="K88" i="15"/>
  <c r="M88" i="15"/>
  <c r="K87" i="15"/>
  <c r="M87" i="15"/>
  <c r="E87" i="15"/>
  <c r="L335" i="15"/>
  <c r="L338" i="15"/>
  <c r="L339" i="15"/>
  <c r="L340" i="15"/>
  <c r="L336" i="15"/>
  <c r="K340" i="15"/>
  <c r="M340" i="15"/>
  <c r="K339" i="15"/>
  <c r="M339" i="15"/>
  <c r="K338" i="15"/>
  <c r="M338" i="15"/>
  <c r="T338" i="15" s="1"/>
  <c r="K336" i="15"/>
  <c r="M336" i="15"/>
  <c r="K335" i="15"/>
  <c r="M335" i="15"/>
  <c r="E336" i="15"/>
  <c r="E338" i="15"/>
  <c r="E339" i="15"/>
  <c r="E340" i="15"/>
  <c r="E335" i="15"/>
  <c r="E298" i="15"/>
  <c r="E299" i="15"/>
  <c r="E300" i="15"/>
  <c r="E301" i="15"/>
  <c r="E302" i="15"/>
  <c r="E303" i="15"/>
  <c r="E304" i="15"/>
  <c r="M297" i="15"/>
  <c r="M298" i="15"/>
  <c r="M299" i="15"/>
  <c r="M300" i="15"/>
  <c r="M301" i="15"/>
  <c r="M302" i="15"/>
  <c r="M303" i="15"/>
  <c r="T303" i="15" s="1"/>
  <c r="M304" i="15"/>
  <c r="L297" i="15"/>
  <c r="L299" i="15"/>
  <c r="L300" i="15"/>
  <c r="L301" i="15"/>
  <c r="L302" i="15"/>
  <c r="L303" i="15"/>
  <c r="L304" i="15"/>
  <c r="L298" i="15"/>
  <c r="K304" i="15"/>
  <c r="K303" i="15"/>
  <c r="K302" i="15"/>
  <c r="K301" i="15"/>
  <c r="K300" i="15"/>
  <c r="K299" i="15"/>
  <c r="K298" i="15"/>
  <c r="K297" i="15"/>
  <c r="E297" i="15"/>
  <c r="M332" i="15"/>
  <c r="K332" i="15"/>
  <c r="L332" i="15"/>
  <c r="E332" i="15"/>
  <c r="M331" i="15"/>
  <c r="T331" i="15" s="1"/>
  <c r="K331" i="15"/>
  <c r="L331" i="15"/>
  <c r="M330" i="15"/>
  <c r="K330" i="15"/>
  <c r="L330" i="15"/>
  <c r="M329" i="15"/>
  <c r="K329" i="15"/>
  <c r="L329" i="15"/>
  <c r="M328" i="15"/>
  <c r="K328" i="15"/>
  <c r="L328" i="15"/>
  <c r="M327" i="15"/>
  <c r="K327" i="15"/>
  <c r="L327" i="15"/>
  <c r="M326" i="15"/>
  <c r="K326" i="15"/>
  <c r="L326" i="15"/>
  <c r="M325" i="15"/>
  <c r="K325" i="15"/>
  <c r="L325" i="15"/>
  <c r="M324" i="15"/>
  <c r="K324" i="15"/>
  <c r="L324" i="15"/>
  <c r="M323" i="15"/>
  <c r="K323" i="15"/>
  <c r="L323" i="15"/>
  <c r="M322" i="15"/>
  <c r="K322" i="15"/>
  <c r="L322" i="15"/>
  <c r="M321" i="15"/>
  <c r="L321" i="15"/>
  <c r="K321" i="15"/>
  <c r="M308" i="15"/>
  <c r="M309" i="15"/>
  <c r="M310" i="15"/>
  <c r="M311" i="15"/>
  <c r="M312" i="15"/>
  <c r="M313" i="15"/>
  <c r="M314" i="15"/>
  <c r="T314" i="15" s="1"/>
  <c r="M315" i="15"/>
  <c r="M316" i="15"/>
  <c r="L306" i="15"/>
  <c r="K308" i="15"/>
  <c r="K309" i="15"/>
  <c r="K310" i="15"/>
  <c r="K311" i="15"/>
  <c r="K312" i="15"/>
  <c r="K313" i="15"/>
  <c r="K314" i="15"/>
  <c r="K315" i="15"/>
  <c r="K316" i="15"/>
  <c r="E316" i="15"/>
  <c r="L309" i="15"/>
  <c r="L310" i="15"/>
  <c r="L311" i="15"/>
  <c r="L312" i="15"/>
  <c r="L313" i="15"/>
  <c r="L314" i="15"/>
  <c r="L315" i="15"/>
  <c r="L316" i="15"/>
  <c r="L308" i="15"/>
  <c r="K306" i="15"/>
  <c r="M306" i="15"/>
  <c r="M77" i="15"/>
  <c r="M78" i="15"/>
  <c r="M79" i="15"/>
  <c r="M80" i="15"/>
  <c r="M81" i="15"/>
  <c r="M82" i="15"/>
  <c r="M83" i="15"/>
  <c r="M84" i="15"/>
  <c r="T84" i="15" s="1"/>
  <c r="M85" i="15"/>
  <c r="M86" i="15"/>
  <c r="K76" i="15"/>
  <c r="K77" i="15"/>
  <c r="K78" i="15"/>
  <c r="K79" i="15"/>
  <c r="K80" i="15"/>
  <c r="K81" i="15"/>
  <c r="K82" i="15"/>
  <c r="K83" i="15"/>
  <c r="K84" i="15"/>
  <c r="K85" i="15"/>
  <c r="K86" i="15"/>
  <c r="E77" i="15"/>
  <c r="E78" i="15"/>
  <c r="E79" i="15"/>
  <c r="E80" i="15"/>
  <c r="E81" i="15"/>
  <c r="E82" i="15"/>
  <c r="E83" i="15"/>
  <c r="E84" i="15"/>
  <c r="E85" i="15"/>
  <c r="E86" i="15"/>
  <c r="H78" i="15"/>
  <c r="L78" i="15" s="1"/>
  <c r="H79" i="15"/>
  <c r="L79" i="15" s="1"/>
  <c r="H80" i="15"/>
  <c r="L80" i="15" s="1"/>
  <c r="H81" i="15"/>
  <c r="L81" i="15" s="1"/>
  <c r="H82" i="15"/>
  <c r="L82" i="15" s="1"/>
  <c r="H83" i="15"/>
  <c r="L83" i="15" s="1"/>
  <c r="H84" i="15"/>
  <c r="L84" i="15" s="1"/>
  <c r="H85" i="15"/>
  <c r="L85" i="15" s="1"/>
  <c r="H86" i="15"/>
  <c r="L86" i="15" s="1"/>
  <c r="H77" i="15"/>
  <c r="L77" i="15" s="1"/>
  <c r="L76" i="15"/>
  <c r="M76" i="15"/>
  <c r="E76" i="15"/>
  <c r="E75" i="15"/>
  <c r="S80" i="15" l="1"/>
  <c r="T80" i="15"/>
  <c r="Q80" i="15"/>
  <c r="R80" i="15"/>
  <c r="T306" i="15"/>
  <c r="Q306" i="15"/>
  <c r="R306" i="15"/>
  <c r="S306" i="15"/>
  <c r="T310" i="15"/>
  <c r="Q310" i="15"/>
  <c r="R310" i="15"/>
  <c r="S310" i="15"/>
  <c r="R322" i="15"/>
  <c r="S322" i="15"/>
  <c r="T322" i="15"/>
  <c r="Q322" i="15"/>
  <c r="R326" i="15"/>
  <c r="S326" i="15"/>
  <c r="T326" i="15"/>
  <c r="Q326" i="15"/>
  <c r="S330" i="15"/>
  <c r="T330" i="15"/>
  <c r="T301" i="15"/>
  <c r="Q301" i="15"/>
  <c r="R301" i="15"/>
  <c r="S301" i="15"/>
  <c r="T297" i="15"/>
  <c r="Q297" i="15"/>
  <c r="R297" i="15"/>
  <c r="S297" i="15"/>
  <c r="S362" i="15"/>
  <c r="T362" i="15"/>
  <c r="S376" i="15"/>
  <c r="T376" i="15"/>
  <c r="R387" i="15"/>
  <c r="S387" i="15"/>
  <c r="T387" i="15"/>
  <c r="Q387" i="15"/>
  <c r="S396" i="15"/>
  <c r="T396" i="15"/>
  <c r="Q396" i="15"/>
  <c r="R396" i="15"/>
  <c r="S398" i="15"/>
  <c r="T398" i="15"/>
  <c r="Q398" i="15"/>
  <c r="R398" i="15"/>
  <c r="S400" i="15"/>
  <c r="T400" i="15"/>
  <c r="Q400" i="15"/>
  <c r="R400" i="15"/>
  <c r="T402" i="15"/>
  <c r="R402" i="15"/>
  <c r="S402" i="15"/>
  <c r="T96" i="15"/>
  <c r="Q96" i="15"/>
  <c r="R96" i="15"/>
  <c r="S96" i="15"/>
  <c r="T98" i="15"/>
  <c r="Q98" i="15"/>
  <c r="R98" i="15"/>
  <c r="S98" i="15"/>
  <c r="Q103" i="15"/>
  <c r="R103" i="15"/>
  <c r="S103" i="15"/>
  <c r="T103" i="15"/>
  <c r="Q105" i="15"/>
  <c r="R105" i="15"/>
  <c r="S105" i="15"/>
  <c r="T105" i="15"/>
  <c r="T107" i="15"/>
  <c r="S107" i="15"/>
  <c r="S117" i="15"/>
  <c r="T117" i="15"/>
  <c r="T113" i="15"/>
  <c r="Q113" i="15"/>
  <c r="R113" i="15"/>
  <c r="S113" i="15"/>
  <c r="T121" i="15"/>
  <c r="Q121" i="15"/>
  <c r="R121" i="15"/>
  <c r="S121" i="15"/>
  <c r="T123" i="15"/>
  <c r="Q123" i="15"/>
  <c r="R123" i="15"/>
  <c r="S123" i="15"/>
  <c r="S76" i="15"/>
  <c r="T76" i="15"/>
  <c r="Q76" i="15"/>
  <c r="R76" i="15"/>
  <c r="S83" i="15"/>
  <c r="T83" i="15"/>
  <c r="S79" i="15"/>
  <c r="T79" i="15"/>
  <c r="Q79" i="15"/>
  <c r="R79" i="15"/>
  <c r="S313" i="15"/>
  <c r="T313" i="15"/>
  <c r="T309" i="15"/>
  <c r="Q309" i="15"/>
  <c r="R309" i="15"/>
  <c r="S309" i="15"/>
  <c r="R321" i="15"/>
  <c r="S321" i="15"/>
  <c r="T321" i="15"/>
  <c r="Q321" i="15"/>
  <c r="R325" i="15"/>
  <c r="S325" i="15"/>
  <c r="T325" i="15"/>
  <c r="Q325" i="15"/>
  <c r="S329" i="15"/>
  <c r="T329" i="15"/>
  <c r="T300" i="15"/>
  <c r="Q300" i="15"/>
  <c r="R300" i="15"/>
  <c r="S300" i="15"/>
  <c r="R335" i="15"/>
  <c r="S335" i="15"/>
  <c r="T335" i="15"/>
  <c r="T87" i="15"/>
  <c r="S87" i="15"/>
  <c r="R87" i="15"/>
  <c r="Q87" i="15"/>
  <c r="Q89" i="15"/>
  <c r="R89" i="15"/>
  <c r="S89" i="15"/>
  <c r="T89" i="15"/>
  <c r="Q91" i="15"/>
  <c r="R91" i="15"/>
  <c r="S91" i="15"/>
  <c r="T91" i="15"/>
  <c r="T93" i="15"/>
  <c r="S93" i="15"/>
  <c r="S356" i="15"/>
  <c r="T356" i="15"/>
  <c r="Q356" i="15"/>
  <c r="R356" i="15"/>
  <c r="T360" i="15"/>
  <c r="R360" i="15"/>
  <c r="S360" i="15"/>
  <c r="T343" i="15"/>
  <c r="Q343" i="15"/>
  <c r="R343" i="15"/>
  <c r="S343" i="15"/>
  <c r="T345" i="15"/>
  <c r="Q345" i="15"/>
  <c r="R345" i="15"/>
  <c r="S345" i="15"/>
  <c r="S372" i="15"/>
  <c r="T372" i="15"/>
  <c r="Q372" i="15"/>
  <c r="R372" i="15"/>
  <c r="T375" i="15"/>
  <c r="R375" i="15"/>
  <c r="S375" i="15"/>
  <c r="R381" i="15"/>
  <c r="S381" i="15"/>
  <c r="T381" i="15"/>
  <c r="Q381" i="15"/>
  <c r="R383" i="15"/>
  <c r="S383" i="15"/>
  <c r="T383" i="15"/>
  <c r="Q383" i="15"/>
  <c r="R385" i="15"/>
  <c r="S385" i="15"/>
  <c r="T385" i="15"/>
  <c r="Q385" i="15"/>
  <c r="T388" i="15"/>
  <c r="S388" i="15"/>
  <c r="T109" i="15"/>
  <c r="Q109" i="15"/>
  <c r="R109" i="15"/>
  <c r="S109" i="15"/>
  <c r="S116" i="15"/>
  <c r="T116" i="15"/>
  <c r="T112" i="15"/>
  <c r="Q112" i="15"/>
  <c r="R112" i="15"/>
  <c r="S112" i="15"/>
  <c r="T82" i="15"/>
  <c r="R82" i="15"/>
  <c r="S82" i="15"/>
  <c r="S78" i="15"/>
  <c r="T78" i="15"/>
  <c r="Q78" i="15"/>
  <c r="R78" i="15"/>
  <c r="R312" i="15"/>
  <c r="S312" i="15"/>
  <c r="T312" i="15"/>
  <c r="T308" i="15"/>
  <c r="Q308" i="15"/>
  <c r="R308" i="15"/>
  <c r="S308" i="15"/>
  <c r="R324" i="15"/>
  <c r="S324" i="15"/>
  <c r="T324" i="15"/>
  <c r="Q324" i="15"/>
  <c r="S328" i="15"/>
  <c r="T328" i="15"/>
  <c r="T299" i="15"/>
  <c r="Q299" i="15"/>
  <c r="R299" i="15"/>
  <c r="S299" i="15"/>
  <c r="S364" i="15"/>
  <c r="T364" i="15"/>
  <c r="S359" i="15"/>
  <c r="T359" i="15"/>
  <c r="Q359" i="15"/>
  <c r="R359" i="15"/>
  <c r="T348" i="15"/>
  <c r="S348" i="15"/>
  <c r="S374" i="15"/>
  <c r="T374" i="15"/>
  <c r="Q374" i="15"/>
  <c r="R374" i="15"/>
  <c r="S395" i="15"/>
  <c r="T395" i="15"/>
  <c r="Q395" i="15"/>
  <c r="R395" i="15"/>
  <c r="S397" i="15"/>
  <c r="T397" i="15"/>
  <c r="Q397" i="15"/>
  <c r="R397" i="15"/>
  <c r="S399" i="15"/>
  <c r="T399" i="15"/>
  <c r="Q399" i="15"/>
  <c r="R399" i="15"/>
  <c r="S401" i="15"/>
  <c r="T401" i="15"/>
  <c r="Q401" i="15"/>
  <c r="R401" i="15"/>
  <c r="S403" i="15"/>
  <c r="T403" i="15"/>
  <c r="T95" i="15"/>
  <c r="Q95" i="15"/>
  <c r="R95" i="15"/>
  <c r="S95" i="15"/>
  <c r="T97" i="15"/>
  <c r="Q97" i="15"/>
  <c r="R97" i="15"/>
  <c r="S97" i="15"/>
  <c r="S99" i="15"/>
  <c r="T99" i="15"/>
  <c r="Q102" i="15"/>
  <c r="R102" i="15"/>
  <c r="S102" i="15"/>
  <c r="T102" i="15"/>
  <c r="Q104" i="15"/>
  <c r="R104" i="15"/>
  <c r="S104" i="15"/>
  <c r="T104" i="15"/>
  <c r="R106" i="15"/>
  <c r="S106" i="15"/>
  <c r="T106" i="15"/>
  <c r="R115" i="15"/>
  <c r="S115" i="15"/>
  <c r="T115" i="15"/>
  <c r="T111" i="15"/>
  <c r="Q111" i="15"/>
  <c r="R111" i="15"/>
  <c r="S111" i="15"/>
  <c r="T120" i="15"/>
  <c r="Q120" i="15"/>
  <c r="R120" i="15"/>
  <c r="S120" i="15"/>
  <c r="T122" i="15"/>
  <c r="Q122" i="15"/>
  <c r="R122" i="15"/>
  <c r="S122" i="15"/>
  <c r="T124" i="15"/>
  <c r="Q124" i="15"/>
  <c r="R124" i="15"/>
  <c r="S124" i="15"/>
  <c r="R126" i="15"/>
  <c r="S126" i="15"/>
  <c r="T126" i="15"/>
  <c r="S81" i="15"/>
  <c r="T81" i="15"/>
  <c r="Q81" i="15"/>
  <c r="R81" i="15"/>
  <c r="S77" i="15"/>
  <c r="T77" i="15"/>
  <c r="Q77" i="15"/>
  <c r="R77" i="15"/>
  <c r="T311" i="15"/>
  <c r="Q311" i="15"/>
  <c r="R311" i="15"/>
  <c r="S311" i="15"/>
  <c r="R323" i="15"/>
  <c r="S323" i="15"/>
  <c r="T323" i="15"/>
  <c r="Q323" i="15"/>
  <c r="S327" i="15"/>
  <c r="T327" i="15"/>
  <c r="R327" i="15"/>
  <c r="R302" i="15"/>
  <c r="S302" i="15"/>
  <c r="T302" i="15"/>
  <c r="T298" i="15"/>
  <c r="Q298" i="15"/>
  <c r="R298" i="15"/>
  <c r="S298" i="15"/>
  <c r="S336" i="15"/>
  <c r="T336" i="15"/>
  <c r="Q88" i="15"/>
  <c r="R88" i="15"/>
  <c r="S88" i="15"/>
  <c r="T88" i="15"/>
  <c r="Q90" i="15"/>
  <c r="R90" i="15"/>
  <c r="S90" i="15"/>
  <c r="T90" i="15"/>
  <c r="R92" i="15"/>
  <c r="S92" i="15"/>
  <c r="T92" i="15"/>
  <c r="S363" i="15"/>
  <c r="T363" i="15"/>
  <c r="S358" i="15"/>
  <c r="T358" i="15"/>
  <c r="Q358" i="15"/>
  <c r="R358" i="15"/>
  <c r="T344" i="15"/>
  <c r="Q344" i="15"/>
  <c r="R344" i="15"/>
  <c r="S344" i="15"/>
  <c r="R346" i="15"/>
  <c r="S346" i="15"/>
  <c r="T346" i="15"/>
  <c r="R347" i="15"/>
  <c r="S347" i="15"/>
  <c r="T347" i="15"/>
  <c r="S373" i="15"/>
  <c r="T373" i="15"/>
  <c r="Q373" i="15"/>
  <c r="R373" i="15"/>
  <c r="R382" i="15"/>
  <c r="S382" i="15"/>
  <c r="T382" i="15"/>
  <c r="Q382" i="15"/>
  <c r="R384" i="15"/>
  <c r="S384" i="15"/>
  <c r="T384" i="15"/>
  <c r="Q384" i="15"/>
  <c r="R386" i="15"/>
  <c r="S386" i="15"/>
  <c r="T386" i="15"/>
  <c r="Q386" i="15"/>
  <c r="T114" i="15"/>
  <c r="Q114" i="15"/>
  <c r="R114" i="15"/>
  <c r="S114" i="15"/>
  <c r="T110" i="15"/>
  <c r="Q110" i="15"/>
  <c r="R110" i="15"/>
  <c r="S110" i="15"/>
  <c r="T125" i="15"/>
  <c r="Q125" i="15"/>
  <c r="R125" i="15"/>
  <c r="S125" i="15"/>
  <c r="E67" i="15"/>
  <c r="E68" i="15"/>
  <c r="E69" i="15"/>
  <c r="E70" i="15"/>
  <c r="E71" i="15"/>
  <c r="E72" i="15"/>
  <c r="E73" i="15"/>
  <c r="E74" i="15"/>
  <c r="L66" i="15"/>
  <c r="H68" i="15"/>
  <c r="L68" i="15" s="1"/>
  <c r="H69" i="15"/>
  <c r="L69" i="15" s="1"/>
  <c r="H70" i="15"/>
  <c r="L70" i="15" s="1"/>
  <c r="H71" i="15"/>
  <c r="L71" i="15" s="1"/>
  <c r="H72" i="15"/>
  <c r="L72" i="15" s="1"/>
  <c r="H73" i="15"/>
  <c r="L73" i="15" s="1"/>
  <c r="H74" i="15"/>
  <c r="L74" i="15" s="1"/>
  <c r="H75" i="15"/>
  <c r="L75" i="15" s="1"/>
  <c r="H67" i="15"/>
  <c r="L67" i="15" s="1"/>
  <c r="K67" i="15"/>
  <c r="K68" i="15"/>
  <c r="K69" i="15"/>
  <c r="K70" i="15"/>
  <c r="K71" i="15"/>
  <c r="K72" i="15"/>
  <c r="K73" i="15"/>
  <c r="K74" i="15"/>
  <c r="K75" i="15"/>
  <c r="M75" i="15"/>
  <c r="M74" i="15"/>
  <c r="M73" i="15"/>
  <c r="M72" i="15"/>
  <c r="M71" i="15"/>
  <c r="M70" i="15"/>
  <c r="M69" i="15"/>
  <c r="M68" i="15"/>
  <c r="M67" i="15"/>
  <c r="K66" i="15"/>
  <c r="M66" i="15"/>
  <c r="E66" i="15"/>
  <c r="E57" i="15"/>
  <c r="E58" i="15"/>
  <c r="E59" i="15"/>
  <c r="E60" i="15"/>
  <c r="E61" i="15"/>
  <c r="E62" i="15"/>
  <c r="E63" i="15"/>
  <c r="E64" i="15"/>
  <c r="E65" i="15"/>
  <c r="M57" i="15"/>
  <c r="M58" i="15"/>
  <c r="M59" i="15"/>
  <c r="M60" i="15"/>
  <c r="M61" i="15"/>
  <c r="M62" i="15"/>
  <c r="M63" i="15"/>
  <c r="T63" i="15" s="1"/>
  <c r="M64" i="15"/>
  <c r="M65" i="15"/>
  <c r="L56" i="15"/>
  <c r="K62" i="15"/>
  <c r="K63" i="15"/>
  <c r="K64" i="15"/>
  <c r="K65" i="15"/>
  <c r="H58" i="15"/>
  <c r="L58" i="15" s="1"/>
  <c r="H59" i="15"/>
  <c r="L59" i="15" s="1"/>
  <c r="H60" i="15"/>
  <c r="L60" i="15" s="1"/>
  <c r="H61" i="15"/>
  <c r="L61" i="15" s="1"/>
  <c r="H62" i="15"/>
  <c r="L62" i="15" s="1"/>
  <c r="H63" i="15"/>
  <c r="L63" i="15" s="1"/>
  <c r="H64" i="15"/>
  <c r="L64" i="15" s="1"/>
  <c r="H65" i="15"/>
  <c r="L65" i="15" s="1"/>
  <c r="H57" i="15"/>
  <c r="L57" i="15" s="1"/>
  <c r="E56" i="15"/>
  <c r="M56" i="15"/>
  <c r="K61" i="15"/>
  <c r="K60" i="15"/>
  <c r="K59" i="15"/>
  <c r="K58" i="15"/>
  <c r="K57" i="15"/>
  <c r="K56" i="15"/>
  <c r="L52" i="15"/>
  <c r="H54" i="15"/>
  <c r="L54" i="15" s="1"/>
  <c r="H55" i="15"/>
  <c r="L55" i="15" s="1"/>
  <c r="H53" i="15"/>
  <c r="L53" i="15" s="1"/>
  <c r="K55" i="15"/>
  <c r="M55" i="15"/>
  <c r="K54" i="15"/>
  <c r="M54" i="15"/>
  <c r="T54" i="15" s="1"/>
  <c r="K53" i="15"/>
  <c r="M53" i="15"/>
  <c r="K52" i="15"/>
  <c r="E53" i="15"/>
  <c r="E54" i="15"/>
  <c r="E55" i="15"/>
  <c r="E52" i="15"/>
  <c r="L44" i="15"/>
  <c r="H46" i="15"/>
  <c r="L46" i="15" s="1"/>
  <c r="H47" i="15"/>
  <c r="L47" i="15" s="1"/>
  <c r="H48" i="15"/>
  <c r="L48" i="15" s="1"/>
  <c r="H49" i="15"/>
  <c r="L49" i="15" s="1"/>
  <c r="H50" i="15"/>
  <c r="L50" i="15" s="1"/>
  <c r="H51" i="15"/>
  <c r="L51" i="15" s="1"/>
  <c r="H45" i="15"/>
  <c r="L45" i="15" s="1"/>
  <c r="K51" i="15"/>
  <c r="M51" i="15"/>
  <c r="K50" i="15"/>
  <c r="M50" i="15"/>
  <c r="K49" i="15"/>
  <c r="M49" i="15"/>
  <c r="K48" i="15"/>
  <c r="M48" i="15"/>
  <c r="K47" i="15"/>
  <c r="M47" i="15"/>
  <c r="K46" i="15"/>
  <c r="M46" i="15"/>
  <c r="K45" i="15"/>
  <c r="M45" i="15"/>
  <c r="K44" i="15"/>
  <c r="M44" i="15"/>
  <c r="E44" i="15"/>
  <c r="E45" i="15"/>
  <c r="E46" i="15"/>
  <c r="E47" i="15"/>
  <c r="E48" i="15"/>
  <c r="E49" i="15"/>
  <c r="E50" i="15"/>
  <c r="E51" i="15"/>
  <c r="L35" i="15"/>
  <c r="H37" i="15"/>
  <c r="L37" i="15" s="1"/>
  <c r="H38" i="15"/>
  <c r="L38" i="15" s="1"/>
  <c r="H39" i="15"/>
  <c r="L39" i="15" s="1"/>
  <c r="H40" i="15"/>
  <c r="L40" i="15" s="1"/>
  <c r="H41" i="15"/>
  <c r="L41" i="15" s="1"/>
  <c r="H42" i="15"/>
  <c r="L42" i="15" s="1"/>
  <c r="H43" i="15"/>
  <c r="L43" i="15" s="1"/>
  <c r="H36" i="15"/>
  <c r="L36" i="15" s="1"/>
  <c r="K43" i="15"/>
  <c r="M43" i="15"/>
  <c r="K42" i="15"/>
  <c r="M42" i="15"/>
  <c r="K41" i="15"/>
  <c r="M41" i="15"/>
  <c r="K40" i="15"/>
  <c r="M40" i="15"/>
  <c r="K39" i="15"/>
  <c r="M39" i="15"/>
  <c r="K38" i="15"/>
  <c r="M38" i="15"/>
  <c r="K37" i="15"/>
  <c r="M37" i="15"/>
  <c r="K36" i="15"/>
  <c r="M36" i="15"/>
  <c r="K35" i="15"/>
  <c r="M35" i="15"/>
  <c r="E36" i="15"/>
  <c r="E37" i="15"/>
  <c r="E38" i="15"/>
  <c r="E39" i="15"/>
  <c r="E40" i="15"/>
  <c r="E41" i="15"/>
  <c r="E42" i="15"/>
  <c r="E43" i="15"/>
  <c r="E35" i="15"/>
  <c r="L24" i="15"/>
  <c r="H26" i="15"/>
  <c r="L26" i="15" s="1"/>
  <c r="H27" i="15"/>
  <c r="L27" i="15" s="1"/>
  <c r="H28" i="15"/>
  <c r="L28" i="15" s="1"/>
  <c r="H29" i="15"/>
  <c r="L29" i="15" s="1"/>
  <c r="H30" i="15"/>
  <c r="L30" i="15" s="1"/>
  <c r="H31" i="15"/>
  <c r="L31" i="15" s="1"/>
  <c r="H32" i="15"/>
  <c r="L32" i="15" s="1"/>
  <c r="H33" i="15"/>
  <c r="L33" i="15" s="1"/>
  <c r="H34" i="15"/>
  <c r="L34" i="15" s="1"/>
  <c r="H25" i="15"/>
  <c r="L25" i="15" s="1"/>
  <c r="K34" i="15"/>
  <c r="M34" i="15"/>
  <c r="K33" i="15"/>
  <c r="M33" i="15"/>
  <c r="K32" i="15"/>
  <c r="M32" i="15"/>
  <c r="K31" i="15"/>
  <c r="M31" i="15"/>
  <c r="K30" i="15"/>
  <c r="M30" i="15"/>
  <c r="K29" i="15"/>
  <c r="M29" i="15"/>
  <c r="K28" i="15"/>
  <c r="M28" i="15"/>
  <c r="K27" i="15"/>
  <c r="M27" i="15"/>
  <c r="K26" i="15"/>
  <c r="M26" i="15"/>
  <c r="K25" i="15"/>
  <c r="M25" i="15"/>
  <c r="K24" i="15"/>
  <c r="M24" i="15"/>
  <c r="E25" i="15"/>
  <c r="E26" i="15"/>
  <c r="E27" i="15"/>
  <c r="E28" i="15"/>
  <c r="E29" i="15"/>
  <c r="E30" i="15"/>
  <c r="E31" i="15"/>
  <c r="E32" i="15"/>
  <c r="E33" i="15"/>
  <c r="E34" i="15"/>
  <c r="E24" i="15"/>
  <c r="L18" i="15"/>
  <c r="H20" i="15"/>
  <c r="L20" i="15" s="1"/>
  <c r="H21" i="15"/>
  <c r="L21" i="15" s="1"/>
  <c r="H22" i="15"/>
  <c r="L22" i="15" s="1"/>
  <c r="H23" i="15"/>
  <c r="L23" i="15" s="1"/>
  <c r="H19" i="15"/>
  <c r="L19" i="15" s="1"/>
  <c r="K23" i="15"/>
  <c r="M23" i="15"/>
  <c r="K22" i="15"/>
  <c r="M22" i="15"/>
  <c r="K21" i="15"/>
  <c r="M21" i="15"/>
  <c r="K20" i="15"/>
  <c r="M20" i="15"/>
  <c r="K19" i="15"/>
  <c r="M19" i="15"/>
  <c r="K18" i="15"/>
  <c r="M18" i="15"/>
  <c r="E19" i="15"/>
  <c r="E20" i="15"/>
  <c r="E21" i="15"/>
  <c r="E22" i="15"/>
  <c r="E23" i="15"/>
  <c r="E18" i="15"/>
  <c r="M8" i="15"/>
  <c r="M9" i="15"/>
  <c r="M10" i="15"/>
  <c r="M11" i="15"/>
  <c r="M12" i="15"/>
  <c r="M13" i="15"/>
  <c r="M14" i="15"/>
  <c r="M15" i="15"/>
  <c r="M16" i="15"/>
  <c r="M17" i="15"/>
  <c r="L8" i="15"/>
  <c r="H10" i="15"/>
  <c r="L10" i="15" s="1"/>
  <c r="H11" i="15"/>
  <c r="L11" i="15" s="1"/>
  <c r="H12" i="15"/>
  <c r="L12" i="15" s="1"/>
  <c r="H13" i="15"/>
  <c r="L13" i="15" s="1"/>
  <c r="H14" i="15"/>
  <c r="L14" i="15" s="1"/>
  <c r="H15" i="15"/>
  <c r="L15" i="15" s="1"/>
  <c r="H16" i="15"/>
  <c r="L16" i="15" s="1"/>
  <c r="H17" i="15"/>
  <c r="L17" i="15" s="1"/>
  <c r="H9" i="15"/>
  <c r="L9" i="15" s="1"/>
  <c r="K17" i="15"/>
  <c r="K16" i="15"/>
  <c r="K15" i="15"/>
  <c r="K14" i="15"/>
  <c r="K13" i="15"/>
  <c r="K12" i="15"/>
  <c r="K11" i="15"/>
  <c r="K10" i="15"/>
  <c r="K9" i="15"/>
  <c r="K8" i="15"/>
  <c r="E8" i="15"/>
  <c r="E9" i="15"/>
  <c r="E10" i="15"/>
  <c r="E11" i="15"/>
  <c r="E12" i="15"/>
  <c r="E13" i="15"/>
  <c r="E14" i="15"/>
  <c r="E15" i="15"/>
  <c r="E16" i="15"/>
  <c r="E17" i="15"/>
  <c r="E3" i="15"/>
  <c r="E4" i="15"/>
  <c r="E5" i="15"/>
  <c r="E6" i="15"/>
  <c r="E7" i="15"/>
  <c r="E2" i="15"/>
  <c r="M4" i="15"/>
  <c r="M5" i="15"/>
  <c r="M6" i="15"/>
  <c r="M7" i="15"/>
  <c r="K4" i="15"/>
  <c r="K5" i="15"/>
  <c r="K6" i="15"/>
  <c r="K7" i="15"/>
  <c r="H5" i="15"/>
  <c r="L5" i="15" s="1"/>
  <c r="H6" i="15"/>
  <c r="L6" i="15" s="1"/>
  <c r="H7" i="15"/>
  <c r="L7" i="15" s="1"/>
  <c r="H4" i="15"/>
  <c r="L4" i="15" s="1"/>
  <c r="L2" i="15"/>
  <c r="M3" i="15"/>
  <c r="M2" i="15"/>
  <c r="K3" i="15"/>
  <c r="G227" i="13"/>
  <c r="K2" i="15"/>
  <c r="S60" i="15" l="1"/>
  <c r="T60" i="15"/>
  <c r="Q60" i="15"/>
  <c r="R60" i="15"/>
  <c r="Q67" i="15"/>
  <c r="R67" i="15"/>
  <c r="S67" i="15"/>
  <c r="T67" i="15"/>
  <c r="S62" i="15"/>
  <c r="T62" i="15"/>
  <c r="S58" i="15"/>
  <c r="T58" i="15"/>
  <c r="Q58" i="15"/>
  <c r="R58" i="15"/>
  <c r="Q66" i="15"/>
  <c r="R66" i="15"/>
  <c r="S66" i="15"/>
  <c r="T66" i="15"/>
  <c r="Q69" i="15"/>
  <c r="R69" i="15"/>
  <c r="S69" i="15"/>
  <c r="T69" i="15"/>
  <c r="S73" i="15"/>
  <c r="T73" i="15"/>
  <c r="T25" i="15"/>
  <c r="Q25" i="15"/>
  <c r="R25" i="15"/>
  <c r="S25" i="15"/>
  <c r="T27" i="15"/>
  <c r="Q27" i="15"/>
  <c r="R27" i="15"/>
  <c r="S27" i="15"/>
  <c r="T29" i="15"/>
  <c r="Q29" i="15"/>
  <c r="R29" i="15"/>
  <c r="S29" i="15"/>
  <c r="R31" i="15"/>
  <c r="S31" i="15"/>
  <c r="T31" i="15"/>
  <c r="T53" i="15"/>
  <c r="Q53" i="15"/>
  <c r="R53" i="15"/>
  <c r="S53" i="15"/>
  <c r="S56" i="15"/>
  <c r="T56" i="15"/>
  <c r="Q56" i="15"/>
  <c r="R56" i="15"/>
  <c r="T61" i="15"/>
  <c r="R61" i="15"/>
  <c r="S61" i="15"/>
  <c r="S57" i="15"/>
  <c r="T57" i="15"/>
  <c r="Q57" i="15"/>
  <c r="R57" i="15"/>
  <c r="R70" i="15"/>
  <c r="S70" i="15"/>
  <c r="T70" i="15"/>
  <c r="S71" i="15"/>
  <c r="T71" i="15"/>
  <c r="R71" i="15"/>
  <c r="Q24" i="15"/>
  <c r="T24" i="15"/>
  <c r="S24" i="15"/>
  <c r="R24" i="15"/>
  <c r="T26" i="15"/>
  <c r="Q26" i="15"/>
  <c r="R26" i="15"/>
  <c r="S26" i="15"/>
  <c r="T28" i="15"/>
  <c r="Q28" i="15"/>
  <c r="R28" i="15"/>
  <c r="S28" i="15"/>
  <c r="R30" i="15"/>
  <c r="S30" i="15"/>
  <c r="T30" i="15"/>
  <c r="T32" i="15"/>
  <c r="S32" i="15"/>
  <c r="S59" i="15"/>
  <c r="T59" i="15"/>
  <c r="Q59" i="15"/>
  <c r="R59" i="15"/>
  <c r="Q68" i="15"/>
  <c r="R68" i="15"/>
  <c r="S68" i="15"/>
  <c r="T68" i="15"/>
  <c r="S72" i="15"/>
  <c r="T72" i="15"/>
  <c r="A5" i="14"/>
  <c r="J23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C7" i="14"/>
  <c r="S15" i="14" l="1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C15" i="14"/>
  <c r="T15" i="14" l="1"/>
  <c r="U394" i="3"/>
  <c r="R524" i="3"/>
  <c r="R523" i="3"/>
  <c r="R522" i="3"/>
  <c r="R521" i="3"/>
  <c r="Q524" i="3"/>
  <c r="Q523" i="3"/>
  <c r="Q522" i="3"/>
  <c r="Q521" i="3"/>
  <c r="R517" i="3"/>
  <c r="R516" i="3"/>
  <c r="R515" i="3"/>
  <c r="R514" i="3"/>
  <c r="R513" i="3"/>
  <c r="R512" i="3"/>
  <c r="R511" i="3"/>
  <c r="R510" i="3"/>
  <c r="Q501" i="3"/>
  <c r="R501" i="3"/>
  <c r="R500" i="3"/>
  <c r="Q500" i="3"/>
  <c r="Q499" i="3"/>
  <c r="R499" i="3"/>
  <c r="R498" i="3"/>
  <c r="Q498" i="3"/>
  <c r="Q474" i="3"/>
  <c r="Q473" i="3"/>
  <c r="Q472" i="3"/>
  <c r="Q471" i="3"/>
  <c r="Q470" i="3"/>
  <c r="R462" i="3"/>
  <c r="Q462" i="3"/>
  <c r="R456" i="3"/>
  <c r="R455" i="3"/>
  <c r="R454" i="3"/>
  <c r="R453" i="3"/>
  <c r="R452" i="3"/>
  <c r="Q461" i="3"/>
  <c r="Q460" i="3"/>
  <c r="Q459" i="3"/>
  <c r="Q458" i="3"/>
  <c r="Q457" i="3"/>
  <c r="Q456" i="3"/>
  <c r="Q455" i="3"/>
  <c r="Q454" i="3"/>
  <c r="Q453" i="3"/>
  <c r="Q45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R418" i="3"/>
  <c r="R417" i="3"/>
  <c r="R416" i="3"/>
  <c r="R415" i="3"/>
  <c r="R414" i="3"/>
  <c r="Q418" i="3"/>
  <c r="Q417" i="3"/>
  <c r="Q416" i="3"/>
  <c r="Q415" i="3"/>
  <c r="Q414" i="3"/>
  <c r="R404" i="3"/>
  <c r="R405" i="3"/>
  <c r="Q400" i="3"/>
  <c r="Q399" i="3"/>
  <c r="Q398" i="3"/>
  <c r="Q397" i="3"/>
  <c r="Q372" i="3"/>
  <c r="Q371" i="3"/>
  <c r="R372" i="3"/>
  <c r="R371" i="3"/>
  <c r="R370" i="3"/>
  <c r="R369" i="3"/>
  <c r="R368" i="3"/>
  <c r="R367" i="3"/>
  <c r="R366" i="3"/>
  <c r="R365" i="3"/>
  <c r="R364" i="3"/>
  <c r="R363" i="3"/>
  <c r="R362" i="3"/>
  <c r="Q370" i="3"/>
  <c r="Q369" i="3"/>
  <c r="Q368" i="3"/>
  <c r="Q367" i="3"/>
  <c r="Q366" i="3"/>
  <c r="Q365" i="3"/>
  <c r="Q364" i="3"/>
  <c r="Q363" i="3"/>
  <c r="Q362" i="3"/>
  <c r="Q360" i="3"/>
  <c r="Q359" i="3"/>
  <c r="Q358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R295" i="3"/>
  <c r="R294" i="3"/>
  <c r="R293" i="3"/>
  <c r="Q216" i="3"/>
  <c r="Q215" i="3"/>
  <c r="Q214" i="3"/>
  <c r="Q213" i="3"/>
  <c r="Q212" i="3"/>
  <c r="Q211" i="3"/>
  <c r="Q210" i="3"/>
  <c r="Q209" i="3"/>
  <c r="R214" i="3"/>
  <c r="R213" i="3"/>
  <c r="R212" i="3"/>
  <c r="R211" i="3"/>
  <c r="R210" i="3"/>
  <c r="R209" i="3"/>
  <c r="R161" i="3"/>
  <c r="R160" i="3"/>
  <c r="R159" i="3"/>
  <c r="R147" i="3"/>
  <c r="R146" i="3"/>
  <c r="R145" i="3"/>
  <c r="R144" i="3"/>
  <c r="Q147" i="3"/>
  <c r="Q146" i="3"/>
  <c r="Q145" i="3"/>
  <c r="Q144" i="3"/>
  <c r="Q143" i="3"/>
  <c r="R137" i="3"/>
  <c r="R136" i="3"/>
  <c r="R135" i="3"/>
  <c r="R134" i="3"/>
  <c r="R133" i="3"/>
  <c r="R132" i="3"/>
  <c r="R131" i="3"/>
  <c r="R78" i="3"/>
  <c r="R79" i="3"/>
  <c r="R80" i="3"/>
  <c r="R81" i="3"/>
  <c r="R82" i="3"/>
  <c r="R83" i="3"/>
  <c r="R84" i="3"/>
  <c r="R85" i="3"/>
  <c r="R86" i="3"/>
  <c r="Q86" i="3"/>
  <c r="Q85" i="3"/>
  <c r="Q84" i="3"/>
  <c r="Q83" i="3"/>
  <c r="Q82" i="3"/>
  <c r="Q81" i="3"/>
  <c r="Q80" i="3"/>
  <c r="Q79" i="3"/>
  <c r="Q78" i="3"/>
  <c r="B11" i="12"/>
  <c r="D3" i="12" s="1"/>
  <c r="C3" i="12"/>
  <c r="C4" i="12"/>
  <c r="C5" i="12"/>
  <c r="C6" i="12"/>
  <c r="C7" i="12"/>
  <c r="C8" i="12"/>
  <c r="C2" i="12"/>
  <c r="O56" i="10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2" i="3"/>
  <c r="R6" i="3"/>
  <c r="R4" i="3"/>
  <c r="R5" i="3"/>
  <c r="R3" i="3"/>
  <c r="R2" i="3"/>
  <c r="I70" i="3"/>
  <c r="I71" i="3"/>
  <c r="I69" i="3"/>
  <c r="I7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C3" i="6"/>
  <c r="C4" i="6"/>
  <c r="C5" i="6"/>
  <c r="C7" i="6"/>
  <c r="C8" i="6"/>
  <c r="C9" i="6"/>
  <c r="C11" i="6"/>
  <c r="C12" i="6"/>
  <c r="C13" i="6"/>
  <c r="C15" i="6"/>
  <c r="C16" i="6"/>
  <c r="C17" i="6"/>
  <c r="C19" i="6"/>
  <c r="C20" i="6"/>
  <c r="C21" i="6"/>
  <c r="C23" i="6"/>
  <c r="C24" i="6"/>
  <c r="C2" i="6"/>
  <c r="B26" i="6"/>
  <c r="C6" i="6" s="1"/>
  <c r="D2" i="12" l="1"/>
  <c r="D5" i="12"/>
  <c r="C22" i="6"/>
  <c r="C18" i="6"/>
  <c r="C14" i="6"/>
  <c r="C10" i="6"/>
  <c r="D8" i="12"/>
  <c r="D4" i="12"/>
  <c r="D6" i="12"/>
  <c r="D7" i="12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70" i="3"/>
  <c r="J71" i="3"/>
  <c r="J64" i="3"/>
  <c r="J65" i="3"/>
  <c r="J66" i="3"/>
  <c r="J67" i="3"/>
  <c r="J68" i="3"/>
  <c r="J69" i="3"/>
  <c r="J63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33" i="3"/>
  <c r="J34" i="3"/>
  <c r="J35" i="3"/>
  <c r="J36" i="3"/>
  <c r="J37" i="3"/>
  <c r="J38" i="3"/>
  <c r="J39" i="3"/>
  <c r="J40" i="3"/>
  <c r="J41" i="3"/>
  <c r="J42" i="3"/>
  <c r="J29" i="3"/>
  <c r="J30" i="3"/>
  <c r="J31" i="3"/>
  <c r="J32" i="3"/>
  <c r="H28" i="3"/>
  <c r="J17" i="3"/>
  <c r="J18" i="3"/>
  <c r="J19" i="3"/>
  <c r="J20" i="3"/>
  <c r="J21" i="3"/>
  <c r="J22" i="3"/>
  <c r="J23" i="3"/>
  <c r="J24" i="3"/>
  <c r="J25" i="3"/>
  <c r="J26" i="3"/>
  <c r="J27" i="3"/>
  <c r="J16" i="3"/>
  <c r="J11" i="3"/>
  <c r="J12" i="3"/>
  <c r="J13" i="3"/>
  <c r="J14" i="3"/>
  <c r="J15" i="3"/>
  <c r="J10" i="3"/>
  <c r="J9" i="3"/>
  <c r="J5" i="3"/>
  <c r="J2" i="3"/>
  <c r="J3" i="3"/>
  <c r="J4" i="3"/>
  <c r="J6" i="3"/>
  <c r="J7" i="3"/>
  <c r="J8" i="3"/>
  <c r="N8" i="3" l="1"/>
  <c r="O8" i="3"/>
  <c r="P8" i="3"/>
  <c r="M8" i="3"/>
  <c r="N3" i="3"/>
  <c r="O3" i="3"/>
  <c r="P3" i="3"/>
  <c r="M3" i="3"/>
  <c r="N12" i="3"/>
  <c r="O12" i="3"/>
  <c r="P12" i="3"/>
  <c r="M12" i="3"/>
  <c r="N26" i="3"/>
  <c r="P26" i="3"/>
  <c r="O26" i="3"/>
  <c r="M26" i="3"/>
  <c r="N18" i="3"/>
  <c r="P18" i="3"/>
  <c r="O18" i="3"/>
  <c r="M18" i="3"/>
  <c r="N31" i="3"/>
  <c r="P31" i="3"/>
  <c r="O31" i="3"/>
  <c r="M31" i="3"/>
  <c r="N37" i="3"/>
  <c r="P37" i="3"/>
  <c r="O37" i="3"/>
  <c r="M37" i="3"/>
  <c r="N59" i="3"/>
  <c r="P59" i="3"/>
  <c r="O59" i="3"/>
  <c r="M59" i="3"/>
  <c r="N51" i="3"/>
  <c r="P51" i="3"/>
  <c r="O51" i="3"/>
  <c r="M51" i="3"/>
  <c r="N43" i="3"/>
  <c r="P43" i="3"/>
  <c r="O43" i="3"/>
  <c r="M43" i="3"/>
  <c r="N67" i="3"/>
  <c r="P67" i="3"/>
  <c r="O67" i="3"/>
  <c r="M67" i="3"/>
  <c r="M522" i="3"/>
  <c r="O522" i="3"/>
  <c r="N522" i="3"/>
  <c r="P522" i="3"/>
  <c r="M514" i="3"/>
  <c r="O514" i="3"/>
  <c r="N514" i="3"/>
  <c r="P514" i="3"/>
  <c r="M506" i="3"/>
  <c r="O506" i="3"/>
  <c r="N506" i="3"/>
  <c r="P506" i="3"/>
  <c r="M498" i="3"/>
  <c r="O498" i="3"/>
  <c r="N498" i="3"/>
  <c r="P498" i="3"/>
  <c r="M490" i="3"/>
  <c r="O490" i="3"/>
  <c r="N490" i="3"/>
  <c r="P490" i="3"/>
  <c r="M482" i="3"/>
  <c r="O482" i="3"/>
  <c r="N482" i="3"/>
  <c r="P482" i="3"/>
  <c r="M474" i="3"/>
  <c r="O474" i="3"/>
  <c r="N474" i="3"/>
  <c r="P474" i="3"/>
  <c r="M470" i="3"/>
  <c r="O470" i="3"/>
  <c r="N470" i="3"/>
  <c r="P470" i="3"/>
  <c r="M462" i="3"/>
  <c r="O462" i="3"/>
  <c r="N462" i="3"/>
  <c r="P462" i="3"/>
  <c r="M454" i="3"/>
  <c r="O454" i="3"/>
  <c r="N454" i="3"/>
  <c r="P454" i="3"/>
  <c r="M450" i="3"/>
  <c r="O450" i="3"/>
  <c r="N450" i="3"/>
  <c r="P450" i="3"/>
  <c r="M442" i="3"/>
  <c r="O442" i="3"/>
  <c r="N442" i="3"/>
  <c r="P442" i="3"/>
  <c r="M434" i="3"/>
  <c r="O434" i="3"/>
  <c r="N434" i="3"/>
  <c r="P434" i="3"/>
  <c r="P426" i="3"/>
  <c r="M426" i="3"/>
  <c r="N426" i="3"/>
  <c r="O426" i="3"/>
  <c r="P418" i="3"/>
  <c r="M418" i="3"/>
  <c r="N418" i="3"/>
  <c r="O418" i="3"/>
  <c r="P410" i="3"/>
  <c r="M410" i="3"/>
  <c r="N410" i="3"/>
  <c r="O410" i="3"/>
  <c r="P406" i="3"/>
  <c r="M406" i="3"/>
  <c r="N406" i="3"/>
  <c r="O406" i="3"/>
  <c r="P398" i="3"/>
  <c r="M398" i="3"/>
  <c r="N398" i="3"/>
  <c r="O398" i="3"/>
  <c r="P390" i="3"/>
  <c r="M390" i="3"/>
  <c r="N390" i="3"/>
  <c r="O390" i="3"/>
  <c r="P386" i="3"/>
  <c r="M386" i="3"/>
  <c r="N386" i="3"/>
  <c r="O386" i="3"/>
  <c r="P378" i="3"/>
  <c r="M378" i="3"/>
  <c r="N378" i="3"/>
  <c r="O378" i="3"/>
  <c r="P370" i="3"/>
  <c r="M370" i="3"/>
  <c r="N370" i="3"/>
  <c r="O370" i="3"/>
  <c r="P366" i="3"/>
  <c r="M366" i="3"/>
  <c r="N366" i="3"/>
  <c r="O366" i="3"/>
  <c r="P358" i="3"/>
  <c r="M358" i="3"/>
  <c r="N358" i="3"/>
  <c r="O358" i="3"/>
  <c r="P354" i="3"/>
  <c r="M354" i="3"/>
  <c r="N354" i="3"/>
  <c r="O354" i="3"/>
  <c r="P346" i="3"/>
  <c r="M346" i="3"/>
  <c r="N346" i="3"/>
  <c r="O346" i="3"/>
  <c r="P338" i="3"/>
  <c r="M338" i="3"/>
  <c r="N338" i="3"/>
  <c r="O338" i="3"/>
  <c r="P330" i="3"/>
  <c r="M330" i="3"/>
  <c r="N330" i="3"/>
  <c r="O330" i="3"/>
  <c r="P322" i="3"/>
  <c r="M322" i="3"/>
  <c r="N322" i="3"/>
  <c r="O322" i="3"/>
  <c r="P318" i="3"/>
  <c r="M318" i="3"/>
  <c r="N318" i="3"/>
  <c r="O318" i="3"/>
  <c r="P310" i="3"/>
  <c r="M310" i="3"/>
  <c r="N310" i="3"/>
  <c r="O310" i="3"/>
  <c r="P306" i="3"/>
  <c r="M306" i="3"/>
  <c r="N306" i="3"/>
  <c r="O306" i="3"/>
  <c r="O298" i="3"/>
  <c r="M298" i="3"/>
  <c r="N298" i="3"/>
  <c r="P298" i="3"/>
  <c r="O294" i="3"/>
  <c r="M294" i="3"/>
  <c r="N294" i="3"/>
  <c r="P294" i="3"/>
  <c r="O286" i="3"/>
  <c r="M286" i="3"/>
  <c r="N286" i="3"/>
  <c r="P286" i="3"/>
  <c r="O282" i="3"/>
  <c r="M282" i="3"/>
  <c r="N282" i="3"/>
  <c r="P282" i="3"/>
  <c r="O274" i="3"/>
  <c r="M274" i="3"/>
  <c r="N274" i="3"/>
  <c r="P274" i="3"/>
  <c r="O266" i="3"/>
  <c r="M266" i="3"/>
  <c r="N266" i="3"/>
  <c r="P266" i="3"/>
  <c r="O258" i="3"/>
  <c r="M258" i="3"/>
  <c r="N258" i="3"/>
  <c r="P258" i="3"/>
  <c r="O250" i="3"/>
  <c r="M250" i="3"/>
  <c r="N250" i="3"/>
  <c r="P250" i="3"/>
  <c r="O238" i="3"/>
  <c r="M238" i="3"/>
  <c r="N238" i="3"/>
  <c r="P238" i="3"/>
  <c r="N202" i="3"/>
  <c r="O202" i="3"/>
  <c r="P202" i="3"/>
  <c r="M202" i="3"/>
  <c r="N7" i="3"/>
  <c r="O7" i="3"/>
  <c r="P7" i="3"/>
  <c r="M7" i="3"/>
  <c r="N2" i="3"/>
  <c r="P2" i="3"/>
  <c r="O2" i="3"/>
  <c r="M2" i="3"/>
  <c r="N15" i="3"/>
  <c r="P15" i="3"/>
  <c r="O15" i="3"/>
  <c r="M15" i="3"/>
  <c r="N11" i="3"/>
  <c r="O11" i="3"/>
  <c r="P11" i="3"/>
  <c r="M11" i="3"/>
  <c r="N25" i="3"/>
  <c r="P25" i="3"/>
  <c r="O25" i="3"/>
  <c r="M25" i="3"/>
  <c r="N21" i="3"/>
  <c r="P21" i="3"/>
  <c r="O21" i="3"/>
  <c r="M21" i="3"/>
  <c r="N17" i="3"/>
  <c r="P17" i="3"/>
  <c r="O17" i="3"/>
  <c r="M17" i="3"/>
  <c r="N30" i="3"/>
  <c r="P30" i="3"/>
  <c r="O30" i="3"/>
  <c r="M30" i="3"/>
  <c r="N40" i="3"/>
  <c r="P40" i="3"/>
  <c r="O40" i="3"/>
  <c r="M40" i="3"/>
  <c r="N36" i="3"/>
  <c r="P36" i="3"/>
  <c r="O36" i="3"/>
  <c r="M36" i="3"/>
  <c r="N62" i="3"/>
  <c r="P62" i="3"/>
  <c r="O62" i="3"/>
  <c r="M62" i="3"/>
  <c r="N58" i="3"/>
  <c r="P58" i="3"/>
  <c r="O58" i="3"/>
  <c r="M58" i="3"/>
  <c r="N54" i="3"/>
  <c r="P54" i="3"/>
  <c r="O54" i="3"/>
  <c r="M54" i="3"/>
  <c r="N50" i="3"/>
  <c r="P50" i="3"/>
  <c r="O50" i="3"/>
  <c r="M50" i="3"/>
  <c r="N46" i="3"/>
  <c r="P46" i="3"/>
  <c r="O46" i="3"/>
  <c r="M46" i="3"/>
  <c r="N63" i="3"/>
  <c r="P63" i="3"/>
  <c r="O63" i="3"/>
  <c r="M63" i="3"/>
  <c r="N66" i="3"/>
  <c r="P66" i="3"/>
  <c r="O66" i="3"/>
  <c r="M66" i="3"/>
  <c r="N70" i="3"/>
  <c r="P70" i="3"/>
  <c r="O70" i="3"/>
  <c r="M70" i="3"/>
  <c r="M521" i="3"/>
  <c r="O521" i="3"/>
  <c r="N521" i="3"/>
  <c r="P521" i="3"/>
  <c r="M517" i="3"/>
  <c r="O517" i="3"/>
  <c r="N517" i="3"/>
  <c r="P517" i="3"/>
  <c r="M513" i="3"/>
  <c r="O513" i="3"/>
  <c r="N513" i="3"/>
  <c r="P513" i="3"/>
  <c r="M509" i="3"/>
  <c r="O509" i="3"/>
  <c r="N509" i="3"/>
  <c r="P509" i="3"/>
  <c r="M505" i="3"/>
  <c r="O505" i="3"/>
  <c r="N505" i="3"/>
  <c r="P505" i="3"/>
  <c r="M501" i="3"/>
  <c r="O501" i="3"/>
  <c r="N501" i="3"/>
  <c r="P501" i="3"/>
  <c r="M497" i="3"/>
  <c r="O497" i="3"/>
  <c r="N497" i="3"/>
  <c r="P497" i="3"/>
  <c r="M493" i="3"/>
  <c r="O493" i="3"/>
  <c r="N493" i="3"/>
  <c r="P493" i="3"/>
  <c r="M489" i="3"/>
  <c r="O489" i="3"/>
  <c r="N489" i="3"/>
  <c r="P489" i="3"/>
  <c r="M485" i="3"/>
  <c r="O485" i="3"/>
  <c r="N485" i="3"/>
  <c r="P485" i="3"/>
  <c r="M481" i="3"/>
  <c r="O481" i="3"/>
  <c r="N481" i="3"/>
  <c r="P481" i="3"/>
  <c r="M477" i="3"/>
  <c r="O477" i="3"/>
  <c r="N477" i="3"/>
  <c r="P477" i="3"/>
  <c r="M473" i="3"/>
  <c r="O473" i="3"/>
  <c r="N473" i="3"/>
  <c r="P473" i="3"/>
  <c r="M469" i="3"/>
  <c r="O469" i="3"/>
  <c r="N469" i="3"/>
  <c r="P469" i="3"/>
  <c r="M465" i="3"/>
  <c r="O465" i="3"/>
  <c r="N465" i="3"/>
  <c r="P465" i="3"/>
  <c r="M461" i="3"/>
  <c r="O461" i="3"/>
  <c r="N461" i="3"/>
  <c r="P461" i="3"/>
  <c r="M457" i="3"/>
  <c r="O457" i="3"/>
  <c r="N457" i="3"/>
  <c r="P457" i="3"/>
  <c r="M453" i="3"/>
  <c r="O453" i="3"/>
  <c r="N453" i="3"/>
  <c r="P453" i="3"/>
  <c r="M449" i="3"/>
  <c r="O449" i="3"/>
  <c r="N449" i="3"/>
  <c r="P449" i="3"/>
  <c r="M445" i="3"/>
  <c r="O445" i="3"/>
  <c r="N445" i="3"/>
  <c r="P445" i="3"/>
  <c r="M441" i="3"/>
  <c r="O441" i="3"/>
  <c r="N441" i="3"/>
  <c r="P441" i="3"/>
  <c r="M437" i="3"/>
  <c r="O437" i="3"/>
  <c r="N437" i="3"/>
  <c r="P437" i="3"/>
  <c r="M433" i="3"/>
  <c r="O433" i="3"/>
  <c r="N433" i="3"/>
  <c r="P433" i="3"/>
  <c r="M429" i="3"/>
  <c r="O429" i="3"/>
  <c r="N429" i="3"/>
  <c r="P429" i="3"/>
  <c r="P425" i="3"/>
  <c r="M425" i="3"/>
  <c r="N425" i="3"/>
  <c r="O425" i="3"/>
  <c r="P421" i="3"/>
  <c r="M421" i="3"/>
  <c r="N421" i="3"/>
  <c r="O421" i="3"/>
  <c r="P417" i="3"/>
  <c r="M417" i="3"/>
  <c r="N417" i="3"/>
  <c r="O417" i="3"/>
  <c r="P413" i="3"/>
  <c r="M413" i="3"/>
  <c r="N413" i="3"/>
  <c r="O413" i="3"/>
  <c r="P409" i="3"/>
  <c r="M409" i="3"/>
  <c r="N409" i="3"/>
  <c r="O409" i="3"/>
  <c r="P405" i="3"/>
  <c r="M405" i="3"/>
  <c r="N405" i="3"/>
  <c r="O405" i="3"/>
  <c r="P401" i="3"/>
  <c r="M401" i="3"/>
  <c r="N401" i="3"/>
  <c r="O401" i="3"/>
  <c r="P397" i="3"/>
  <c r="M397" i="3"/>
  <c r="N397" i="3"/>
  <c r="O397" i="3"/>
  <c r="P393" i="3"/>
  <c r="M393" i="3"/>
  <c r="N393" i="3"/>
  <c r="O393" i="3"/>
  <c r="P389" i="3"/>
  <c r="M389" i="3"/>
  <c r="N389" i="3"/>
  <c r="O389" i="3"/>
  <c r="P385" i="3"/>
  <c r="M385" i="3"/>
  <c r="N385" i="3"/>
  <c r="O385" i="3"/>
  <c r="P381" i="3"/>
  <c r="M381" i="3"/>
  <c r="N381" i="3"/>
  <c r="O381" i="3"/>
  <c r="P377" i="3"/>
  <c r="M377" i="3"/>
  <c r="N377" i="3"/>
  <c r="O377" i="3"/>
  <c r="P373" i="3"/>
  <c r="M373" i="3"/>
  <c r="N373" i="3"/>
  <c r="O373" i="3"/>
  <c r="P369" i="3"/>
  <c r="M369" i="3"/>
  <c r="N369" i="3"/>
  <c r="O369" i="3"/>
  <c r="P365" i="3"/>
  <c r="M365" i="3"/>
  <c r="N365" i="3"/>
  <c r="O365" i="3"/>
  <c r="P361" i="3"/>
  <c r="M361" i="3"/>
  <c r="N361" i="3"/>
  <c r="O361" i="3"/>
  <c r="P357" i="3"/>
  <c r="M357" i="3"/>
  <c r="N357" i="3"/>
  <c r="O357" i="3"/>
  <c r="P353" i="3"/>
  <c r="M353" i="3"/>
  <c r="N353" i="3"/>
  <c r="O353" i="3"/>
  <c r="P349" i="3"/>
  <c r="M349" i="3"/>
  <c r="N349" i="3"/>
  <c r="O349" i="3"/>
  <c r="P345" i="3"/>
  <c r="M345" i="3"/>
  <c r="N345" i="3"/>
  <c r="O345" i="3"/>
  <c r="P341" i="3"/>
  <c r="M341" i="3"/>
  <c r="N341" i="3"/>
  <c r="O341" i="3"/>
  <c r="P337" i="3"/>
  <c r="M337" i="3"/>
  <c r="N337" i="3"/>
  <c r="O337" i="3"/>
  <c r="P333" i="3"/>
  <c r="M333" i="3"/>
  <c r="N333" i="3"/>
  <c r="O333" i="3"/>
  <c r="P329" i="3"/>
  <c r="M329" i="3"/>
  <c r="N329" i="3"/>
  <c r="O329" i="3"/>
  <c r="P325" i="3"/>
  <c r="M325" i="3"/>
  <c r="N325" i="3"/>
  <c r="O325" i="3"/>
  <c r="P321" i="3"/>
  <c r="M321" i="3"/>
  <c r="N321" i="3"/>
  <c r="O321" i="3"/>
  <c r="P317" i="3"/>
  <c r="M317" i="3"/>
  <c r="N317" i="3"/>
  <c r="O317" i="3"/>
  <c r="P313" i="3"/>
  <c r="M313" i="3"/>
  <c r="N313" i="3"/>
  <c r="O313" i="3"/>
  <c r="P309" i="3"/>
  <c r="M309" i="3"/>
  <c r="N309" i="3"/>
  <c r="O309" i="3"/>
  <c r="O305" i="3"/>
  <c r="M305" i="3"/>
  <c r="P305" i="3"/>
  <c r="N305" i="3"/>
  <c r="O301" i="3"/>
  <c r="M301" i="3"/>
  <c r="P301" i="3"/>
  <c r="N301" i="3"/>
  <c r="O297" i="3"/>
  <c r="M297" i="3"/>
  <c r="P297" i="3"/>
  <c r="N297" i="3"/>
  <c r="O293" i="3"/>
  <c r="M293" i="3"/>
  <c r="P293" i="3"/>
  <c r="N293" i="3"/>
  <c r="O289" i="3"/>
  <c r="M289" i="3"/>
  <c r="P289" i="3"/>
  <c r="N289" i="3"/>
  <c r="O285" i="3"/>
  <c r="M285" i="3"/>
  <c r="P285" i="3"/>
  <c r="N285" i="3"/>
  <c r="O281" i="3"/>
  <c r="M281" i="3"/>
  <c r="P281" i="3"/>
  <c r="N281" i="3"/>
  <c r="O277" i="3"/>
  <c r="M277" i="3"/>
  <c r="P277" i="3"/>
  <c r="N277" i="3"/>
  <c r="O273" i="3"/>
  <c r="M273" i="3"/>
  <c r="P273" i="3"/>
  <c r="N273" i="3"/>
  <c r="O269" i="3"/>
  <c r="M269" i="3"/>
  <c r="P269" i="3"/>
  <c r="N269" i="3"/>
  <c r="O265" i="3"/>
  <c r="M265" i="3"/>
  <c r="P265" i="3"/>
  <c r="N265" i="3"/>
  <c r="O261" i="3"/>
  <c r="M261" i="3"/>
  <c r="P261" i="3"/>
  <c r="N261" i="3"/>
  <c r="O257" i="3"/>
  <c r="M257" i="3"/>
  <c r="P257" i="3"/>
  <c r="N257" i="3"/>
  <c r="O253" i="3"/>
  <c r="M253" i="3"/>
  <c r="P253" i="3"/>
  <c r="N253" i="3"/>
  <c r="O249" i="3"/>
  <c r="M249" i="3"/>
  <c r="P249" i="3"/>
  <c r="N249" i="3"/>
  <c r="O245" i="3"/>
  <c r="M245" i="3"/>
  <c r="P245" i="3"/>
  <c r="N245" i="3"/>
  <c r="O241" i="3"/>
  <c r="M241" i="3"/>
  <c r="P241" i="3"/>
  <c r="N241" i="3"/>
  <c r="O237" i="3"/>
  <c r="M237" i="3"/>
  <c r="P237" i="3"/>
  <c r="N237" i="3"/>
  <c r="O233" i="3"/>
  <c r="M233" i="3"/>
  <c r="P233" i="3"/>
  <c r="N233" i="3"/>
  <c r="O229" i="3"/>
  <c r="M229" i="3"/>
  <c r="P229" i="3"/>
  <c r="N229" i="3"/>
  <c r="O225" i="3"/>
  <c r="M225" i="3"/>
  <c r="P225" i="3"/>
  <c r="N225" i="3"/>
  <c r="O221" i="3"/>
  <c r="M221" i="3"/>
  <c r="P221" i="3"/>
  <c r="N221" i="3"/>
  <c r="O217" i="3"/>
  <c r="M217" i="3"/>
  <c r="P217" i="3"/>
  <c r="N217" i="3"/>
  <c r="O213" i="3"/>
  <c r="M213" i="3"/>
  <c r="P213" i="3"/>
  <c r="N213" i="3"/>
  <c r="N209" i="3"/>
  <c r="O209" i="3"/>
  <c r="P209" i="3"/>
  <c r="M209" i="3"/>
  <c r="N205" i="3"/>
  <c r="O205" i="3"/>
  <c r="P205" i="3"/>
  <c r="M205" i="3"/>
  <c r="N201" i="3"/>
  <c r="O201" i="3"/>
  <c r="P201" i="3"/>
  <c r="M201" i="3"/>
  <c r="N197" i="3"/>
  <c r="O197" i="3"/>
  <c r="P197" i="3"/>
  <c r="M197" i="3"/>
  <c r="N193" i="3"/>
  <c r="O193" i="3"/>
  <c r="P193" i="3"/>
  <c r="M193" i="3"/>
  <c r="N189" i="3"/>
  <c r="O189" i="3"/>
  <c r="P189" i="3"/>
  <c r="M189" i="3"/>
  <c r="N185" i="3"/>
  <c r="O185" i="3"/>
  <c r="P185" i="3"/>
  <c r="M185" i="3"/>
  <c r="N181" i="3"/>
  <c r="O181" i="3"/>
  <c r="P181" i="3"/>
  <c r="M181" i="3"/>
  <c r="P177" i="3"/>
  <c r="N177" i="3"/>
  <c r="M177" i="3"/>
  <c r="O177" i="3"/>
  <c r="P173" i="3"/>
  <c r="N173" i="3"/>
  <c r="M173" i="3"/>
  <c r="O173" i="3"/>
  <c r="P169" i="3"/>
  <c r="N169" i="3"/>
  <c r="M169" i="3"/>
  <c r="O169" i="3"/>
  <c r="P165" i="3"/>
  <c r="N165" i="3"/>
  <c r="M165" i="3"/>
  <c r="O165" i="3"/>
  <c r="P161" i="3"/>
  <c r="N161" i="3"/>
  <c r="M161" i="3"/>
  <c r="O161" i="3"/>
  <c r="P157" i="3"/>
  <c r="N157" i="3"/>
  <c r="M157" i="3"/>
  <c r="O157" i="3"/>
  <c r="P153" i="3"/>
  <c r="N153" i="3"/>
  <c r="M153" i="3"/>
  <c r="O153" i="3"/>
  <c r="P149" i="3"/>
  <c r="N149" i="3"/>
  <c r="M149" i="3"/>
  <c r="O149" i="3"/>
  <c r="P145" i="3"/>
  <c r="N145" i="3"/>
  <c r="M145" i="3"/>
  <c r="O145" i="3"/>
  <c r="P141" i="3"/>
  <c r="N141" i="3"/>
  <c r="M141" i="3"/>
  <c r="O141" i="3"/>
  <c r="P137" i="3"/>
  <c r="N137" i="3"/>
  <c r="M137" i="3"/>
  <c r="O137" i="3"/>
  <c r="N133" i="3"/>
  <c r="P133" i="3"/>
  <c r="M133" i="3"/>
  <c r="O133" i="3"/>
  <c r="N129" i="3"/>
  <c r="P129" i="3"/>
  <c r="M129" i="3"/>
  <c r="O129" i="3"/>
  <c r="N125" i="3"/>
  <c r="P125" i="3"/>
  <c r="M125" i="3"/>
  <c r="O125" i="3"/>
  <c r="N121" i="3"/>
  <c r="P121" i="3"/>
  <c r="M121" i="3"/>
  <c r="O121" i="3"/>
  <c r="N117" i="3"/>
  <c r="P117" i="3"/>
  <c r="M117" i="3"/>
  <c r="O117" i="3"/>
  <c r="N113" i="3"/>
  <c r="P113" i="3"/>
  <c r="M113" i="3"/>
  <c r="O113" i="3"/>
  <c r="N109" i="3"/>
  <c r="P109" i="3"/>
  <c r="M109" i="3"/>
  <c r="O109" i="3"/>
  <c r="N105" i="3"/>
  <c r="P105" i="3"/>
  <c r="M105" i="3"/>
  <c r="O105" i="3"/>
  <c r="N101" i="3"/>
  <c r="P101" i="3"/>
  <c r="M101" i="3"/>
  <c r="O101" i="3"/>
  <c r="N97" i="3"/>
  <c r="P97" i="3"/>
  <c r="M97" i="3"/>
  <c r="O97" i="3"/>
  <c r="N93" i="3"/>
  <c r="P93" i="3"/>
  <c r="M93" i="3"/>
  <c r="O93" i="3"/>
  <c r="N89" i="3"/>
  <c r="P89" i="3"/>
  <c r="M89" i="3"/>
  <c r="O89" i="3"/>
  <c r="N85" i="3"/>
  <c r="P85" i="3"/>
  <c r="O85" i="3"/>
  <c r="M85" i="3"/>
  <c r="N81" i="3"/>
  <c r="P81" i="3"/>
  <c r="O81" i="3"/>
  <c r="M81" i="3"/>
  <c r="N77" i="3"/>
  <c r="P77" i="3"/>
  <c r="O77" i="3"/>
  <c r="M77" i="3"/>
  <c r="N73" i="3"/>
  <c r="P73" i="3"/>
  <c r="O73" i="3"/>
  <c r="M73" i="3"/>
  <c r="N5" i="3"/>
  <c r="O5" i="3"/>
  <c r="P5" i="3"/>
  <c r="M5" i="3"/>
  <c r="N24" i="3"/>
  <c r="P24" i="3"/>
  <c r="O24" i="3"/>
  <c r="M24" i="3"/>
  <c r="N39" i="3"/>
  <c r="P39" i="3"/>
  <c r="O39" i="3"/>
  <c r="M39" i="3"/>
  <c r="N57" i="3"/>
  <c r="P57" i="3"/>
  <c r="O57" i="3"/>
  <c r="M57" i="3"/>
  <c r="N45" i="3"/>
  <c r="P45" i="3"/>
  <c r="O45" i="3"/>
  <c r="M45" i="3"/>
  <c r="M524" i="3"/>
  <c r="O524" i="3"/>
  <c r="N524" i="3"/>
  <c r="P524" i="3"/>
  <c r="M516" i="3"/>
  <c r="O516" i="3"/>
  <c r="N516" i="3"/>
  <c r="P516" i="3"/>
  <c r="M508" i="3"/>
  <c r="O508" i="3"/>
  <c r="N508" i="3"/>
  <c r="P508" i="3"/>
  <c r="M504" i="3"/>
  <c r="O504" i="3"/>
  <c r="N504" i="3"/>
  <c r="P504" i="3"/>
  <c r="M496" i="3"/>
  <c r="O496" i="3"/>
  <c r="N496" i="3"/>
  <c r="P496" i="3"/>
  <c r="M484" i="3"/>
  <c r="O484" i="3"/>
  <c r="N484" i="3"/>
  <c r="P484" i="3"/>
  <c r="M476" i="3"/>
  <c r="O476" i="3"/>
  <c r="N476" i="3"/>
  <c r="P476" i="3"/>
  <c r="M468" i="3"/>
  <c r="O468" i="3"/>
  <c r="N468" i="3"/>
  <c r="P468" i="3"/>
  <c r="M460" i="3"/>
  <c r="O460" i="3"/>
  <c r="N460" i="3"/>
  <c r="P460" i="3"/>
  <c r="M448" i="3"/>
  <c r="O448" i="3"/>
  <c r="N448" i="3"/>
  <c r="P448" i="3"/>
  <c r="M440" i="3"/>
  <c r="O440" i="3"/>
  <c r="N440" i="3"/>
  <c r="P440" i="3"/>
  <c r="M432" i="3"/>
  <c r="O432" i="3"/>
  <c r="N432" i="3"/>
  <c r="P432" i="3"/>
  <c r="P420" i="3"/>
  <c r="M420" i="3"/>
  <c r="N420" i="3"/>
  <c r="O420" i="3"/>
  <c r="P412" i="3"/>
  <c r="M412" i="3"/>
  <c r="N412" i="3"/>
  <c r="O412" i="3"/>
  <c r="P404" i="3"/>
  <c r="M404" i="3"/>
  <c r="N404" i="3"/>
  <c r="O404" i="3"/>
  <c r="P396" i="3"/>
  <c r="M396" i="3"/>
  <c r="N396" i="3"/>
  <c r="O396" i="3"/>
  <c r="P388" i="3"/>
  <c r="M388" i="3"/>
  <c r="N388" i="3"/>
  <c r="O388" i="3"/>
  <c r="P376" i="3"/>
  <c r="M376" i="3"/>
  <c r="N376" i="3"/>
  <c r="O376" i="3"/>
  <c r="P368" i="3"/>
  <c r="M368" i="3"/>
  <c r="N368" i="3"/>
  <c r="O368" i="3"/>
  <c r="P360" i="3"/>
  <c r="M360" i="3"/>
  <c r="N360" i="3"/>
  <c r="O360" i="3"/>
  <c r="P348" i="3"/>
  <c r="M348" i="3"/>
  <c r="N348" i="3"/>
  <c r="O348" i="3"/>
  <c r="P340" i="3"/>
  <c r="M340" i="3"/>
  <c r="N340" i="3"/>
  <c r="O340" i="3"/>
  <c r="P328" i="3"/>
  <c r="M328" i="3"/>
  <c r="N328" i="3"/>
  <c r="O328" i="3"/>
  <c r="P320" i="3"/>
  <c r="M320" i="3"/>
  <c r="N320" i="3"/>
  <c r="O320" i="3"/>
  <c r="P312" i="3"/>
  <c r="M312" i="3"/>
  <c r="N312" i="3"/>
  <c r="O312" i="3"/>
  <c r="O300" i="3"/>
  <c r="M300" i="3"/>
  <c r="N300" i="3"/>
  <c r="P300" i="3"/>
  <c r="O292" i="3"/>
  <c r="M292" i="3"/>
  <c r="N292" i="3"/>
  <c r="P292" i="3"/>
  <c r="O284" i="3"/>
  <c r="M284" i="3"/>
  <c r="N284" i="3"/>
  <c r="P284" i="3"/>
  <c r="O272" i="3"/>
  <c r="M272" i="3"/>
  <c r="N272" i="3"/>
  <c r="P272" i="3"/>
  <c r="O264" i="3"/>
  <c r="M264" i="3"/>
  <c r="N264" i="3"/>
  <c r="P264" i="3"/>
  <c r="O256" i="3"/>
  <c r="M256" i="3"/>
  <c r="N256" i="3"/>
  <c r="P256" i="3"/>
  <c r="O248" i="3"/>
  <c r="M248" i="3"/>
  <c r="N248" i="3"/>
  <c r="P248" i="3"/>
  <c r="O244" i="3"/>
  <c r="M244" i="3"/>
  <c r="N244" i="3"/>
  <c r="P244" i="3"/>
  <c r="O236" i="3"/>
  <c r="M236" i="3"/>
  <c r="N236" i="3"/>
  <c r="P236" i="3"/>
  <c r="O232" i="3"/>
  <c r="M232" i="3"/>
  <c r="N232" i="3"/>
  <c r="P232" i="3"/>
  <c r="O228" i="3"/>
  <c r="M228" i="3"/>
  <c r="N228" i="3"/>
  <c r="P228" i="3"/>
  <c r="O224" i="3"/>
  <c r="M224" i="3"/>
  <c r="N224" i="3"/>
  <c r="P224" i="3"/>
  <c r="O220" i="3"/>
  <c r="M220" i="3"/>
  <c r="N220" i="3"/>
  <c r="P220" i="3"/>
  <c r="O216" i="3"/>
  <c r="M216" i="3"/>
  <c r="N216" i="3"/>
  <c r="P216" i="3"/>
  <c r="O212" i="3"/>
  <c r="M212" i="3"/>
  <c r="N212" i="3"/>
  <c r="P212" i="3"/>
  <c r="N208" i="3"/>
  <c r="O208" i="3"/>
  <c r="P208" i="3"/>
  <c r="M208" i="3"/>
  <c r="N204" i="3"/>
  <c r="O204" i="3"/>
  <c r="P204" i="3"/>
  <c r="M204" i="3"/>
  <c r="N196" i="3"/>
  <c r="O196" i="3"/>
  <c r="P196" i="3"/>
  <c r="M196" i="3"/>
  <c r="N192" i="3"/>
  <c r="O192" i="3"/>
  <c r="P192" i="3"/>
  <c r="M192" i="3"/>
  <c r="N188" i="3"/>
  <c r="O188" i="3"/>
  <c r="P188" i="3"/>
  <c r="M188" i="3"/>
  <c r="N184" i="3"/>
  <c r="O184" i="3"/>
  <c r="P184" i="3"/>
  <c r="M184" i="3"/>
  <c r="N180" i="3"/>
  <c r="O180" i="3"/>
  <c r="P180" i="3"/>
  <c r="M180" i="3"/>
  <c r="P176" i="3"/>
  <c r="N176" i="3"/>
  <c r="M176" i="3"/>
  <c r="O176" i="3"/>
  <c r="P172" i="3"/>
  <c r="N172" i="3"/>
  <c r="M172" i="3"/>
  <c r="O172" i="3"/>
  <c r="P168" i="3"/>
  <c r="N168" i="3"/>
  <c r="M168" i="3"/>
  <c r="O168" i="3"/>
  <c r="P164" i="3"/>
  <c r="N164" i="3"/>
  <c r="M164" i="3"/>
  <c r="O164" i="3"/>
  <c r="P160" i="3"/>
  <c r="N160" i="3"/>
  <c r="M160" i="3"/>
  <c r="O160" i="3"/>
  <c r="P156" i="3"/>
  <c r="N156" i="3"/>
  <c r="M156" i="3"/>
  <c r="O156" i="3"/>
  <c r="P152" i="3"/>
  <c r="N152" i="3"/>
  <c r="M152" i="3"/>
  <c r="O152" i="3"/>
  <c r="P148" i="3"/>
  <c r="N148" i="3"/>
  <c r="M148" i="3"/>
  <c r="O148" i="3"/>
  <c r="P144" i="3"/>
  <c r="N144" i="3"/>
  <c r="M144" i="3"/>
  <c r="O144" i="3"/>
  <c r="P140" i="3"/>
  <c r="N140" i="3"/>
  <c r="M140" i="3"/>
  <c r="O140" i="3"/>
  <c r="P136" i="3"/>
  <c r="N136" i="3"/>
  <c r="M136" i="3"/>
  <c r="O136" i="3"/>
  <c r="N132" i="3"/>
  <c r="P132" i="3"/>
  <c r="M132" i="3"/>
  <c r="O132" i="3"/>
  <c r="N128" i="3"/>
  <c r="P128" i="3"/>
  <c r="M128" i="3"/>
  <c r="O128" i="3"/>
  <c r="N124" i="3"/>
  <c r="P124" i="3"/>
  <c r="M124" i="3"/>
  <c r="O124" i="3"/>
  <c r="N120" i="3"/>
  <c r="P120" i="3"/>
  <c r="M120" i="3"/>
  <c r="O120" i="3"/>
  <c r="N116" i="3"/>
  <c r="P116" i="3"/>
  <c r="M116" i="3"/>
  <c r="O116" i="3"/>
  <c r="N112" i="3"/>
  <c r="P112" i="3"/>
  <c r="M112" i="3"/>
  <c r="O112" i="3"/>
  <c r="N108" i="3"/>
  <c r="P108" i="3"/>
  <c r="M108" i="3"/>
  <c r="O108" i="3"/>
  <c r="N104" i="3"/>
  <c r="P104" i="3"/>
  <c r="M104" i="3"/>
  <c r="O104" i="3"/>
  <c r="N100" i="3"/>
  <c r="P100" i="3"/>
  <c r="M100" i="3"/>
  <c r="O100" i="3"/>
  <c r="N96" i="3"/>
  <c r="P96" i="3"/>
  <c r="M96" i="3"/>
  <c r="O96" i="3"/>
  <c r="N92" i="3"/>
  <c r="P92" i="3"/>
  <c r="M92" i="3"/>
  <c r="O92" i="3"/>
  <c r="N88" i="3"/>
  <c r="P88" i="3"/>
  <c r="M88" i="3"/>
  <c r="O88" i="3"/>
  <c r="N84" i="3"/>
  <c r="P84" i="3"/>
  <c r="O84" i="3"/>
  <c r="M84" i="3"/>
  <c r="N80" i="3"/>
  <c r="P80" i="3"/>
  <c r="O80" i="3"/>
  <c r="M80" i="3"/>
  <c r="N76" i="3"/>
  <c r="P76" i="3"/>
  <c r="O76" i="3"/>
  <c r="M76" i="3"/>
  <c r="N72" i="3"/>
  <c r="P72" i="3"/>
  <c r="O72" i="3"/>
  <c r="M72" i="3"/>
  <c r="N6" i="3"/>
  <c r="O6" i="3"/>
  <c r="P6" i="3"/>
  <c r="M6" i="3"/>
  <c r="N14" i="3"/>
  <c r="P14" i="3"/>
  <c r="O14" i="3"/>
  <c r="M14" i="3"/>
  <c r="N16" i="3"/>
  <c r="P16" i="3"/>
  <c r="O16" i="3"/>
  <c r="M16" i="3"/>
  <c r="N20" i="3"/>
  <c r="P20" i="3"/>
  <c r="O20" i="3"/>
  <c r="M20" i="3"/>
  <c r="N29" i="3"/>
  <c r="P29" i="3"/>
  <c r="O29" i="3"/>
  <c r="M29" i="3"/>
  <c r="N35" i="3"/>
  <c r="P35" i="3"/>
  <c r="O35" i="3"/>
  <c r="M35" i="3"/>
  <c r="N61" i="3"/>
  <c r="P61" i="3"/>
  <c r="O61" i="3"/>
  <c r="M61" i="3"/>
  <c r="N53" i="3"/>
  <c r="P53" i="3"/>
  <c r="O53" i="3"/>
  <c r="M53" i="3"/>
  <c r="N49" i="3"/>
  <c r="P49" i="3"/>
  <c r="O49" i="3"/>
  <c r="M49" i="3"/>
  <c r="N69" i="3"/>
  <c r="P69" i="3"/>
  <c r="O69" i="3"/>
  <c r="M69" i="3"/>
  <c r="N65" i="3"/>
  <c r="P65" i="3"/>
  <c r="O65" i="3"/>
  <c r="M65" i="3"/>
  <c r="M520" i="3"/>
  <c r="O520" i="3"/>
  <c r="N520" i="3"/>
  <c r="P520" i="3"/>
  <c r="M512" i="3"/>
  <c r="O512" i="3"/>
  <c r="N512" i="3"/>
  <c r="P512" i="3"/>
  <c r="M500" i="3"/>
  <c r="O500" i="3"/>
  <c r="N500" i="3"/>
  <c r="P500" i="3"/>
  <c r="M492" i="3"/>
  <c r="O492" i="3"/>
  <c r="N492" i="3"/>
  <c r="P492" i="3"/>
  <c r="M488" i="3"/>
  <c r="O488" i="3"/>
  <c r="N488" i="3"/>
  <c r="P488" i="3"/>
  <c r="M480" i="3"/>
  <c r="O480" i="3"/>
  <c r="N480" i="3"/>
  <c r="P480" i="3"/>
  <c r="M472" i="3"/>
  <c r="O472" i="3"/>
  <c r="N472" i="3"/>
  <c r="P472" i="3"/>
  <c r="M464" i="3"/>
  <c r="O464" i="3"/>
  <c r="N464" i="3"/>
  <c r="P464" i="3"/>
  <c r="M456" i="3"/>
  <c r="O456" i="3"/>
  <c r="N456" i="3"/>
  <c r="P456" i="3"/>
  <c r="M452" i="3"/>
  <c r="O452" i="3"/>
  <c r="N452" i="3"/>
  <c r="P452" i="3"/>
  <c r="M444" i="3"/>
  <c r="O444" i="3"/>
  <c r="N444" i="3"/>
  <c r="P444" i="3"/>
  <c r="M436" i="3"/>
  <c r="O436" i="3"/>
  <c r="N436" i="3"/>
  <c r="P436" i="3"/>
  <c r="M428" i="3"/>
  <c r="N428" i="3"/>
  <c r="O428" i="3"/>
  <c r="P428" i="3"/>
  <c r="P424" i="3"/>
  <c r="M424" i="3"/>
  <c r="N424" i="3"/>
  <c r="O424" i="3"/>
  <c r="P416" i="3"/>
  <c r="M416" i="3"/>
  <c r="N416" i="3"/>
  <c r="O416" i="3"/>
  <c r="P408" i="3"/>
  <c r="M408" i="3"/>
  <c r="N408" i="3"/>
  <c r="O408" i="3"/>
  <c r="P400" i="3"/>
  <c r="M400" i="3"/>
  <c r="N400" i="3"/>
  <c r="O400" i="3"/>
  <c r="P392" i="3"/>
  <c r="M392" i="3"/>
  <c r="N392" i="3"/>
  <c r="O392" i="3"/>
  <c r="P384" i="3"/>
  <c r="M384" i="3"/>
  <c r="N384" i="3"/>
  <c r="O384" i="3"/>
  <c r="P380" i="3"/>
  <c r="M380" i="3"/>
  <c r="N380" i="3"/>
  <c r="O380" i="3"/>
  <c r="P372" i="3"/>
  <c r="M372" i="3"/>
  <c r="N372" i="3"/>
  <c r="O372" i="3"/>
  <c r="P364" i="3"/>
  <c r="M364" i="3"/>
  <c r="N364" i="3"/>
  <c r="O364" i="3"/>
  <c r="P356" i="3"/>
  <c r="M356" i="3"/>
  <c r="N356" i="3"/>
  <c r="O356" i="3"/>
  <c r="P352" i="3"/>
  <c r="M352" i="3"/>
  <c r="N352" i="3"/>
  <c r="O352" i="3"/>
  <c r="P344" i="3"/>
  <c r="M344" i="3"/>
  <c r="N344" i="3"/>
  <c r="O344" i="3"/>
  <c r="P336" i="3"/>
  <c r="M336" i="3"/>
  <c r="N336" i="3"/>
  <c r="O336" i="3"/>
  <c r="P332" i="3"/>
  <c r="M332" i="3"/>
  <c r="N332" i="3"/>
  <c r="O332" i="3"/>
  <c r="P324" i="3"/>
  <c r="M324" i="3"/>
  <c r="N324" i="3"/>
  <c r="O324" i="3"/>
  <c r="P316" i="3"/>
  <c r="M316" i="3"/>
  <c r="N316" i="3"/>
  <c r="O316" i="3"/>
  <c r="P308" i="3"/>
  <c r="M308" i="3"/>
  <c r="N308" i="3"/>
  <c r="O308" i="3"/>
  <c r="O304" i="3"/>
  <c r="M304" i="3"/>
  <c r="N304" i="3"/>
  <c r="P304" i="3"/>
  <c r="O296" i="3"/>
  <c r="M296" i="3"/>
  <c r="N296" i="3"/>
  <c r="P296" i="3"/>
  <c r="O288" i="3"/>
  <c r="M288" i="3"/>
  <c r="N288" i="3"/>
  <c r="P288" i="3"/>
  <c r="O280" i="3"/>
  <c r="M280" i="3"/>
  <c r="N280" i="3"/>
  <c r="P280" i="3"/>
  <c r="O276" i="3"/>
  <c r="M276" i="3"/>
  <c r="N276" i="3"/>
  <c r="P276" i="3"/>
  <c r="O268" i="3"/>
  <c r="M268" i="3"/>
  <c r="N268" i="3"/>
  <c r="P268" i="3"/>
  <c r="O260" i="3"/>
  <c r="M260" i="3"/>
  <c r="N260" i="3"/>
  <c r="P260" i="3"/>
  <c r="O252" i="3"/>
  <c r="M252" i="3"/>
  <c r="N252" i="3"/>
  <c r="P252" i="3"/>
  <c r="O240" i="3"/>
  <c r="M240" i="3"/>
  <c r="N240" i="3"/>
  <c r="P240" i="3"/>
  <c r="N200" i="3"/>
  <c r="O200" i="3"/>
  <c r="P200" i="3"/>
  <c r="M200" i="3"/>
  <c r="N4" i="3"/>
  <c r="O4" i="3"/>
  <c r="P4" i="3"/>
  <c r="M4" i="3"/>
  <c r="N9" i="3"/>
  <c r="O9" i="3"/>
  <c r="P9" i="3"/>
  <c r="M9" i="3"/>
  <c r="N13" i="3"/>
  <c r="P13" i="3"/>
  <c r="M13" i="3"/>
  <c r="O13" i="3"/>
  <c r="N27" i="3"/>
  <c r="P27" i="3"/>
  <c r="O27" i="3"/>
  <c r="M27" i="3"/>
  <c r="N23" i="3"/>
  <c r="P23" i="3"/>
  <c r="O23" i="3"/>
  <c r="M23" i="3"/>
  <c r="N19" i="3"/>
  <c r="P19" i="3"/>
  <c r="O19" i="3"/>
  <c r="M19" i="3"/>
  <c r="N32" i="3"/>
  <c r="P32" i="3"/>
  <c r="O32" i="3"/>
  <c r="M32" i="3"/>
  <c r="N42" i="3"/>
  <c r="P42" i="3"/>
  <c r="O42" i="3"/>
  <c r="M42" i="3"/>
  <c r="N38" i="3"/>
  <c r="P38" i="3"/>
  <c r="O38" i="3"/>
  <c r="M38" i="3"/>
  <c r="N34" i="3"/>
  <c r="P34" i="3"/>
  <c r="O34" i="3"/>
  <c r="M34" i="3"/>
  <c r="N60" i="3"/>
  <c r="P60" i="3"/>
  <c r="O60" i="3"/>
  <c r="M60" i="3"/>
  <c r="N56" i="3"/>
  <c r="P56" i="3"/>
  <c r="O56" i="3"/>
  <c r="M56" i="3"/>
  <c r="N52" i="3"/>
  <c r="P52" i="3"/>
  <c r="O52" i="3"/>
  <c r="M52" i="3"/>
  <c r="N48" i="3"/>
  <c r="P48" i="3"/>
  <c r="O48" i="3"/>
  <c r="M48" i="3"/>
  <c r="N44" i="3"/>
  <c r="P44" i="3"/>
  <c r="O44" i="3"/>
  <c r="M44" i="3"/>
  <c r="N68" i="3"/>
  <c r="P68" i="3"/>
  <c r="O68" i="3"/>
  <c r="M68" i="3"/>
  <c r="N64" i="3"/>
  <c r="P64" i="3"/>
  <c r="O64" i="3"/>
  <c r="M64" i="3"/>
  <c r="M523" i="3"/>
  <c r="O523" i="3"/>
  <c r="N523" i="3"/>
  <c r="P523" i="3"/>
  <c r="M519" i="3"/>
  <c r="O519" i="3"/>
  <c r="N519" i="3"/>
  <c r="P519" i="3"/>
  <c r="M515" i="3"/>
  <c r="O515" i="3"/>
  <c r="N515" i="3"/>
  <c r="P515" i="3"/>
  <c r="M511" i="3"/>
  <c r="O511" i="3"/>
  <c r="N511" i="3"/>
  <c r="P511" i="3"/>
  <c r="M507" i="3"/>
  <c r="O507" i="3"/>
  <c r="N507" i="3"/>
  <c r="P507" i="3"/>
  <c r="M503" i="3"/>
  <c r="O503" i="3"/>
  <c r="N503" i="3"/>
  <c r="P503" i="3"/>
  <c r="M499" i="3"/>
  <c r="O499" i="3"/>
  <c r="N499" i="3"/>
  <c r="P499" i="3"/>
  <c r="M495" i="3"/>
  <c r="O495" i="3"/>
  <c r="N495" i="3"/>
  <c r="P495" i="3"/>
  <c r="M491" i="3"/>
  <c r="O491" i="3"/>
  <c r="N491" i="3"/>
  <c r="P491" i="3"/>
  <c r="M487" i="3"/>
  <c r="O487" i="3"/>
  <c r="N487" i="3"/>
  <c r="P487" i="3"/>
  <c r="M483" i="3"/>
  <c r="O483" i="3"/>
  <c r="N483" i="3"/>
  <c r="P483" i="3"/>
  <c r="M479" i="3"/>
  <c r="O479" i="3"/>
  <c r="N479" i="3"/>
  <c r="P479" i="3"/>
  <c r="M475" i="3"/>
  <c r="O475" i="3"/>
  <c r="N475" i="3"/>
  <c r="P475" i="3"/>
  <c r="M471" i="3"/>
  <c r="O471" i="3"/>
  <c r="N471" i="3"/>
  <c r="P471" i="3"/>
  <c r="M467" i="3"/>
  <c r="O467" i="3"/>
  <c r="N467" i="3"/>
  <c r="P467" i="3"/>
  <c r="M463" i="3"/>
  <c r="O463" i="3"/>
  <c r="N463" i="3"/>
  <c r="P463" i="3"/>
  <c r="M459" i="3"/>
  <c r="O459" i="3"/>
  <c r="N459" i="3"/>
  <c r="P459" i="3"/>
  <c r="M455" i="3"/>
  <c r="O455" i="3"/>
  <c r="N455" i="3"/>
  <c r="P455" i="3"/>
  <c r="M451" i="3"/>
  <c r="O451" i="3"/>
  <c r="N451" i="3"/>
  <c r="P451" i="3"/>
  <c r="M447" i="3"/>
  <c r="O447" i="3"/>
  <c r="N447" i="3"/>
  <c r="P447" i="3"/>
  <c r="M443" i="3"/>
  <c r="O443" i="3"/>
  <c r="N443" i="3"/>
  <c r="P443" i="3"/>
  <c r="M439" i="3"/>
  <c r="O439" i="3"/>
  <c r="N439" i="3"/>
  <c r="P439" i="3"/>
  <c r="M435" i="3"/>
  <c r="O435" i="3"/>
  <c r="N435" i="3"/>
  <c r="P435" i="3"/>
  <c r="M431" i="3"/>
  <c r="O431" i="3"/>
  <c r="N431" i="3"/>
  <c r="P431" i="3"/>
  <c r="P427" i="3"/>
  <c r="M427" i="3"/>
  <c r="N427" i="3"/>
  <c r="O427" i="3"/>
  <c r="P423" i="3"/>
  <c r="M423" i="3"/>
  <c r="N423" i="3"/>
  <c r="O423" i="3"/>
  <c r="P419" i="3"/>
  <c r="M419" i="3"/>
  <c r="N419" i="3"/>
  <c r="O419" i="3"/>
  <c r="P415" i="3"/>
  <c r="M415" i="3"/>
  <c r="N415" i="3"/>
  <c r="O415" i="3"/>
  <c r="P411" i="3"/>
  <c r="M411" i="3"/>
  <c r="N411" i="3"/>
  <c r="O411" i="3"/>
  <c r="P407" i="3"/>
  <c r="M407" i="3"/>
  <c r="N407" i="3"/>
  <c r="O407" i="3"/>
  <c r="P403" i="3"/>
  <c r="M403" i="3"/>
  <c r="N403" i="3"/>
  <c r="O403" i="3"/>
  <c r="P399" i="3"/>
  <c r="M399" i="3"/>
  <c r="N399" i="3"/>
  <c r="O399" i="3"/>
  <c r="P395" i="3"/>
  <c r="M395" i="3"/>
  <c r="N395" i="3"/>
  <c r="O395" i="3"/>
  <c r="P391" i="3"/>
  <c r="M391" i="3"/>
  <c r="N391" i="3"/>
  <c r="O391" i="3"/>
  <c r="P387" i="3"/>
  <c r="M387" i="3"/>
  <c r="N387" i="3"/>
  <c r="O387" i="3"/>
  <c r="P383" i="3"/>
  <c r="M383" i="3"/>
  <c r="N383" i="3"/>
  <c r="O383" i="3"/>
  <c r="P379" i="3"/>
  <c r="M379" i="3"/>
  <c r="N379" i="3"/>
  <c r="O379" i="3"/>
  <c r="P375" i="3"/>
  <c r="M375" i="3"/>
  <c r="N375" i="3"/>
  <c r="O375" i="3"/>
  <c r="P371" i="3"/>
  <c r="M371" i="3"/>
  <c r="N371" i="3"/>
  <c r="O371" i="3"/>
  <c r="P367" i="3"/>
  <c r="M367" i="3"/>
  <c r="N367" i="3"/>
  <c r="O367" i="3"/>
  <c r="P363" i="3"/>
  <c r="M363" i="3"/>
  <c r="N363" i="3"/>
  <c r="O363" i="3"/>
  <c r="P359" i="3"/>
  <c r="M359" i="3"/>
  <c r="N359" i="3"/>
  <c r="O359" i="3"/>
  <c r="P355" i="3"/>
  <c r="M355" i="3"/>
  <c r="N355" i="3"/>
  <c r="O355" i="3"/>
  <c r="P351" i="3"/>
  <c r="M351" i="3"/>
  <c r="N351" i="3"/>
  <c r="O351" i="3"/>
  <c r="P347" i="3"/>
  <c r="M347" i="3"/>
  <c r="N347" i="3"/>
  <c r="O347" i="3"/>
  <c r="P343" i="3"/>
  <c r="M343" i="3"/>
  <c r="N343" i="3"/>
  <c r="O343" i="3"/>
  <c r="P339" i="3"/>
  <c r="M339" i="3"/>
  <c r="N339" i="3"/>
  <c r="O339" i="3"/>
  <c r="P335" i="3"/>
  <c r="M335" i="3"/>
  <c r="N335" i="3"/>
  <c r="O335" i="3"/>
  <c r="P331" i="3"/>
  <c r="M331" i="3"/>
  <c r="N331" i="3"/>
  <c r="O331" i="3"/>
  <c r="P327" i="3"/>
  <c r="M327" i="3"/>
  <c r="N327" i="3"/>
  <c r="O327" i="3"/>
  <c r="P323" i="3"/>
  <c r="M323" i="3"/>
  <c r="N323" i="3"/>
  <c r="O323" i="3"/>
  <c r="P319" i="3"/>
  <c r="M319" i="3"/>
  <c r="N319" i="3"/>
  <c r="O319" i="3"/>
  <c r="P315" i="3"/>
  <c r="M315" i="3"/>
  <c r="N315" i="3"/>
  <c r="O315" i="3"/>
  <c r="P311" i="3"/>
  <c r="M311" i="3"/>
  <c r="N311" i="3"/>
  <c r="O311" i="3"/>
  <c r="P307" i="3"/>
  <c r="M307" i="3"/>
  <c r="N307" i="3"/>
  <c r="O307" i="3"/>
  <c r="O303" i="3"/>
  <c r="M303" i="3"/>
  <c r="P303" i="3"/>
  <c r="N303" i="3"/>
  <c r="O299" i="3"/>
  <c r="M299" i="3"/>
  <c r="P299" i="3"/>
  <c r="N299" i="3"/>
  <c r="O295" i="3"/>
  <c r="M295" i="3"/>
  <c r="P295" i="3"/>
  <c r="N295" i="3"/>
  <c r="O291" i="3"/>
  <c r="M291" i="3"/>
  <c r="P291" i="3"/>
  <c r="N291" i="3"/>
  <c r="O287" i="3"/>
  <c r="M287" i="3"/>
  <c r="P287" i="3"/>
  <c r="N287" i="3"/>
  <c r="O283" i="3"/>
  <c r="M283" i="3"/>
  <c r="P283" i="3"/>
  <c r="N283" i="3"/>
  <c r="O279" i="3"/>
  <c r="M279" i="3"/>
  <c r="P279" i="3"/>
  <c r="N279" i="3"/>
  <c r="O275" i="3"/>
  <c r="M275" i="3"/>
  <c r="P275" i="3"/>
  <c r="N275" i="3"/>
  <c r="O271" i="3"/>
  <c r="M271" i="3"/>
  <c r="P271" i="3"/>
  <c r="N271" i="3"/>
  <c r="O267" i="3"/>
  <c r="M267" i="3"/>
  <c r="P267" i="3"/>
  <c r="N267" i="3"/>
  <c r="O263" i="3"/>
  <c r="M263" i="3"/>
  <c r="P263" i="3"/>
  <c r="N263" i="3"/>
  <c r="O259" i="3"/>
  <c r="M259" i="3"/>
  <c r="P259" i="3"/>
  <c r="N259" i="3"/>
  <c r="O255" i="3"/>
  <c r="M255" i="3"/>
  <c r="P255" i="3"/>
  <c r="N255" i="3"/>
  <c r="O251" i="3"/>
  <c r="M251" i="3"/>
  <c r="P251" i="3"/>
  <c r="N251" i="3"/>
  <c r="O247" i="3"/>
  <c r="M247" i="3"/>
  <c r="P247" i="3"/>
  <c r="N247" i="3"/>
  <c r="O243" i="3"/>
  <c r="M243" i="3"/>
  <c r="P243" i="3"/>
  <c r="N243" i="3"/>
  <c r="O239" i="3"/>
  <c r="M239" i="3"/>
  <c r="P239" i="3"/>
  <c r="N239" i="3"/>
  <c r="O235" i="3"/>
  <c r="M235" i="3"/>
  <c r="P235" i="3"/>
  <c r="N235" i="3"/>
  <c r="O231" i="3"/>
  <c r="M231" i="3"/>
  <c r="P231" i="3"/>
  <c r="N231" i="3"/>
  <c r="O227" i="3"/>
  <c r="M227" i="3"/>
  <c r="P227" i="3"/>
  <c r="N227" i="3"/>
  <c r="O223" i="3"/>
  <c r="M223" i="3"/>
  <c r="P223" i="3"/>
  <c r="N223" i="3"/>
  <c r="O219" i="3"/>
  <c r="M219" i="3"/>
  <c r="P219" i="3"/>
  <c r="N219" i="3"/>
  <c r="O215" i="3"/>
  <c r="M215" i="3"/>
  <c r="P215" i="3"/>
  <c r="N215" i="3"/>
  <c r="O211" i="3"/>
  <c r="M211" i="3"/>
  <c r="P211" i="3"/>
  <c r="N211" i="3"/>
  <c r="N207" i="3"/>
  <c r="O207" i="3"/>
  <c r="P207" i="3"/>
  <c r="M207" i="3"/>
  <c r="N203" i="3"/>
  <c r="O203" i="3"/>
  <c r="P203" i="3"/>
  <c r="M203" i="3"/>
  <c r="N199" i="3"/>
  <c r="O199" i="3"/>
  <c r="P199" i="3"/>
  <c r="M199" i="3"/>
  <c r="N195" i="3"/>
  <c r="O195" i="3"/>
  <c r="P195" i="3"/>
  <c r="M195" i="3"/>
  <c r="N191" i="3"/>
  <c r="O191" i="3"/>
  <c r="P191" i="3"/>
  <c r="M191" i="3"/>
  <c r="N187" i="3"/>
  <c r="O187" i="3"/>
  <c r="P187" i="3"/>
  <c r="M187" i="3"/>
  <c r="N183" i="3"/>
  <c r="O183" i="3"/>
  <c r="P183" i="3"/>
  <c r="M183" i="3"/>
  <c r="N179" i="3"/>
  <c r="O179" i="3"/>
  <c r="P179" i="3"/>
  <c r="M179" i="3"/>
  <c r="P175" i="3"/>
  <c r="N175" i="3"/>
  <c r="M175" i="3"/>
  <c r="O175" i="3"/>
  <c r="P171" i="3"/>
  <c r="N171" i="3"/>
  <c r="M171" i="3"/>
  <c r="O171" i="3"/>
  <c r="P167" i="3"/>
  <c r="N167" i="3"/>
  <c r="M167" i="3"/>
  <c r="O167" i="3"/>
  <c r="P163" i="3"/>
  <c r="N163" i="3"/>
  <c r="M163" i="3"/>
  <c r="O163" i="3"/>
  <c r="P159" i="3"/>
  <c r="N159" i="3"/>
  <c r="M159" i="3"/>
  <c r="O159" i="3"/>
  <c r="P155" i="3"/>
  <c r="N155" i="3"/>
  <c r="M155" i="3"/>
  <c r="O155" i="3"/>
  <c r="P151" i="3"/>
  <c r="N151" i="3"/>
  <c r="M151" i="3"/>
  <c r="O151" i="3"/>
  <c r="P147" i="3"/>
  <c r="N147" i="3"/>
  <c r="M147" i="3"/>
  <c r="O147" i="3"/>
  <c r="P143" i="3"/>
  <c r="N143" i="3"/>
  <c r="M143" i="3"/>
  <c r="O143" i="3"/>
  <c r="P139" i="3"/>
  <c r="N139" i="3"/>
  <c r="M139" i="3"/>
  <c r="O139" i="3"/>
  <c r="N135" i="3"/>
  <c r="P135" i="3"/>
  <c r="M135" i="3"/>
  <c r="O135" i="3"/>
  <c r="N131" i="3"/>
  <c r="P131" i="3"/>
  <c r="M131" i="3"/>
  <c r="O131" i="3"/>
  <c r="N127" i="3"/>
  <c r="P127" i="3"/>
  <c r="M127" i="3"/>
  <c r="O127" i="3"/>
  <c r="N123" i="3"/>
  <c r="P123" i="3"/>
  <c r="M123" i="3"/>
  <c r="O123" i="3"/>
  <c r="N119" i="3"/>
  <c r="P119" i="3"/>
  <c r="M119" i="3"/>
  <c r="O119" i="3"/>
  <c r="N115" i="3"/>
  <c r="P115" i="3"/>
  <c r="M115" i="3"/>
  <c r="O115" i="3"/>
  <c r="N111" i="3"/>
  <c r="P111" i="3"/>
  <c r="M111" i="3"/>
  <c r="O111" i="3"/>
  <c r="N107" i="3"/>
  <c r="P107" i="3"/>
  <c r="M107" i="3"/>
  <c r="O107" i="3"/>
  <c r="N103" i="3"/>
  <c r="P103" i="3"/>
  <c r="M103" i="3"/>
  <c r="O103" i="3"/>
  <c r="N99" i="3"/>
  <c r="P99" i="3"/>
  <c r="M99" i="3"/>
  <c r="O99" i="3"/>
  <c r="N95" i="3"/>
  <c r="P95" i="3"/>
  <c r="M95" i="3"/>
  <c r="O95" i="3"/>
  <c r="N91" i="3"/>
  <c r="P91" i="3"/>
  <c r="M91" i="3"/>
  <c r="O91" i="3"/>
  <c r="N87" i="3"/>
  <c r="P87" i="3"/>
  <c r="O87" i="3"/>
  <c r="M87" i="3"/>
  <c r="N83" i="3"/>
  <c r="P83" i="3"/>
  <c r="O83" i="3"/>
  <c r="M83" i="3"/>
  <c r="N79" i="3"/>
  <c r="P79" i="3"/>
  <c r="O79" i="3"/>
  <c r="M79" i="3"/>
  <c r="N75" i="3"/>
  <c r="P75" i="3"/>
  <c r="O75" i="3"/>
  <c r="M75" i="3"/>
  <c r="N10" i="3"/>
  <c r="O10" i="3"/>
  <c r="P10" i="3"/>
  <c r="M10" i="3"/>
  <c r="N22" i="3"/>
  <c r="P22" i="3"/>
  <c r="O22" i="3"/>
  <c r="M22" i="3"/>
  <c r="N41" i="3"/>
  <c r="P41" i="3"/>
  <c r="O41" i="3"/>
  <c r="M41" i="3"/>
  <c r="N33" i="3"/>
  <c r="P33" i="3"/>
  <c r="O33" i="3"/>
  <c r="M33" i="3"/>
  <c r="N55" i="3"/>
  <c r="P55" i="3"/>
  <c r="O55" i="3"/>
  <c r="M55" i="3"/>
  <c r="N47" i="3"/>
  <c r="P47" i="3"/>
  <c r="O47" i="3"/>
  <c r="M47" i="3"/>
  <c r="N71" i="3"/>
  <c r="P71" i="3"/>
  <c r="O71" i="3"/>
  <c r="M71" i="3"/>
  <c r="M518" i="3"/>
  <c r="O518" i="3"/>
  <c r="N518" i="3"/>
  <c r="P518" i="3"/>
  <c r="M510" i="3"/>
  <c r="O510" i="3"/>
  <c r="N510" i="3"/>
  <c r="P510" i="3"/>
  <c r="M502" i="3"/>
  <c r="O502" i="3"/>
  <c r="N502" i="3"/>
  <c r="P502" i="3"/>
  <c r="M494" i="3"/>
  <c r="O494" i="3"/>
  <c r="N494" i="3"/>
  <c r="P494" i="3"/>
  <c r="M486" i="3"/>
  <c r="O486" i="3"/>
  <c r="N486" i="3"/>
  <c r="P486" i="3"/>
  <c r="M478" i="3"/>
  <c r="O478" i="3"/>
  <c r="N478" i="3"/>
  <c r="P478" i="3"/>
  <c r="M466" i="3"/>
  <c r="O466" i="3"/>
  <c r="N466" i="3"/>
  <c r="P466" i="3"/>
  <c r="M458" i="3"/>
  <c r="O458" i="3"/>
  <c r="N458" i="3"/>
  <c r="P458" i="3"/>
  <c r="M446" i="3"/>
  <c r="O446" i="3"/>
  <c r="N446" i="3"/>
  <c r="P446" i="3"/>
  <c r="M438" i="3"/>
  <c r="O438" i="3"/>
  <c r="N438" i="3"/>
  <c r="P438" i="3"/>
  <c r="M430" i="3"/>
  <c r="O430" i="3"/>
  <c r="N430" i="3"/>
  <c r="P430" i="3"/>
  <c r="P422" i="3"/>
  <c r="M422" i="3"/>
  <c r="N422" i="3"/>
  <c r="O422" i="3"/>
  <c r="P414" i="3"/>
  <c r="M414" i="3"/>
  <c r="N414" i="3"/>
  <c r="O414" i="3"/>
  <c r="P402" i="3"/>
  <c r="M402" i="3"/>
  <c r="N402" i="3"/>
  <c r="O402" i="3"/>
  <c r="P394" i="3"/>
  <c r="M394" i="3"/>
  <c r="N394" i="3"/>
  <c r="O394" i="3"/>
  <c r="P382" i="3"/>
  <c r="M382" i="3"/>
  <c r="N382" i="3"/>
  <c r="O382" i="3"/>
  <c r="P374" i="3"/>
  <c r="M374" i="3"/>
  <c r="N374" i="3"/>
  <c r="O374" i="3"/>
  <c r="P362" i="3"/>
  <c r="M362" i="3"/>
  <c r="N362" i="3"/>
  <c r="O362" i="3"/>
  <c r="P350" i="3"/>
  <c r="M350" i="3"/>
  <c r="N350" i="3"/>
  <c r="O350" i="3"/>
  <c r="P342" i="3"/>
  <c r="M342" i="3"/>
  <c r="N342" i="3"/>
  <c r="O342" i="3"/>
  <c r="P334" i="3"/>
  <c r="M334" i="3"/>
  <c r="N334" i="3"/>
  <c r="O334" i="3"/>
  <c r="P326" i="3"/>
  <c r="M326" i="3"/>
  <c r="N326" i="3"/>
  <c r="O326" i="3"/>
  <c r="P314" i="3"/>
  <c r="M314" i="3"/>
  <c r="N314" i="3"/>
  <c r="O314" i="3"/>
  <c r="O302" i="3"/>
  <c r="M302" i="3"/>
  <c r="N302" i="3"/>
  <c r="P302" i="3"/>
  <c r="O290" i="3"/>
  <c r="M290" i="3"/>
  <c r="N290" i="3"/>
  <c r="P290" i="3"/>
  <c r="O278" i="3"/>
  <c r="M278" i="3"/>
  <c r="N278" i="3"/>
  <c r="P278" i="3"/>
  <c r="O270" i="3"/>
  <c r="M270" i="3"/>
  <c r="N270" i="3"/>
  <c r="P270" i="3"/>
  <c r="O262" i="3"/>
  <c r="M262" i="3"/>
  <c r="N262" i="3"/>
  <c r="P262" i="3"/>
  <c r="O254" i="3"/>
  <c r="M254" i="3"/>
  <c r="N254" i="3"/>
  <c r="P254" i="3"/>
  <c r="O246" i="3"/>
  <c r="M246" i="3"/>
  <c r="N246" i="3"/>
  <c r="P246" i="3"/>
  <c r="O242" i="3"/>
  <c r="M242" i="3"/>
  <c r="N242" i="3"/>
  <c r="P242" i="3"/>
  <c r="O234" i="3"/>
  <c r="M234" i="3"/>
  <c r="N234" i="3"/>
  <c r="P234" i="3"/>
  <c r="O230" i="3"/>
  <c r="M230" i="3"/>
  <c r="N230" i="3"/>
  <c r="P230" i="3"/>
  <c r="O226" i="3"/>
  <c r="M226" i="3"/>
  <c r="N226" i="3"/>
  <c r="P226" i="3"/>
  <c r="O222" i="3"/>
  <c r="M222" i="3"/>
  <c r="N222" i="3"/>
  <c r="P222" i="3"/>
  <c r="O218" i="3"/>
  <c r="M218" i="3"/>
  <c r="N218" i="3"/>
  <c r="P218" i="3"/>
  <c r="O214" i="3"/>
  <c r="M214" i="3"/>
  <c r="N214" i="3"/>
  <c r="P214" i="3"/>
  <c r="N210" i="3"/>
  <c r="O210" i="3"/>
  <c r="P210" i="3"/>
  <c r="M210" i="3"/>
  <c r="N206" i="3"/>
  <c r="O206" i="3"/>
  <c r="P206" i="3"/>
  <c r="M206" i="3"/>
  <c r="N198" i="3"/>
  <c r="O198" i="3"/>
  <c r="P198" i="3"/>
  <c r="M198" i="3"/>
  <c r="N194" i="3"/>
  <c r="O194" i="3"/>
  <c r="P194" i="3"/>
  <c r="M194" i="3"/>
  <c r="N190" i="3"/>
  <c r="O190" i="3"/>
  <c r="P190" i="3"/>
  <c r="M190" i="3"/>
  <c r="N186" i="3"/>
  <c r="O186" i="3"/>
  <c r="P186" i="3"/>
  <c r="M186" i="3"/>
  <c r="N182" i="3"/>
  <c r="O182" i="3"/>
  <c r="P182" i="3"/>
  <c r="M182" i="3"/>
  <c r="N178" i="3"/>
  <c r="M178" i="3"/>
  <c r="O178" i="3"/>
  <c r="P178" i="3"/>
  <c r="P174" i="3"/>
  <c r="N174" i="3"/>
  <c r="M174" i="3"/>
  <c r="O174" i="3"/>
  <c r="P170" i="3"/>
  <c r="N170" i="3"/>
  <c r="M170" i="3"/>
  <c r="O170" i="3"/>
  <c r="P166" i="3"/>
  <c r="N166" i="3"/>
  <c r="M166" i="3"/>
  <c r="O166" i="3"/>
  <c r="P162" i="3"/>
  <c r="N162" i="3"/>
  <c r="M162" i="3"/>
  <c r="O162" i="3"/>
  <c r="P158" i="3"/>
  <c r="N158" i="3"/>
  <c r="M158" i="3"/>
  <c r="O158" i="3"/>
  <c r="P154" i="3"/>
  <c r="N154" i="3"/>
  <c r="M154" i="3"/>
  <c r="O154" i="3"/>
  <c r="P150" i="3"/>
  <c r="N150" i="3"/>
  <c r="M150" i="3"/>
  <c r="O150" i="3"/>
  <c r="P146" i="3"/>
  <c r="N146" i="3"/>
  <c r="M146" i="3"/>
  <c r="O146" i="3"/>
  <c r="P142" i="3"/>
  <c r="N142" i="3"/>
  <c r="M142" i="3"/>
  <c r="O142" i="3"/>
  <c r="P138" i="3"/>
  <c r="N138" i="3"/>
  <c r="M138" i="3"/>
  <c r="O138" i="3"/>
  <c r="N134" i="3"/>
  <c r="P134" i="3"/>
  <c r="M134" i="3"/>
  <c r="O134" i="3"/>
  <c r="N130" i="3"/>
  <c r="P130" i="3"/>
  <c r="M130" i="3"/>
  <c r="O130" i="3"/>
  <c r="N126" i="3"/>
  <c r="P126" i="3"/>
  <c r="M126" i="3"/>
  <c r="O126" i="3"/>
  <c r="N122" i="3"/>
  <c r="P122" i="3"/>
  <c r="M122" i="3"/>
  <c r="O122" i="3"/>
  <c r="N118" i="3"/>
  <c r="P118" i="3"/>
  <c r="M118" i="3"/>
  <c r="O118" i="3"/>
  <c r="N114" i="3"/>
  <c r="P114" i="3"/>
  <c r="M114" i="3"/>
  <c r="O114" i="3"/>
  <c r="N110" i="3"/>
  <c r="P110" i="3"/>
  <c r="M110" i="3"/>
  <c r="O110" i="3"/>
  <c r="N106" i="3"/>
  <c r="P106" i="3"/>
  <c r="M106" i="3"/>
  <c r="O106" i="3"/>
  <c r="N102" i="3"/>
  <c r="P102" i="3"/>
  <c r="M102" i="3"/>
  <c r="O102" i="3"/>
  <c r="N98" i="3"/>
  <c r="P98" i="3"/>
  <c r="M98" i="3"/>
  <c r="O98" i="3"/>
  <c r="N94" i="3"/>
  <c r="P94" i="3"/>
  <c r="M94" i="3"/>
  <c r="O94" i="3"/>
  <c r="N90" i="3"/>
  <c r="P90" i="3"/>
  <c r="M90" i="3"/>
  <c r="O90" i="3"/>
  <c r="N86" i="3"/>
  <c r="P86" i="3"/>
  <c r="O86" i="3"/>
  <c r="M86" i="3"/>
  <c r="N82" i="3"/>
  <c r="P82" i="3"/>
  <c r="O82" i="3"/>
  <c r="M82" i="3"/>
  <c r="N78" i="3"/>
  <c r="P78" i="3"/>
  <c r="O78" i="3"/>
  <c r="M78" i="3"/>
  <c r="N74" i="3"/>
  <c r="P74" i="3"/>
  <c r="O74" i="3"/>
  <c r="M74" i="3"/>
  <c r="J28" i="3"/>
  <c r="F28" i="3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K109" i="1"/>
  <c r="J109" i="1"/>
  <c r="I109" i="1"/>
  <c r="H109" i="1"/>
  <c r="G109" i="1"/>
  <c r="F109" i="1"/>
  <c r="E109" i="1"/>
  <c r="D109" i="1"/>
  <c r="C109" i="1"/>
  <c r="C108" i="1"/>
  <c r="C106" i="1"/>
  <c r="H108" i="1" s="1"/>
  <c r="H60" i="1"/>
  <c r="G60" i="1"/>
  <c r="F60" i="1"/>
  <c r="E60" i="1"/>
  <c r="D60" i="1"/>
  <c r="C60" i="1"/>
  <c r="H59" i="1"/>
  <c r="G59" i="1"/>
  <c r="F59" i="1"/>
  <c r="E59" i="1"/>
  <c r="D59" i="1"/>
  <c r="C59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H9" i="1"/>
  <c r="G9" i="1"/>
  <c r="F9" i="1"/>
  <c r="E9" i="1"/>
  <c r="D9" i="1"/>
  <c r="C9" i="1"/>
  <c r="H8" i="1"/>
  <c r="G8" i="1"/>
  <c r="F8" i="1"/>
  <c r="E8" i="1"/>
  <c r="D8" i="1"/>
  <c r="C8" i="1"/>
  <c r="N28" i="3" l="1"/>
  <c r="P28" i="3"/>
  <c r="O28" i="3"/>
  <c r="M28" i="3"/>
  <c r="E108" i="1"/>
  <c r="D108" i="1"/>
  <c r="G108" i="1"/>
  <c r="I108" i="1"/>
  <c r="F108" i="1"/>
  <c r="J108" i="1"/>
  <c r="K108" i="1"/>
</calcChain>
</file>

<file path=xl/sharedStrings.xml><?xml version="1.0" encoding="utf-8"?>
<sst xmlns="http://schemas.openxmlformats.org/spreadsheetml/2006/main" count="11692" uniqueCount="445">
  <si>
    <t>SN</t>
  </si>
  <si>
    <t>526YE078</t>
  </si>
  <si>
    <t>Seguimientos de OVATIO</t>
  </si>
  <si>
    <t>N cámaras</t>
  </si>
  <si>
    <t>Modelo</t>
  </si>
  <si>
    <t>D</t>
  </si>
  <si>
    <t>Fecha Implante</t>
  </si>
  <si>
    <t>Revisar fecha de implante</t>
  </si>
  <si>
    <t>Fecha UltimoSeguimiento</t>
  </si>
  <si>
    <t>Fecha</t>
  </si>
  <si>
    <t>Tiempo desde implante</t>
  </si>
  <si>
    <t>Bateria V</t>
  </si>
  <si>
    <t>% de estimulación A</t>
  </si>
  <si>
    <t>% de estimulación VD</t>
  </si>
  <si>
    <t>% de estimulación VI</t>
  </si>
  <si>
    <t>Valores programados</t>
  </si>
  <si>
    <t>DDD</t>
  </si>
  <si>
    <t>FC</t>
  </si>
  <si>
    <t>Respuesta en frecuencia</t>
  </si>
  <si>
    <t>VA</t>
  </si>
  <si>
    <t>ms A</t>
  </si>
  <si>
    <t>VD</t>
  </si>
  <si>
    <t>ms VD</t>
  </si>
  <si>
    <t>VI</t>
  </si>
  <si>
    <t>ms VI</t>
  </si>
  <si>
    <t>641YE192</t>
  </si>
  <si>
    <t>OVATIO</t>
  </si>
  <si>
    <t>ERI Alcanzado</t>
  </si>
  <si>
    <t>SI</t>
  </si>
  <si>
    <t>Tiempo a último seguimiento</t>
  </si>
  <si>
    <t>650YE124</t>
  </si>
  <si>
    <t>FALTAN DATOS ¿ERI?</t>
  </si>
  <si>
    <t>735YE104</t>
  </si>
  <si>
    <t>Episodios</t>
  </si>
  <si>
    <t>745YE060</t>
  </si>
  <si>
    <t>VVIR</t>
  </si>
  <si>
    <t>750YE049</t>
  </si>
  <si>
    <t>DDDR</t>
  </si>
  <si>
    <t>814YE079</t>
  </si>
  <si>
    <t>815YE108</t>
  </si>
  <si>
    <t>64yd313</t>
  </si>
  <si>
    <t>Choque/ATP</t>
  </si>
  <si>
    <t>0/0</t>
  </si>
  <si>
    <t>NO</t>
  </si>
  <si>
    <t>602YD183</t>
  </si>
  <si>
    <t>1/0</t>
  </si>
  <si>
    <t>0/1</t>
  </si>
  <si>
    <t>60-120</t>
  </si>
  <si>
    <t>NO (safeR)</t>
  </si>
  <si>
    <t>728YD129</t>
  </si>
  <si>
    <t>745YD120</t>
  </si>
  <si>
    <t>35+65</t>
  </si>
  <si>
    <t>36+64</t>
  </si>
  <si>
    <t>35+64</t>
  </si>
  <si>
    <t>40+60</t>
  </si>
  <si>
    <t>37+63</t>
  </si>
  <si>
    <t>38+62</t>
  </si>
  <si>
    <t>35+63</t>
  </si>
  <si>
    <t>34+64</t>
  </si>
  <si>
    <t>36+63</t>
  </si>
  <si>
    <t>38+57</t>
  </si>
  <si>
    <t>37+62</t>
  </si>
  <si>
    <t>62+38</t>
  </si>
  <si>
    <t>55-120</t>
  </si>
  <si>
    <t>si (R-R))</t>
  </si>
  <si>
    <t>si</t>
  </si>
  <si>
    <t>649YD082</t>
  </si>
  <si>
    <t>50-120</t>
  </si>
  <si>
    <t>NO</t>
  </si>
  <si>
    <t>no</t>
  </si>
  <si>
    <t>737YD215</t>
  </si>
  <si>
    <t>843YD106</t>
  </si>
  <si>
    <t>0/33</t>
  </si>
  <si>
    <t>0/17</t>
  </si>
  <si>
    <t>0/7</t>
  </si>
  <si>
    <t>610YD174</t>
  </si>
  <si>
    <t>532YD095</t>
  </si>
  <si>
    <t>0/2</t>
  </si>
  <si>
    <t>1/2)</t>
  </si>
  <si>
    <t>2/4)</t>
  </si>
  <si>
    <t>1/10)</t>
  </si>
  <si>
    <t>60-110</t>
  </si>
  <si>
    <t>8144DOO4</t>
  </si>
  <si>
    <t>35+55</t>
  </si>
  <si>
    <t>32+50</t>
  </si>
  <si>
    <t>34+53</t>
  </si>
  <si>
    <t>34+56</t>
  </si>
  <si>
    <t>32+52</t>
  </si>
  <si>
    <t>36+50</t>
  </si>
  <si>
    <t>35+45</t>
  </si>
  <si>
    <t>45+55+</t>
  </si>
  <si>
    <t>50+50</t>
  </si>
  <si>
    <t>47+53</t>
  </si>
  <si>
    <t>44+56</t>
  </si>
  <si>
    <t>48+52</t>
  </si>
  <si>
    <t>54+46</t>
  </si>
  <si>
    <t>si(DDDR)</t>
  </si>
  <si>
    <t>641YD038</t>
  </si>
  <si>
    <t>42+58</t>
  </si>
  <si>
    <t>51+49</t>
  </si>
  <si>
    <t>51+48</t>
  </si>
  <si>
    <t>47+52</t>
  </si>
  <si>
    <t>40+55</t>
  </si>
  <si>
    <t>38+53</t>
  </si>
  <si>
    <t>0+1</t>
  </si>
  <si>
    <t>70-120</t>
  </si>
  <si>
    <t>si (safeR-R)</t>
  </si>
  <si>
    <t>531YD123</t>
  </si>
  <si>
    <t>708YD301</t>
  </si>
  <si>
    <t>0
0</t>
  </si>
  <si>
    <t>40-120</t>
  </si>
  <si>
    <t>45-120</t>
  </si>
  <si>
    <t>837YD008</t>
  </si>
  <si>
    <t>34+13</t>
  </si>
  <si>
    <t>22+19</t>
  </si>
  <si>
    <t>29+15</t>
  </si>
  <si>
    <t>32+14</t>
  </si>
  <si>
    <t>60+19</t>
  </si>
  <si>
    <t>57+22</t>
  </si>
  <si>
    <t>68+20</t>
  </si>
  <si>
    <t>72+21</t>
  </si>
  <si>
    <t>75+24</t>
  </si>
  <si>
    <t>851YD007</t>
  </si>
  <si>
    <t>52+48</t>
  </si>
  <si>
    <t>57+42</t>
  </si>
  <si>
    <t>70+29</t>
  </si>
  <si>
    <t>52+47</t>
  </si>
  <si>
    <t>56+42</t>
  </si>
  <si>
    <t>1/4)</t>
  </si>
  <si>
    <t>0/8</t>
  </si>
  <si>
    <t>0/10</t>
  </si>
  <si>
    <t>1/3)</t>
  </si>
  <si>
    <t>55-110</t>
  </si>
  <si>
    <t>640YD339</t>
  </si>
  <si>
    <t>1/2/!2</t>
  </si>
  <si>
    <t>614YD163</t>
  </si>
  <si>
    <t>63+36</t>
  </si>
  <si>
    <t>67+32</t>
  </si>
  <si>
    <t>65+35</t>
  </si>
  <si>
    <t>68+31</t>
  </si>
  <si>
    <t>1+2</t>
  </si>
  <si>
    <t>15+8</t>
  </si>
  <si>
    <t>21+10</t>
  </si>
  <si>
    <t>01/2)</t>
  </si>
  <si>
    <t>709YD132</t>
  </si>
  <si>
    <t>54+42</t>
  </si>
  <si>
    <t>640YD329</t>
  </si>
  <si>
    <t>849YD007</t>
  </si>
  <si>
    <t>3+15</t>
  </si>
  <si>
    <t>0+10</t>
  </si>
  <si>
    <t>0+12</t>
  </si>
  <si>
    <t>0+7</t>
  </si>
  <si>
    <t>0+8</t>
  </si>
  <si>
    <t>905YD0CA</t>
  </si>
  <si>
    <t>36+47</t>
  </si>
  <si>
    <t>38+43</t>
  </si>
  <si>
    <t>40+43</t>
  </si>
  <si>
    <t>63+23</t>
  </si>
  <si>
    <t>53+46</t>
  </si>
  <si>
    <t>57+43</t>
  </si>
  <si>
    <t>56+43</t>
  </si>
  <si>
    <t>76+23</t>
  </si>
  <si>
    <t>902YD0C8</t>
  </si>
  <si>
    <t>640YD345</t>
  </si>
  <si>
    <t>23/4/!3</t>
  </si>
  <si>
    <t>0/147</t>
  </si>
  <si>
    <t>1/1277</t>
  </si>
  <si>
    <t>2/32)</t>
  </si>
  <si>
    <t>2/41)</t>
  </si>
  <si>
    <t>0/9</t>
  </si>
  <si>
    <t>2/2=</t>
  </si>
  <si>
    <t>615YD031</t>
  </si>
  <si>
    <t>2/0</t>
  </si>
  <si>
    <t>631YD314</t>
  </si>
  <si>
    <t>735YD243</t>
  </si>
  <si>
    <t>647YD168</t>
  </si>
  <si>
    <t>844YD030</t>
  </si>
  <si>
    <t>43+57</t>
  </si>
  <si>
    <t>42+57</t>
  </si>
  <si>
    <t>46+53</t>
  </si>
  <si>
    <t>46+51</t>
  </si>
  <si>
    <t>52+45</t>
  </si>
  <si>
    <t>55+43</t>
  </si>
  <si>
    <t>41+56</t>
  </si>
  <si>
    <t>55+42</t>
  </si>
  <si>
    <t>42+56</t>
  </si>
  <si>
    <t>42+55</t>
  </si>
  <si>
    <t>47+49</t>
  </si>
  <si>
    <t>0/61</t>
  </si>
  <si>
    <t>2/244</t>
  </si>
  <si>
    <t>60-115</t>
  </si>
  <si>
    <t>SI (DDDR)</t>
  </si>
  <si>
    <t>745YD008</t>
  </si>
  <si>
    <t>0/11</t>
  </si>
  <si>
    <t>836YD033</t>
  </si>
  <si>
    <t>10+6</t>
  </si>
  <si>
    <t>,2/21</t>
  </si>
  <si>
    <t>SI (VVIR)</t>
  </si>
  <si>
    <t>no(vvi)</t>
  </si>
  <si>
    <t>614YD009</t>
  </si>
  <si>
    <t>NO (VVI)</t>
  </si>
  <si>
    <t>523YD017</t>
  </si>
  <si>
    <t>33+19</t>
  </si>
  <si>
    <t>36+23</t>
  </si>
  <si>
    <t>35+21</t>
  </si>
  <si>
    <t>36+16</t>
  </si>
  <si>
    <t>38+15</t>
  </si>
  <si>
    <t>1/1=</t>
  </si>
  <si>
    <t>60-100</t>
  </si>
  <si>
    <t>527YD092</t>
  </si>
  <si>
    <t>838yd130</t>
  </si>
  <si>
    <t>549YD106</t>
  </si>
  <si>
    <t>534YD007</t>
  </si>
  <si>
    <t>12/0</t>
  </si>
  <si>
    <t>45-130</t>
  </si>
  <si>
    <t>843YD096</t>
  </si>
  <si>
    <t>46+54</t>
  </si>
  <si>
    <t>38+39</t>
  </si>
  <si>
    <t>14+13</t>
  </si>
  <si>
    <t>10+17</t>
  </si>
  <si>
    <t>28+27</t>
  </si>
  <si>
    <t>37+33</t>
  </si>
  <si>
    <t>46+45</t>
  </si>
  <si>
    <t>49+43</t>
  </si>
  <si>
    <t>65+30</t>
  </si>
  <si>
    <t>54+43</t>
  </si>
  <si>
    <t>44+41</t>
  </si>
  <si>
    <t>29+22</t>
  </si>
  <si>
    <t>6+2</t>
  </si>
  <si>
    <t>18+6</t>
  </si>
  <si>
    <t>16+5</t>
  </si>
  <si>
    <t>24+10</t>
  </si>
  <si>
    <t>48+34</t>
  </si>
  <si>
    <t>49+35</t>
  </si>
  <si>
    <t>61+25</t>
  </si>
  <si>
    <t>52+39</t>
  </si>
  <si>
    <t>53+40</t>
  </si>
  <si>
    <t>52+37</t>
  </si>
  <si>
    <t>847YC042</t>
  </si>
  <si>
    <t>816YD071</t>
  </si>
  <si>
    <t>48+50</t>
  </si>
  <si>
    <t>58+41</t>
  </si>
  <si>
    <t>57+41</t>
  </si>
  <si>
    <t>2/11'</t>
  </si>
  <si>
    <t>11/56'</t>
  </si>
  <si>
    <t>0/1412+265</t>
  </si>
  <si>
    <t>534YD010</t>
  </si>
  <si>
    <t>645YD054</t>
  </si>
  <si>
    <t>905YD051</t>
  </si>
  <si>
    <t>63+24</t>
  </si>
  <si>
    <t>65+25</t>
  </si>
  <si>
    <t>64+26</t>
  </si>
  <si>
    <t>56+30</t>
  </si>
  <si>
    <t>57+30</t>
  </si>
  <si>
    <t>54+37</t>
  </si>
  <si>
    <t>56+31</t>
  </si>
  <si>
    <t>39+7</t>
  </si>
  <si>
    <t>644YD336</t>
  </si>
  <si>
    <t>80-120</t>
  </si>
  <si>
    <t>NO(DDD)</t>
  </si>
  <si>
    <t>534YD079</t>
  </si>
  <si>
    <t>0/3</t>
  </si>
  <si>
    <t>NO(SAFER)</t>
  </si>
  <si>
    <t>535TD063</t>
  </si>
  <si>
    <t>48+45</t>
  </si>
  <si>
    <t>48+38</t>
  </si>
  <si>
    <t>47+44</t>
  </si>
  <si>
    <t>602YD184</t>
  </si>
  <si>
    <t>NO (SAFER)</t>
  </si>
  <si>
    <t>745YD020</t>
  </si>
  <si>
    <t>40+59</t>
  </si>
  <si>
    <t>48+51</t>
  </si>
  <si>
    <t>45+55</t>
  </si>
  <si>
    <t>34+66</t>
  </si>
  <si>
    <t>32+64</t>
  </si>
  <si>
    <t>55+65</t>
  </si>
  <si>
    <t>35+56</t>
  </si>
  <si>
    <t>43+48</t>
  </si>
  <si>
    <t>39+53</t>
  </si>
  <si>
    <t>31+65</t>
  </si>
  <si>
    <t>18+39</t>
  </si>
  <si>
    <t>0/14</t>
  </si>
  <si>
    <t>0/129</t>
  </si>
  <si>
    <t>0/1107</t>
  </si>
  <si>
    <t>SI (SAFER)</t>
  </si>
  <si>
    <t>no (safeR)</t>
  </si>
  <si>
    <t>0/27</t>
  </si>
  <si>
    <t>530YD098</t>
  </si>
  <si>
    <t>,3/48</t>
  </si>
  <si>
    <t>,4/4</t>
  </si>
  <si>
    <t>no ( DDD)</t>
  </si>
  <si>
    <t>si (VVIR)</t>
  </si>
  <si>
    <t>no ( VVI)</t>
  </si>
  <si>
    <t>,1/3</t>
  </si>
  <si>
    <t>,5/13</t>
  </si>
  <si>
    <t>,2/4</t>
  </si>
  <si>
    <t>,1/9</t>
  </si>
  <si>
    <t>814YD004</t>
  </si>
  <si>
    <t>7+40</t>
  </si>
  <si>
    <t>24+50</t>
  </si>
  <si>
    <t>35+46</t>
  </si>
  <si>
    <t>55+45</t>
  </si>
  <si>
    <t>si ( DDDR)</t>
  </si>
  <si>
    <t>39+60</t>
  </si>
  <si>
    <t>41+58</t>
  </si>
  <si>
    <t>53+47</t>
  </si>
  <si>
    <t>37+54</t>
  </si>
  <si>
    <t>0+2</t>
  </si>
  <si>
    <t>59+41</t>
  </si>
  <si>
    <t>59+40</t>
  </si>
  <si>
    <t>,4/26</t>
  </si>
  <si>
    <t>640YD039</t>
  </si>
  <si>
    <t>44+19</t>
  </si>
  <si>
    <t>52+19</t>
  </si>
  <si>
    <t>54+41</t>
  </si>
  <si>
    <t>0/24</t>
  </si>
  <si>
    <t>0/36</t>
  </si>
  <si>
    <t>642yd152</t>
  </si>
  <si>
    <t>843YD040</t>
  </si>
  <si>
    <t>,2/12</t>
  </si>
  <si>
    <t>617YD513</t>
  </si>
  <si>
    <t>58+30</t>
  </si>
  <si>
    <t>58+32</t>
  </si>
  <si>
    <t>88+5</t>
  </si>
  <si>
    <t>,1/1</t>
  </si>
  <si>
    <t>no (VVI)</t>
  </si>
  <si>
    <t>534yd077</t>
  </si>
  <si>
    <t>0/4</t>
  </si>
  <si>
    <t>631YC179</t>
  </si>
  <si>
    <t>549YD010</t>
  </si>
  <si>
    <t>no(safeR)</t>
  </si>
  <si>
    <t>614YD120</t>
  </si>
  <si>
    <t>16+27</t>
  </si>
  <si>
    <t>43+38</t>
  </si>
  <si>
    <t>57+29</t>
  </si>
  <si>
    <t>51+23</t>
  </si>
  <si>
    <t>54+21</t>
  </si>
  <si>
    <t>51+11</t>
  </si>
  <si>
    <t>20/0</t>
  </si>
  <si>
    <t>535YD063</t>
  </si>
  <si>
    <t>51+26</t>
  </si>
  <si>
    <t>51+4</t>
  </si>
  <si>
    <t>39+2</t>
  </si>
  <si>
    <t>40+2</t>
  </si>
  <si>
    <t>62+3</t>
  </si>
  <si>
    <t>61+4</t>
  </si>
  <si>
    <t>74+26</t>
  </si>
  <si>
    <t>96+4</t>
  </si>
  <si>
    <t>97+2</t>
  </si>
  <si>
    <t>98+2</t>
  </si>
  <si>
    <t>97+3</t>
  </si>
  <si>
    <t>indicar de ERI</t>
  </si>
  <si>
    <t>Númer de serie del dispositivo</t>
  </si>
  <si>
    <t>Número de camaras de estimulación del desfibrilador(DAI)</t>
  </si>
  <si>
    <t>Fecha de la lectura</t>
  </si>
  <si>
    <t>Estado del dispositivo</t>
  </si>
  <si>
    <t>Valor de tensión de la batería</t>
  </si>
  <si>
    <t>Auricula</t>
  </si>
  <si>
    <t>Ventriculo derecho</t>
  </si>
  <si>
    <t>Ventrículo izquierdo</t>
  </si>
  <si>
    <t>Modo de estimulacion</t>
  </si>
  <si>
    <t>Si DDD</t>
  </si>
  <si>
    <t>Estimula en las 3 camaras</t>
  </si>
  <si>
    <t>Si VVI</t>
  </si>
  <si>
    <t>Estimula sólo en 2 cámaras (Ventriculos)</t>
  </si>
  <si>
    <t>Frecuencia cardíaca mínima de estimulación</t>
  </si>
  <si>
    <t>Frecuencia cardíaca máxima de estimulación</t>
  </si>
  <si>
    <t>Valor de tensión de salida de la aurícula</t>
  </si>
  <si>
    <t>Anchura del impulso de salida de la aurícula en milisegundos</t>
  </si>
  <si>
    <t>ventrículo derecho</t>
  </si>
  <si>
    <t>ventrículo izquierdo</t>
  </si>
  <si>
    <t>Número de episodios que ha detectado el DAI</t>
  </si>
  <si>
    <t>RRT</t>
  </si>
  <si>
    <t>BOL</t>
  </si>
  <si>
    <t>DAI</t>
  </si>
  <si>
    <t>77 DAI</t>
  </si>
  <si>
    <t>Tiempo hasta último seguimiento (días)</t>
  </si>
  <si>
    <t>Se alcanzó el ERI</t>
  </si>
  <si>
    <t>Bin</t>
  </si>
  <si>
    <t>More</t>
  </si>
  <si>
    <t>Frequency</t>
  </si>
  <si>
    <t>Total</t>
  </si>
  <si>
    <t>%</t>
  </si>
  <si>
    <t>Seguimientos en el último años de vida</t>
  </si>
  <si>
    <t>En el segundo año de vida</t>
  </si>
  <si>
    <t>Tiempo entre el primero y último seguimiento (días)</t>
  </si>
  <si>
    <t>Tiempo desde  implante (días)</t>
  </si>
  <si>
    <t>Días</t>
  </si>
  <si>
    <t>Tiempo entre Inicio-Fin de vida</t>
  </si>
  <si>
    <t>Longevidades Bicamerales</t>
  </si>
  <si>
    <t>Longevidades Monocamerales</t>
  </si>
  <si>
    <t>PROMEDIO</t>
  </si>
  <si>
    <t>Años</t>
  </si>
  <si>
    <t>ATP</t>
  </si>
  <si>
    <t>CHOQUE</t>
  </si>
  <si>
    <t xml:space="preserve"> </t>
  </si>
  <si>
    <t>ESTIMA</t>
  </si>
  <si>
    <t>STIMVD</t>
  </si>
  <si>
    <t>STIMVI</t>
  </si>
  <si>
    <t>R</t>
  </si>
  <si>
    <t>FC PROG</t>
  </si>
  <si>
    <t>x18M</t>
  </si>
  <si>
    <t>x12M</t>
  </si>
  <si>
    <t>x6M</t>
  </si>
  <si>
    <t>x3M</t>
  </si>
  <si>
    <t>Tiempo hasta último Seguimiento</t>
  </si>
  <si>
    <t>m6</t>
  </si>
  <si>
    <t>m12</t>
  </si>
  <si>
    <t>m18</t>
  </si>
  <si>
    <t>Seguimientos</t>
  </si>
  <si>
    <t>Nº Seguimientos</t>
  </si>
  <si>
    <t>Seguimientosm6</t>
  </si>
  <si>
    <t>Seguimientosm12</t>
  </si>
  <si>
    <t>Seguimientosm18</t>
  </si>
  <si>
    <t>nº</t>
  </si>
  <si>
    <t>DÍas hastas RRT</t>
  </si>
  <si>
    <t>Fecha de la rev.anterior</t>
  </si>
  <si>
    <t>No</t>
  </si>
  <si>
    <t>Ovatio</t>
  </si>
  <si>
    <t>64YD313</t>
  </si>
  <si>
    <t>8144B004</t>
  </si>
  <si>
    <t>905YDOCA</t>
  </si>
  <si>
    <t>902YDOC8</t>
  </si>
  <si>
    <t>615YDO31</t>
  </si>
  <si>
    <t>Fecha Ultimo Seguimiento</t>
  </si>
  <si>
    <t>Fecha Ultima cita</t>
  </si>
  <si>
    <t>Tiempo desde la ultima revision</t>
  </si>
  <si>
    <t>Tiempo entre Inicio-ultima cita</t>
  </si>
  <si>
    <t>Tiempo entre Inicio-ultimo seguimiento</t>
  </si>
  <si>
    <t>x18M (ERI)</t>
  </si>
  <si>
    <t>x12M (ERI)</t>
  </si>
  <si>
    <t>x6M (ERI)</t>
  </si>
  <si>
    <t>x3M (ERI)</t>
  </si>
  <si>
    <t>838YD130</t>
  </si>
  <si>
    <t>Si</t>
  </si>
  <si>
    <t>FC min</t>
  </si>
  <si>
    <t>Supervivencia</t>
  </si>
  <si>
    <t>más de 18</t>
  </si>
  <si>
    <t>entre 18 y 12</t>
  </si>
  <si>
    <t>entre 12 y 6</t>
  </si>
  <si>
    <t xml:space="preserve">entre 6 y 3 </t>
  </si>
  <si>
    <t>menos de 3</t>
  </si>
  <si>
    <t>desconocido</t>
  </si>
  <si>
    <t>Tiempo hasta última cita</t>
  </si>
  <si>
    <t>Tiempo hasta último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</si>
</sst>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"/>
    <numFmt numFmtId="165" formatCode="dd\-mm\-yy;@"/>
    <numFmt numFmtId="166" formatCode="0.0"/>
    <numFmt numFmtId="167" formatCode="#,##0.0"/>
    <numFmt numFmtId="168" formatCode="0.0%"/>
  </numFmts>
  <fonts count="1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0"/>
      <name val="Times New Roman"/>
      <family val="1"/>
      <charset val="1"/>
    </font>
    <font>
      <i/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6"/>
      <name val="Arial"/>
      <family val="2"/>
      <charset val="1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B3B3B3"/>
      </patternFill>
    </fill>
    <fill>
      <patternFill patternType="solid">
        <fgColor rgb="FF33FF99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669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5" fillId="6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10" applyNumberFormat="0" applyAlignment="0" applyProtection="0"/>
    <xf numFmtId="0" fontId="13" fillId="17" borderId="11" applyNumberFormat="0" applyAlignment="0" applyProtection="0"/>
  </cellStyleXfs>
  <cellXfs count="2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1" xfId="0" applyFont="1" applyBorder="1"/>
    <xf numFmtId="0" fontId="0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1" xfId="0" applyFont="1" applyFill="1" applyBorder="1" applyAlignment="1">
      <alignment wrapText="1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6" fontId="0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12" fontId="0" fillId="0" borderId="0" xfId="0" applyNumberForma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17" fontId="0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16" fontId="0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6" borderId="0" xfId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2" borderId="0" xfId="0" applyNumberFormat="1" applyFont="1" applyFill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Font="1" applyBorder="1"/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0" fontId="0" fillId="0" borderId="0" xfId="0" applyNumberFormat="1"/>
    <xf numFmtId="0" fontId="6" fillId="0" borderId="0" xfId="0" applyFont="1" applyAlignment="1">
      <alignment horizontal="right"/>
    </xf>
    <xf numFmtId="14" fontId="0" fillId="0" borderId="0" xfId="0" applyNumberForma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0" xfId="0" applyNumberFormat="1" applyFill="1" applyBorder="1" applyAlignment="1"/>
    <xf numFmtId="167" fontId="0" fillId="0" borderId="0" xfId="0" applyNumberForma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168" fontId="0" fillId="0" borderId="0" xfId="0" applyNumberFormat="1"/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16" fontId="0" fillId="7" borderId="1" xfId="0" applyNumberFormat="1" applyFont="1" applyFill="1" applyBorder="1" applyAlignment="1">
      <alignment horizontal="center"/>
    </xf>
    <xf numFmtId="16" fontId="0" fillId="7" borderId="0" xfId="0" applyNumberFormat="1" applyFont="1" applyFill="1" applyAlignment="1">
      <alignment horizontal="center" vertical="center"/>
    </xf>
    <xf numFmtId="17" fontId="0" fillId="7" borderId="0" xfId="0" applyNumberFormat="1" applyFont="1" applyFill="1" applyAlignment="1">
      <alignment horizontal="center"/>
    </xf>
    <xf numFmtId="16" fontId="0" fillId="7" borderId="0" xfId="0" applyNumberFormat="1" applyFont="1" applyFill="1" applyAlignment="1">
      <alignment horizontal="center"/>
    </xf>
    <xf numFmtId="12" fontId="0" fillId="7" borderId="0" xfId="0" applyNumberFormat="1" applyFill="1" applyAlignment="1">
      <alignment horizontal="center"/>
    </xf>
    <xf numFmtId="16" fontId="0" fillId="7" borderId="0" xfId="0" applyNumberFormat="1" applyFont="1" applyFill="1" applyBorder="1" applyAlignment="1">
      <alignment horizontal="center" vertical="center"/>
    </xf>
    <xf numFmtId="16" fontId="0" fillId="8" borderId="0" xfId="0" applyNumberFormat="1" applyFont="1" applyFill="1" applyAlignment="1">
      <alignment horizontal="center" vertical="center"/>
    </xf>
    <xf numFmtId="16" fontId="0" fillId="8" borderId="0" xfId="0" applyNumberFormat="1" applyFont="1" applyFill="1" applyBorder="1" applyAlignment="1">
      <alignment horizontal="center" vertical="center"/>
    </xf>
    <xf numFmtId="17" fontId="0" fillId="7" borderId="0" xfId="0" applyNumberFormat="1" applyFont="1" applyFill="1" applyAlignment="1">
      <alignment horizontal="center" vertical="center"/>
    </xf>
    <xf numFmtId="12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7" borderId="1" xfId="0" applyFont="1" applyFill="1" applyBorder="1"/>
    <xf numFmtId="0" fontId="1" fillId="0" borderId="1" xfId="0" applyFont="1" applyBorder="1" applyAlignment="1">
      <alignment horizontal="center" wrapText="1"/>
    </xf>
    <xf numFmtId="0" fontId="0" fillId="9" borderId="0" xfId="0" applyFill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7" fontId="0" fillId="0" borderId="0" xfId="0" applyNumberFormat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0" borderId="0" xfId="0" applyFill="1"/>
    <xf numFmtId="0" fontId="6" fillId="10" borderId="7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0" xfId="0" applyFont="1" applyFill="1"/>
    <xf numFmtId="164" fontId="0" fillId="0" borderId="0" xfId="0" applyNumberFormat="1"/>
    <xf numFmtId="0" fontId="10" fillId="14" borderId="0" xfId="2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11" fillId="15" borderId="0" xfId="3" applyAlignment="1">
      <alignment horizontal="center"/>
    </xf>
    <xf numFmtId="1" fontId="0" fillId="0" borderId="4" xfId="0" applyNumberFormat="1" applyFill="1" applyBorder="1" applyAlignment="1">
      <alignment horizontal="center" vertical="center"/>
    </xf>
    <xf numFmtId="0" fontId="12" fillId="16" borderId="10" xfId="4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20" borderId="4" xfId="0" applyFont="1" applyFill="1" applyBorder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23" borderId="4" xfId="0" applyFont="1" applyFill="1" applyBorder="1" applyAlignment="1">
      <alignment horizontal="center"/>
    </xf>
    <xf numFmtId="0" fontId="7" fillId="24" borderId="4" xfId="0" applyFont="1" applyFill="1" applyBorder="1" applyAlignment="1">
      <alignment horizontal="center"/>
    </xf>
    <xf numFmtId="0" fontId="7" fillId="25" borderId="4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27" borderId="4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7" fillId="28" borderId="4" xfId="0" applyFont="1" applyFill="1" applyBorder="1" applyAlignment="1">
      <alignment horizontal="center"/>
    </xf>
    <xf numFmtId="0" fontId="7" fillId="29" borderId="4" xfId="0" applyFont="1" applyFill="1" applyBorder="1" applyAlignment="1">
      <alignment horizontal="center"/>
    </xf>
    <xf numFmtId="0" fontId="7" fillId="30" borderId="4" xfId="0" applyFont="1" applyFill="1" applyBorder="1" applyAlignment="1">
      <alignment horizontal="center"/>
    </xf>
    <xf numFmtId="0" fontId="14" fillId="17" borderId="11" xfId="5" applyFont="1" applyAlignment="1">
      <alignment horizontal="center"/>
    </xf>
    <xf numFmtId="0" fontId="7" fillId="31" borderId="4" xfId="0" applyFont="1" applyFill="1" applyBorder="1" applyAlignment="1">
      <alignment horizontal="center"/>
    </xf>
    <xf numFmtId="0" fontId="7" fillId="32" borderId="4" xfId="0" applyFont="1" applyFill="1" applyBorder="1" applyAlignment="1">
      <alignment horizontal="center"/>
    </xf>
    <xf numFmtId="0" fontId="7" fillId="33" borderId="4" xfId="0" applyFon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7" fillId="14" borderId="0" xfId="2" applyFont="1" applyAlignment="1">
      <alignment horizontal="center"/>
    </xf>
    <xf numFmtId="0" fontId="7" fillId="22" borderId="0" xfId="2" applyFont="1" applyFill="1" applyAlignment="1">
      <alignment horizontal="center"/>
    </xf>
    <xf numFmtId="0" fontId="7" fillId="10" borderId="0" xfId="2" applyFont="1" applyFill="1" applyAlignment="1">
      <alignment horizontal="center"/>
    </xf>
    <xf numFmtId="0" fontId="7" fillId="13" borderId="0" xfId="2" applyFont="1" applyFill="1" applyAlignment="1">
      <alignment horizontal="center"/>
    </xf>
    <xf numFmtId="0" fontId="7" fillId="29" borderId="0" xfId="2" applyFont="1" applyFill="1" applyAlignment="1">
      <alignment horizontal="center"/>
    </xf>
    <xf numFmtId="0" fontId="7" fillId="26" borderId="0" xfId="2" applyFont="1" applyFill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7" fillId="34" borderId="0" xfId="2" applyFont="1" applyFill="1" applyAlignment="1">
      <alignment horizontal="center"/>
    </xf>
    <xf numFmtId="0" fontId="7" fillId="36" borderId="0" xfId="2" applyFont="1" applyFill="1" applyAlignment="1">
      <alignment horizontal="center"/>
    </xf>
    <xf numFmtId="0" fontId="7" fillId="37" borderId="0" xfId="2" applyFont="1" applyFill="1" applyAlignment="1">
      <alignment horizontal="center"/>
    </xf>
    <xf numFmtId="0" fontId="0" fillId="2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7" fillId="47" borderId="0" xfId="0" applyFont="1" applyFill="1" applyAlignment="1">
      <alignment horizontal="center" vertical="center"/>
    </xf>
    <xf numFmtId="0" fontId="7" fillId="48" borderId="0" xfId="0" applyFont="1" applyFill="1" applyAlignment="1">
      <alignment horizontal="center" vertical="center"/>
    </xf>
    <xf numFmtId="0" fontId="0" fillId="49" borderId="0" xfId="0" applyFill="1" applyAlignment="1">
      <alignment horizontal="center"/>
    </xf>
    <xf numFmtId="0" fontId="7" fillId="5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7" fillId="51" borderId="0" xfId="0" applyFon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7" fillId="46" borderId="0" xfId="0" applyFont="1" applyFill="1" applyAlignment="1">
      <alignment horizontal="center" vertical="center"/>
    </xf>
    <xf numFmtId="0" fontId="7" fillId="52" borderId="0" xfId="0" applyFont="1" applyFill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6">
    <cellStyle name="Buena" xfId="1" builtinId="26"/>
    <cellStyle name="Entrada" xfId="4" builtinId="20"/>
    <cellStyle name="Incorrecto" xfId="2" builtinId="27"/>
    <cellStyle name="Neutral" xfId="3" builtinId="28"/>
    <cellStyle name="Normal" xfId="0" builtinId="0"/>
    <cellStyle name="Salida" xfId="5" builtinId="2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D320"/>
      <rgbColor rgb="FFFF9900"/>
      <rgbColor rgb="FFFF420E"/>
      <rgbColor rgb="FF666699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99"/>
      <color rgb="FFCCCC00"/>
      <color rgb="FF990033"/>
      <color rgb="FFFF3300"/>
      <color rgb="FFFFCC00"/>
      <color rgb="FF66FFCC"/>
      <color rgb="FF9933FF"/>
      <color rgb="FFCCFF66"/>
      <color rgb="FFB00E02"/>
      <color rgb="FF692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Distribución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02581660145453E-2"/>
          <c:y val="9.4104766318696145E-2"/>
          <c:w val="0.87062692052337087"/>
          <c:h val="0.6530537232732408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Histograma!$A$2:$A$24</c:f>
              <c:strCache>
                <c:ptCount val="23"/>
                <c:pt idx="0">
                  <c:v>0</c:v>
                </c:pt>
                <c:pt idx="1">
                  <c:v>93,9</c:v>
                </c:pt>
                <c:pt idx="2">
                  <c:v>187,7</c:v>
                </c:pt>
                <c:pt idx="3">
                  <c:v>281,6</c:v>
                </c:pt>
                <c:pt idx="4">
                  <c:v>375,5</c:v>
                </c:pt>
                <c:pt idx="5">
                  <c:v>469,3</c:v>
                </c:pt>
                <c:pt idx="6">
                  <c:v>563,2</c:v>
                </c:pt>
                <c:pt idx="7">
                  <c:v>657,0</c:v>
                </c:pt>
                <c:pt idx="8">
                  <c:v>750,9</c:v>
                </c:pt>
                <c:pt idx="9">
                  <c:v>844,8</c:v>
                </c:pt>
                <c:pt idx="10">
                  <c:v>938,6</c:v>
                </c:pt>
                <c:pt idx="11">
                  <c:v>1.032,5</c:v>
                </c:pt>
                <c:pt idx="12">
                  <c:v>1.126,4</c:v>
                </c:pt>
                <c:pt idx="13">
                  <c:v>1.220,2</c:v>
                </c:pt>
                <c:pt idx="14">
                  <c:v>1.314,1</c:v>
                </c:pt>
                <c:pt idx="15">
                  <c:v>1.408,0</c:v>
                </c:pt>
                <c:pt idx="16">
                  <c:v>1.501,8</c:v>
                </c:pt>
                <c:pt idx="17">
                  <c:v>1.595,7</c:v>
                </c:pt>
                <c:pt idx="18">
                  <c:v>1.689,5</c:v>
                </c:pt>
                <c:pt idx="19">
                  <c:v>1.783,4</c:v>
                </c:pt>
                <c:pt idx="20">
                  <c:v>1.877,3</c:v>
                </c:pt>
                <c:pt idx="21">
                  <c:v>1.971,1</c:v>
                </c:pt>
                <c:pt idx="22">
                  <c:v>More</c:v>
                </c:pt>
              </c:strCache>
            </c:strRef>
          </c:cat>
          <c:val>
            <c:numRef>
              <c:f>Histograma!$B$2:$B$24</c:f>
              <c:numCache>
                <c:formatCode>General</c:formatCode>
                <c:ptCount val="23"/>
                <c:pt idx="0">
                  <c:v>61</c:v>
                </c:pt>
                <c:pt idx="1">
                  <c:v>33</c:v>
                </c:pt>
                <c:pt idx="2">
                  <c:v>38</c:v>
                </c:pt>
                <c:pt idx="3">
                  <c:v>35</c:v>
                </c:pt>
                <c:pt idx="4">
                  <c:v>33</c:v>
                </c:pt>
                <c:pt idx="5">
                  <c:v>31</c:v>
                </c:pt>
                <c:pt idx="6">
                  <c:v>29</c:v>
                </c:pt>
                <c:pt idx="7">
                  <c:v>38</c:v>
                </c:pt>
                <c:pt idx="8">
                  <c:v>29</c:v>
                </c:pt>
                <c:pt idx="9">
                  <c:v>31</c:v>
                </c:pt>
                <c:pt idx="10">
                  <c:v>22</c:v>
                </c:pt>
                <c:pt idx="11">
                  <c:v>24</c:v>
                </c:pt>
                <c:pt idx="12">
                  <c:v>14</c:v>
                </c:pt>
                <c:pt idx="13">
                  <c:v>18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959728"/>
        <c:axId val="-2113955376"/>
      </c:barChart>
      <c:catAx>
        <c:axId val="-211395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Días hasta el RRT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13955376"/>
        <c:crosses val="autoZero"/>
        <c:auto val="1"/>
        <c:lblAlgn val="ctr"/>
        <c:lblOffset val="100"/>
        <c:noMultiLvlLbl val="0"/>
      </c:catAx>
      <c:valAx>
        <c:axId val="-211395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seguimientos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395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HDesdeImplante!$A$2:$A$24</c:f>
              <c:strCache>
                <c:ptCount val="23"/>
                <c:pt idx="0">
                  <c:v>0,0</c:v>
                </c:pt>
                <c:pt idx="1">
                  <c:v>155,2</c:v>
                </c:pt>
                <c:pt idx="2">
                  <c:v>310,4</c:v>
                </c:pt>
                <c:pt idx="3">
                  <c:v>465,5</c:v>
                </c:pt>
                <c:pt idx="4">
                  <c:v>620,7</c:v>
                </c:pt>
                <c:pt idx="5">
                  <c:v>775,9</c:v>
                </c:pt>
                <c:pt idx="6">
                  <c:v>931,1</c:v>
                </c:pt>
                <c:pt idx="7">
                  <c:v>1086,3</c:v>
                </c:pt>
                <c:pt idx="8">
                  <c:v>1241,5</c:v>
                </c:pt>
                <c:pt idx="9">
                  <c:v>1396,6</c:v>
                </c:pt>
                <c:pt idx="10">
                  <c:v>1551,8</c:v>
                </c:pt>
                <c:pt idx="11">
                  <c:v>1707,0</c:v>
                </c:pt>
                <c:pt idx="12">
                  <c:v>1862,2</c:v>
                </c:pt>
                <c:pt idx="13">
                  <c:v>2017,4</c:v>
                </c:pt>
                <c:pt idx="14">
                  <c:v>2172,5</c:v>
                </c:pt>
                <c:pt idx="15">
                  <c:v>2327,7</c:v>
                </c:pt>
                <c:pt idx="16">
                  <c:v>2482,9</c:v>
                </c:pt>
                <c:pt idx="17">
                  <c:v>2638,1</c:v>
                </c:pt>
                <c:pt idx="18">
                  <c:v>2793,3</c:v>
                </c:pt>
                <c:pt idx="19">
                  <c:v>2948,5</c:v>
                </c:pt>
                <c:pt idx="20">
                  <c:v>3103,6</c:v>
                </c:pt>
                <c:pt idx="21">
                  <c:v>3258,8</c:v>
                </c:pt>
                <c:pt idx="22">
                  <c:v>More</c:v>
                </c:pt>
              </c:strCache>
            </c:strRef>
          </c:cat>
          <c:val>
            <c:numRef>
              <c:f>HDesdeImplante!$B$2:$B$24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15</c:v>
                </c:pt>
                <c:pt idx="5">
                  <c:v>12</c:v>
                </c:pt>
                <c:pt idx="6">
                  <c:v>19</c:v>
                </c:pt>
                <c:pt idx="7">
                  <c:v>29</c:v>
                </c:pt>
                <c:pt idx="8">
                  <c:v>20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45</c:v>
                </c:pt>
                <c:pt idx="13">
                  <c:v>43</c:v>
                </c:pt>
                <c:pt idx="14">
                  <c:v>44</c:v>
                </c:pt>
                <c:pt idx="15">
                  <c:v>42</c:v>
                </c:pt>
                <c:pt idx="16">
                  <c:v>41</c:v>
                </c:pt>
                <c:pt idx="17">
                  <c:v>33</c:v>
                </c:pt>
                <c:pt idx="18">
                  <c:v>22</c:v>
                </c:pt>
                <c:pt idx="19">
                  <c:v>11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954832"/>
        <c:axId val="-2113954288"/>
      </c:barChart>
      <c:catAx>
        <c:axId val="-211395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Días</a:t>
                </a:r>
                <a:r>
                  <a:rPr lang="es-ES" baseline="0"/>
                  <a:t> desde el implante</a:t>
                </a:r>
                <a:endParaRPr lang="es-E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113954288"/>
        <c:crosses val="autoZero"/>
        <c:auto val="1"/>
        <c:lblAlgn val="ctr"/>
        <c:lblOffset val="100"/>
        <c:noMultiLvlLbl val="0"/>
      </c:catAx>
      <c:valAx>
        <c:axId val="-211395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seguimientos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395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Datos!$C$27</c:f>
              <c:strCache>
                <c:ptCount val="1"/>
                <c:pt idx="0">
                  <c:v>641YE192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Datos!$C$35:$L$35</c:f>
              <c:numCache>
                <c:formatCode>General</c:formatCode>
                <c:ptCount val="10"/>
                <c:pt idx="0">
                  <c:v>868</c:v>
                </c:pt>
                <c:pt idx="1">
                  <c:v>1050</c:v>
                </c:pt>
                <c:pt idx="2">
                  <c:v>1561</c:v>
                </c:pt>
                <c:pt idx="3">
                  <c:v>1694</c:v>
                </c:pt>
                <c:pt idx="4">
                  <c:v>1869</c:v>
                </c:pt>
                <c:pt idx="5">
                  <c:v>2065</c:v>
                </c:pt>
                <c:pt idx="6">
                  <c:v>2142</c:v>
                </c:pt>
                <c:pt idx="7">
                  <c:v>2248</c:v>
                </c:pt>
                <c:pt idx="8">
                  <c:v>2330</c:v>
                </c:pt>
                <c:pt idx="9">
                  <c:v>2513</c:v>
                </c:pt>
              </c:numCache>
            </c:numRef>
          </c:xVal>
          <c:yVal>
            <c:numRef>
              <c:f>Datos!$C$34:$L$34</c:f>
              <c:numCache>
                <c:formatCode>General</c:formatCode>
                <c:ptCount val="10"/>
                <c:pt idx="0">
                  <c:v>-1645</c:v>
                </c:pt>
                <c:pt idx="1">
                  <c:v>-1463</c:v>
                </c:pt>
                <c:pt idx="2">
                  <c:v>-952</c:v>
                </c:pt>
                <c:pt idx="3">
                  <c:v>-819</c:v>
                </c:pt>
                <c:pt idx="4">
                  <c:v>-644</c:v>
                </c:pt>
                <c:pt idx="5">
                  <c:v>-448</c:v>
                </c:pt>
                <c:pt idx="6">
                  <c:v>-371</c:v>
                </c:pt>
                <c:pt idx="7">
                  <c:v>-265</c:v>
                </c:pt>
                <c:pt idx="8">
                  <c:v>-183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Datos!$C$129:$C$129</c:f>
              <c:strCache>
                <c:ptCount val="1"/>
                <c:pt idx="0">
                  <c:v>750YE049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Datos!$C$136:$J$136</c:f>
              <c:numCache>
                <c:formatCode>General</c:formatCode>
                <c:ptCount val="8"/>
                <c:pt idx="0">
                  <c:v>574</c:v>
                </c:pt>
                <c:pt idx="1">
                  <c:v>728</c:v>
                </c:pt>
                <c:pt idx="2">
                  <c:v>1128</c:v>
                </c:pt>
                <c:pt idx="3">
                  <c:v>1330</c:v>
                </c:pt>
                <c:pt idx="4">
                  <c:v>1358</c:v>
                </c:pt>
                <c:pt idx="5">
                  <c:v>1547</c:v>
                </c:pt>
                <c:pt idx="6">
                  <c:v>1750</c:v>
                </c:pt>
                <c:pt idx="7">
                  <c:v>1812</c:v>
                </c:pt>
              </c:numCache>
            </c:numRef>
          </c:xVal>
          <c:yVal>
            <c:numRef>
              <c:f>Datos!$C$135:$J$135</c:f>
              <c:numCache>
                <c:formatCode>General</c:formatCode>
                <c:ptCount val="8"/>
                <c:pt idx="0">
                  <c:v>-1238</c:v>
                </c:pt>
                <c:pt idx="1">
                  <c:v>-1084</c:v>
                </c:pt>
                <c:pt idx="2">
                  <c:v>-684</c:v>
                </c:pt>
                <c:pt idx="3">
                  <c:v>-482</c:v>
                </c:pt>
                <c:pt idx="4">
                  <c:v>-454</c:v>
                </c:pt>
                <c:pt idx="5">
                  <c:v>-265</c:v>
                </c:pt>
                <c:pt idx="6">
                  <c:v>-62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Datos!$C$102:$C$102</c:f>
              <c:strCache>
                <c:ptCount val="1"/>
                <c:pt idx="0">
                  <c:v>745YE060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Datos!$C$109:$K$109</c:f>
              <c:numCache>
                <c:formatCode>General</c:formatCode>
                <c:ptCount val="9"/>
                <c:pt idx="0">
                  <c:v>546</c:v>
                </c:pt>
                <c:pt idx="1">
                  <c:v>703</c:v>
                </c:pt>
                <c:pt idx="2">
                  <c:v>1176</c:v>
                </c:pt>
                <c:pt idx="3">
                  <c:v>1372</c:v>
                </c:pt>
                <c:pt idx="4">
                  <c:v>1484</c:v>
                </c:pt>
                <c:pt idx="5">
                  <c:v>1687</c:v>
                </c:pt>
                <c:pt idx="6">
                  <c:v>1778</c:v>
                </c:pt>
                <c:pt idx="7">
                  <c:v>1848</c:v>
                </c:pt>
                <c:pt idx="8">
                  <c:v>1946</c:v>
                </c:pt>
              </c:numCache>
            </c:numRef>
          </c:xVal>
          <c:yVal>
            <c:numRef>
              <c:f>Datos!$C$108:$K$108</c:f>
              <c:numCache>
                <c:formatCode>General</c:formatCode>
                <c:ptCount val="9"/>
                <c:pt idx="0">
                  <c:v>-1400</c:v>
                </c:pt>
                <c:pt idx="1">
                  <c:v>-1243</c:v>
                </c:pt>
                <c:pt idx="2">
                  <c:v>-770</c:v>
                </c:pt>
                <c:pt idx="3">
                  <c:v>-574</c:v>
                </c:pt>
                <c:pt idx="4">
                  <c:v>-462</c:v>
                </c:pt>
                <c:pt idx="5">
                  <c:v>-259</c:v>
                </c:pt>
                <c:pt idx="6">
                  <c:v>-168</c:v>
                </c:pt>
                <c:pt idx="7">
                  <c:v>-98</c:v>
                </c:pt>
                <c:pt idx="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Datos!$C$53:$C$53</c:f>
              <c:strCache>
                <c:ptCount val="1"/>
                <c:pt idx="0">
                  <c:v>650YE124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Datos!$C$60:$H$60</c:f>
              <c:numCache>
                <c:formatCode>General</c:formatCode>
                <c:ptCount val="6"/>
                <c:pt idx="0">
                  <c:v>720</c:v>
                </c:pt>
                <c:pt idx="1">
                  <c:v>909</c:v>
                </c:pt>
                <c:pt idx="2">
                  <c:v>1350</c:v>
                </c:pt>
                <c:pt idx="3">
                  <c:v>1575</c:v>
                </c:pt>
                <c:pt idx="4">
                  <c:v>1742</c:v>
                </c:pt>
                <c:pt idx="5">
                  <c:v>1945</c:v>
                </c:pt>
              </c:numCache>
            </c:numRef>
          </c:xVal>
          <c:yVal>
            <c:numRef>
              <c:f>Datos!$C$59:$H$59</c:f>
              <c:numCache>
                <c:formatCode>General</c:formatCode>
                <c:ptCount val="6"/>
                <c:pt idx="0">
                  <c:v>-1225</c:v>
                </c:pt>
                <c:pt idx="1">
                  <c:v>-1036</c:v>
                </c:pt>
                <c:pt idx="2">
                  <c:v>-595</c:v>
                </c:pt>
                <c:pt idx="3">
                  <c:v>-370</c:v>
                </c:pt>
                <c:pt idx="4">
                  <c:v>-203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93920"/>
        <c:axId val="-2077292288"/>
      </c:scatterChart>
      <c:valAx>
        <c:axId val="-207729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s-ES"/>
          </a:p>
        </c:txPr>
        <c:crossAx val="-2077292288"/>
        <c:crosses val="autoZero"/>
        <c:crossBetween val="midCat"/>
      </c:valAx>
      <c:valAx>
        <c:axId val="-2077292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s-ES"/>
          </a:p>
        </c:txPr>
        <c:crossAx val="-20772939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Longevidades</a:t>
            </a:r>
          </a:p>
        </c:rich>
      </c:tx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Longevidad!$A$2:$A$9</c:f>
              <c:strCache>
                <c:ptCount val="8"/>
                <c:pt idx="0">
                  <c:v>501</c:v>
                </c:pt>
                <c:pt idx="1">
                  <c:v>917,1428571</c:v>
                </c:pt>
                <c:pt idx="2">
                  <c:v>1333,285714</c:v>
                </c:pt>
                <c:pt idx="3">
                  <c:v>1749,428571</c:v>
                </c:pt>
                <c:pt idx="4">
                  <c:v>2165,571429</c:v>
                </c:pt>
                <c:pt idx="5">
                  <c:v>2581,714286</c:v>
                </c:pt>
                <c:pt idx="6">
                  <c:v>2997,857143</c:v>
                </c:pt>
                <c:pt idx="7">
                  <c:v>More</c:v>
                </c:pt>
              </c:strCache>
            </c:strRef>
          </c:cat>
          <c:val>
            <c:numRef>
              <c:f>Longevidad!$B$2:$B$9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21</c:v>
                </c:pt>
                <c:pt idx="6">
                  <c:v>14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298816"/>
        <c:axId val="-2077295008"/>
      </c:barChart>
      <c:catAx>
        <c:axId val="-20772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77295008"/>
        <c:crosses val="autoZero"/>
        <c:auto val="1"/>
        <c:lblAlgn val="ctr"/>
        <c:lblOffset val="100"/>
        <c:noMultiLvlLbl val="0"/>
      </c:catAx>
      <c:valAx>
        <c:axId val="-207729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729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4.214129483814523E-2"/>
          <c:w val="0.77049868766404195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Longevidad!$C$1</c:f>
              <c:strCache>
                <c:ptCount val="1"/>
                <c:pt idx="0">
                  <c:v>Años</c:v>
                </c:pt>
              </c:strCache>
            </c:strRef>
          </c:tx>
          <c:invertIfNegative val="0"/>
          <c:val>
            <c:numRef>
              <c:f>Longevidad!$C$2:$C$8</c:f>
              <c:numCache>
                <c:formatCode>0.0</c:formatCode>
                <c:ptCount val="7"/>
                <c:pt idx="0">
                  <c:v>1.3726027397260274</c:v>
                </c:pt>
                <c:pt idx="1">
                  <c:v>2.5127201565557731</c:v>
                </c:pt>
                <c:pt idx="2">
                  <c:v>3.6528375733855185</c:v>
                </c:pt>
                <c:pt idx="3">
                  <c:v>4.7929549902152644</c:v>
                </c:pt>
                <c:pt idx="4">
                  <c:v>5.9330724070450094</c:v>
                </c:pt>
                <c:pt idx="5">
                  <c:v>7.0731898238747553</c:v>
                </c:pt>
                <c:pt idx="6">
                  <c:v>8.213307240704502</c:v>
                </c:pt>
              </c:numCache>
            </c:numRef>
          </c:val>
        </c:ser>
        <c:ser>
          <c:idx val="1"/>
          <c:order val="1"/>
          <c:tx>
            <c:strRef>
              <c:f>Longevidad!$D$1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val>
            <c:numRef>
              <c:f>Longevidad!$D$2:$D$8</c:f>
              <c:numCache>
                <c:formatCode>0.0%</c:formatCode>
                <c:ptCount val="7"/>
                <c:pt idx="0">
                  <c:v>1.9230769230769232E-2</c:v>
                </c:pt>
                <c:pt idx="1">
                  <c:v>0</c:v>
                </c:pt>
                <c:pt idx="2">
                  <c:v>1.9230769230769232E-2</c:v>
                </c:pt>
                <c:pt idx="3">
                  <c:v>5.7692307692307696E-2</c:v>
                </c:pt>
                <c:pt idx="4">
                  <c:v>0.15384615384615385</c:v>
                </c:pt>
                <c:pt idx="5">
                  <c:v>0.40384615384615385</c:v>
                </c:pt>
                <c:pt idx="6">
                  <c:v>0.26923076923076922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289024"/>
        <c:axId val="-2077300448"/>
      </c:barChart>
      <c:catAx>
        <c:axId val="-20772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00448"/>
        <c:crosses val="autoZero"/>
        <c:auto val="1"/>
        <c:lblAlgn val="ctr"/>
        <c:lblOffset val="100"/>
        <c:noMultiLvlLbl val="0"/>
      </c:catAx>
      <c:valAx>
        <c:axId val="-20773004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772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0</xdr:row>
      <xdr:rowOff>114299</xdr:rowOff>
    </xdr:from>
    <xdr:to>
      <xdr:col>15</xdr:col>
      <xdr:colOff>76200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152399</xdr:rowOff>
    </xdr:from>
    <xdr:to>
      <xdr:col>16</xdr:col>
      <xdr:colOff>28575</xdr:colOff>
      <xdr:row>29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85680</xdr:colOff>
      <xdr:row>128</xdr:row>
      <xdr:rowOff>225000</xdr:rowOff>
    </xdr:from>
    <xdr:to>
      <xdr:col>19</xdr:col>
      <xdr:colOff>170213</xdr:colOff>
      <xdr:row>151</xdr:row>
      <xdr:rowOff>130969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369094</xdr:colOff>
      <xdr:row>0</xdr:row>
      <xdr:rowOff>0</xdr:rowOff>
    </xdr:from>
    <xdr:to>
      <xdr:col>46</xdr:col>
      <xdr:colOff>295275</xdr:colOff>
      <xdr:row>28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3344" y="0"/>
          <a:ext cx="9439275" cy="651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</xdr:row>
      <xdr:rowOff>47625</xdr:rowOff>
    </xdr:from>
    <xdr:to>
      <xdr:col>20</xdr:col>
      <xdr:colOff>295275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147637</xdr:colOff>
      <xdr:row>11</xdr:row>
      <xdr:rowOff>138112</xdr:rowOff>
    </xdr:from>
    <xdr:to>
      <xdr:col>8</xdr:col>
      <xdr:colOff>452437</xdr:colOff>
      <xdr:row>28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3" sqref="C11:C13"/>
    </sheetView>
  </sheetViews>
  <sheetFormatPr baseColWidth="10" defaultColWidth="9.1796875" defaultRowHeight="12.5" x14ac:dyDescent="0.25"/>
  <cols>
    <col min="1" max="1" width="13.54296875" customWidth="1"/>
    <col min="2" max="2" width="12" customWidth="1"/>
  </cols>
  <sheetData>
    <row r="1" spans="1:3" ht="13" x14ac:dyDescent="0.3">
      <c r="A1" s="100" t="s">
        <v>387</v>
      </c>
      <c r="B1" s="100" t="s">
        <v>380</v>
      </c>
      <c r="C1" s="51" t="s">
        <v>382</v>
      </c>
    </row>
    <row r="2" spans="1:3" x14ac:dyDescent="0.25">
      <c r="A2" s="98">
        <v>0</v>
      </c>
      <c r="B2" s="98">
        <v>61</v>
      </c>
      <c r="C2" s="101">
        <f>B2/B$26</f>
        <v>0.11641221374045801</v>
      </c>
    </row>
    <row r="3" spans="1:3" x14ac:dyDescent="0.25">
      <c r="A3" s="106">
        <v>93.86363636363636</v>
      </c>
      <c r="B3" s="98">
        <v>33</v>
      </c>
      <c r="C3" s="101">
        <f t="shared" ref="C3:C24" si="0">B3/B$26</f>
        <v>6.2977099236641215E-2</v>
      </c>
    </row>
    <row r="4" spans="1:3" x14ac:dyDescent="0.25">
      <c r="A4" s="106">
        <v>187.72727272727272</v>
      </c>
      <c r="B4" s="98">
        <v>38</v>
      </c>
      <c r="C4" s="101">
        <f t="shared" si="0"/>
        <v>7.2519083969465645E-2</v>
      </c>
    </row>
    <row r="5" spans="1:3" x14ac:dyDescent="0.25">
      <c r="A5" s="106">
        <v>281.59090909090907</v>
      </c>
      <c r="B5" s="98">
        <v>35</v>
      </c>
      <c r="C5" s="101">
        <f t="shared" si="0"/>
        <v>6.6793893129770993E-2</v>
      </c>
    </row>
    <row r="6" spans="1:3" x14ac:dyDescent="0.25">
      <c r="A6" s="106">
        <v>375.45454545454544</v>
      </c>
      <c r="B6" s="98">
        <v>33</v>
      </c>
      <c r="C6" s="101">
        <f t="shared" si="0"/>
        <v>6.2977099236641215E-2</v>
      </c>
    </row>
    <row r="7" spans="1:3" x14ac:dyDescent="0.25">
      <c r="A7" s="106">
        <v>469.31818181818181</v>
      </c>
      <c r="B7" s="98">
        <v>31</v>
      </c>
      <c r="C7" s="101">
        <f t="shared" si="0"/>
        <v>5.9160305343511452E-2</v>
      </c>
    </row>
    <row r="8" spans="1:3" x14ac:dyDescent="0.25">
      <c r="A8" s="106">
        <v>563.18181818181813</v>
      </c>
      <c r="B8" s="98">
        <v>29</v>
      </c>
      <c r="C8" s="101">
        <f t="shared" si="0"/>
        <v>5.5343511450381681E-2</v>
      </c>
    </row>
    <row r="9" spans="1:3" x14ac:dyDescent="0.25">
      <c r="A9" s="106">
        <v>657.0454545454545</v>
      </c>
      <c r="B9" s="98">
        <v>38</v>
      </c>
      <c r="C9" s="101">
        <f t="shared" si="0"/>
        <v>7.2519083969465645E-2</v>
      </c>
    </row>
    <row r="10" spans="1:3" x14ac:dyDescent="0.25">
      <c r="A10" s="106">
        <v>750.90909090909088</v>
      </c>
      <c r="B10" s="98">
        <v>29</v>
      </c>
      <c r="C10" s="101">
        <f t="shared" si="0"/>
        <v>5.5343511450381681E-2</v>
      </c>
    </row>
    <row r="11" spans="1:3" x14ac:dyDescent="0.25">
      <c r="A11" s="106">
        <v>844.77272727272725</v>
      </c>
      <c r="B11" s="98">
        <v>31</v>
      </c>
      <c r="C11" s="101">
        <f t="shared" si="0"/>
        <v>5.9160305343511452E-2</v>
      </c>
    </row>
    <row r="12" spans="1:3" x14ac:dyDescent="0.25">
      <c r="A12" s="106">
        <v>938.63636363636363</v>
      </c>
      <c r="B12" s="98">
        <v>22</v>
      </c>
      <c r="C12" s="101">
        <f t="shared" si="0"/>
        <v>4.1984732824427481E-2</v>
      </c>
    </row>
    <row r="13" spans="1:3" x14ac:dyDescent="0.25">
      <c r="A13" s="106">
        <v>1032.5</v>
      </c>
      <c r="B13" s="98">
        <v>24</v>
      </c>
      <c r="C13" s="101">
        <f t="shared" si="0"/>
        <v>4.5801526717557252E-2</v>
      </c>
    </row>
    <row r="14" spans="1:3" x14ac:dyDescent="0.25">
      <c r="A14" s="106">
        <v>1126.3636363636363</v>
      </c>
      <c r="B14" s="98">
        <v>14</v>
      </c>
      <c r="C14" s="101">
        <f t="shared" si="0"/>
        <v>2.6717557251908396E-2</v>
      </c>
    </row>
    <row r="15" spans="1:3" x14ac:dyDescent="0.25">
      <c r="A15" s="106">
        <v>1220.2272727272727</v>
      </c>
      <c r="B15" s="98">
        <v>18</v>
      </c>
      <c r="C15" s="101">
        <f t="shared" si="0"/>
        <v>3.4351145038167941E-2</v>
      </c>
    </row>
    <row r="16" spans="1:3" x14ac:dyDescent="0.25">
      <c r="A16" s="106">
        <v>1314.090909090909</v>
      </c>
      <c r="B16" s="98">
        <v>18</v>
      </c>
      <c r="C16" s="101">
        <f t="shared" si="0"/>
        <v>3.4351145038167941E-2</v>
      </c>
    </row>
    <row r="17" spans="1:5" x14ac:dyDescent="0.25">
      <c r="A17" s="106">
        <v>1407.9545454545455</v>
      </c>
      <c r="B17" s="98">
        <v>12</v>
      </c>
      <c r="C17" s="101">
        <f t="shared" si="0"/>
        <v>2.2900763358778626E-2</v>
      </c>
    </row>
    <row r="18" spans="1:5" x14ac:dyDescent="0.25">
      <c r="A18" s="106">
        <v>1501.8181818181818</v>
      </c>
      <c r="B18" s="98">
        <v>12</v>
      </c>
      <c r="C18" s="101">
        <f t="shared" si="0"/>
        <v>2.2900763358778626E-2</v>
      </c>
    </row>
    <row r="19" spans="1:5" x14ac:dyDescent="0.25">
      <c r="A19" s="106">
        <v>1595.681818181818</v>
      </c>
      <c r="B19" s="98">
        <v>7</v>
      </c>
      <c r="C19" s="101">
        <f t="shared" si="0"/>
        <v>1.3358778625954198E-2</v>
      </c>
    </row>
    <row r="20" spans="1:5" x14ac:dyDescent="0.25">
      <c r="A20" s="106">
        <v>1689.5454545454545</v>
      </c>
      <c r="B20" s="98">
        <v>9</v>
      </c>
      <c r="C20" s="101">
        <f t="shared" si="0"/>
        <v>1.717557251908397E-2</v>
      </c>
    </row>
    <row r="21" spans="1:5" x14ac:dyDescent="0.25">
      <c r="A21" s="106">
        <v>1783.4090909090908</v>
      </c>
      <c r="B21" s="98">
        <v>9</v>
      </c>
      <c r="C21" s="101">
        <f t="shared" si="0"/>
        <v>1.717557251908397E-2</v>
      </c>
    </row>
    <row r="22" spans="1:5" x14ac:dyDescent="0.25">
      <c r="A22" s="106">
        <v>1877.2727272727273</v>
      </c>
      <c r="B22" s="98">
        <v>7</v>
      </c>
      <c r="C22" s="101">
        <f t="shared" si="0"/>
        <v>1.3358778625954198E-2</v>
      </c>
    </row>
    <row r="23" spans="1:5" x14ac:dyDescent="0.25">
      <c r="A23" s="106">
        <v>1971.1363636363635</v>
      </c>
      <c r="B23" s="98">
        <v>9</v>
      </c>
      <c r="C23" s="101">
        <f t="shared" si="0"/>
        <v>1.717557251908397E-2</v>
      </c>
    </row>
    <row r="24" spans="1:5" ht="13" thickBot="1" x14ac:dyDescent="0.3">
      <c r="A24" s="99" t="s">
        <v>379</v>
      </c>
      <c r="B24" s="99">
        <v>5</v>
      </c>
      <c r="C24" s="101">
        <f t="shared" si="0"/>
        <v>9.5419847328244278E-3</v>
      </c>
    </row>
    <row r="26" spans="1:5" ht="13" x14ac:dyDescent="0.3">
      <c r="A26" s="102" t="s">
        <v>381</v>
      </c>
      <c r="B26" s="102">
        <f>SUM(B2:B24)</f>
        <v>524</v>
      </c>
    </row>
    <row r="28" spans="1:5" x14ac:dyDescent="0.25">
      <c r="A28" t="s">
        <v>383</v>
      </c>
      <c r="E28" s="101">
        <v>0.31869999999999998</v>
      </c>
    </row>
    <row r="29" spans="1:5" x14ac:dyDescent="0.25">
      <c r="A29" t="s">
        <v>384</v>
      </c>
      <c r="E29" s="101">
        <v>0.17749999999999999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5"/>
  <sheetViews>
    <sheetView tabSelected="1" topLeftCell="G1" zoomScale="115" zoomScaleNormal="115" workbookViewId="0">
      <selection activeCell="N50" sqref="N50"/>
    </sheetView>
  </sheetViews>
  <sheetFormatPr baseColWidth="10" defaultRowHeight="12.5" x14ac:dyDescent="0.25"/>
  <cols>
    <col min="4" max="4" width="15.26953125" style="169" customWidth="1"/>
    <col min="5" max="5" width="27.453125" customWidth="1"/>
    <col min="6" max="6" width="34.26953125" customWidth="1"/>
    <col min="7" max="7" width="10.54296875" style="169" customWidth="1"/>
    <col min="8" max="10" width="11.453125" style="169"/>
    <col min="13" max="14" width="13.453125" customWidth="1"/>
    <col min="17" max="17" width="12.26953125" bestFit="1" customWidth="1"/>
    <col min="21" max="21" width="13.81640625" customWidth="1"/>
  </cols>
  <sheetData>
    <row r="1" spans="1:39" ht="52" x14ac:dyDescent="0.25">
      <c r="A1" s="84" t="s">
        <v>0</v>
      </c>
      <c r="B1" s="85" t="s">
        <v>3</v>
      </c>
      <c r="C1" s="85" t="s">
        <v>4</v>
      </c>
      <c r="D1" s="186" t="s">
        <v>6</v>
      </c>
      <c r="E1" s="86" t="s">
        <v>427</v>
      </c>
      <c r="F1" s="86" t="s">
        <v>428</v>
      </c>
      <c r="G1" s="171" t="s">
        <v>9</v>
      </c>
      <c r="H1" s="171" t="s">
        <v>416</v>
      </c>
      <c r="I1" s="171" t="s">
        <v>425</v>
      </c>
      <c r="J1" s="171" t="s">
        <v>424</v>
      </c>
      <c r="K1" s="33" t="s">
        <v>386</v>
      </c>
      <c r="L1" s="33" t="s">
        <v>426</v>
      </c>
      <c r="M1" s="33" t="s">
        <v>443</v>
      </c>
      <c r="N1" s="33" t="s">
        <v>444</v>
      </c>
      <c r="O1" s="33" t="s">
        <v>377</v>
      </c>
      <c r="P1" s="33" t="s">
        <v>11</v>
      </c>
      <c r="Q1" s="33" t="s">
        <v>401</v>
      </c>
      <c r="R1" s="33" t="s">
        <v>402</v>
      </c>
      <c r="S1" s="33" t="s">
        <v>403</v>
      </c>
      <c r="T1" s="33" t="s">
        <v>404</v>
      </c>
      <c r="U1" s="33" t="s">
        <v>436</v>
      </c>
      <c r="V1" s="33" t="s">
        <v>429</v>
      </c>
      <c r="W1" s="33" t="s">
        <v>430</v>
      </c>
      <c r="X1" s="33" t="s">
        <v>431</v>
      </c>
      <c r="Y1" s="33" t="s">
        <v>432</v>
      </c>
      <c r="Z1" s="33" t="s">
        <v>396</v>
      </c>
      <c r="AA1" s="33" t="s">
        <v>397</v>
      </c>
      <c r="AB1" s="33" t="s">
        <v>398</v>
      </c>
      <c r="AC1" s="122" t="s">
        <v>394</v>
      </c>
      <c r="AD1" s="122" t="s">
        <v>393</v>
      </c>
      <c r="AE1" s="33" t="s">
        <v>435</v>
      </c>
      <c r="AF1" s="33" t="s">
        <v>399</v>
      </c>
      <c r="AG1" s="33" t="s">
        <v>19</v>
      </c>
      <c r="AH1" s="33" t="s">
        <v>20</v>
      </c>
      <c r="AI1" s="33" t="s">
        <v>21</v>
      </c>
      <c r="AJ1" s="33" t="s">
        <v>22</v>
      </c>
      <c r="AK1" s="33" t="s">
        <v>23</v>
      </c>
      <c r="AL1" s="33" t="s">
        <v>24</v>
      </c>
      <c r="AM1" s="84" t="s">
        <v>33</v>
      </c>
    </row>
    <row r="2" spans="1:39" x14ac:dyDescent="0.25">
      <c r="A2" s="156" t="s">
        <v>1</v>
      </c>
      <c r="B2" s="1">
        <v>3</v>
      </c>
      <c r="C2" s="1" t="s">
        <v>418</v>
      </c>
      <c r="D2" s="53">
        <v>38772</v>
      </c>
      <c r="E2" s="104">
        <f t="shared" ref="E2:E65" si="0">I2-D2</f>
        <v>2384</v>
      </c>
      <c r="F2" s="133">
        <f>J2-D2</f>
        <v>2384</v>
      </c>
      <c r="G2" s="13">
        <v>40190</v>
      </c>
      <c r="H2" s="53">
        <v>38772</v>
      </c>
      <c r="I2" s="13">
        <v>41156</v>
      </c>
      <c r="J2" s="13">
        <v>41156</v>
      </c>
      <c r="K2" s="1">
        <f t="shared" ref="K2:K65" si="1">G2-D2</f>
        <v>1418</v>
      </c>
      <c r="L2" s="1">
        <f t="shared" ref="L2:L65" si="2">G2-H2</f>
        <v>1418</v>
      </c>
      <c r="M2" s="1">
        <f t="shared" ref="M2:M65" si="3">I2-G2</f>
        <v>966</v>
      </c>
      <c r="N2" s="1">
        <f>J2-G2</f>
        <v>966</v>
      </c>
      <c r="O2" s="1" t="s">
        <v>417</v>
      </c>
      <c r="P2" s="1">
        <v>5.22</v>
      </c>
      <c r="Q2" s="1">
        <v>1</v>
      </c>
      <c r="R2" s="1">
        <v>1</v>
      </c>
      <c r="S2" s="1">
        <v>1</v>
      </c>
      <c r="T2" s="1">
        <v>1</v>
      </c>
      <c r="U2" s="1" t="s">
        <v>437</v>
      </c>
      <c r="V2" s="1"/>
      <c r="W2" s="1"/>
      <c r="X2" s="1"/>
      <c r="Y2" s="1"/>
      <c r="Z2" s="1">
        <v>19</v>
      </c>
      <c r="AA2" s="1">
        <v>98</v>
      </c>
      <c r="AB2" s="1">
        <v>98</v>
      </c>
      <c r="AC2" s="1"/>
      <c r="AD2" s="1"/>
      <c r="AE2" s="12">
        <v>60</v>
      </c>
      <c r="AF2" s="1" t="s">
        <v>434</v>
      </c>
      <c r="AG2" s="1">
        <v>2</v>
      </c>
      <c r="AH2" s="1">
        <v>0.35</v>
      </c>
      <c r="AI2" s="12">
        <v>2.5</v>
      </c>
      <c r="AJ2" s="12">
        <v>0.35</v>
      </c>
      <c r="AK2" s="12">
        <v>2</v>
      </c>
      <c r="AL2" s="12">
        <v>0.35</v>
      </c>
      <c r="AM2" s="82">
        <v>0</v>
      </c>
    </row>
    <row r="3" spans="1:39" x14ac:dyDescent="0.25">
      <c r="A3" s="156" t="s">
        <v>1</v>
      </c>
      <c r="B3" s="1">
        <v>3</v>
      </c>
      <c r="C3" s="1" t="s">
        <v>418</v>
      </c>
      <c r="D3" s="53">
        <v>38772</v>
      </c>
      <c r="E3" s="104">
        <f t="shared" si="0"/>
        <v>2384</v>
      </c>
      <c r="F3" s="133">
        <f t="shared" ref="F3:F51" si="4">J3-D3</f>
        <v>2384</v>
      </c>
      <c r="G3" s="13">
        <v>40253</v>
      </c>
      <c r="H3" s="13">
        <v>40190</v>
      </c>
      <c r="I3" s="13">
        <v>41156</v>
      </c>
      <c r="J3" s="13">
        <v>41156</v>
      </c>
      <c r="K3" s="1">
        <f t="shared" si="1"/>
        <v>1481</v>
      </c>
      <c r="L3" s="1">
        <f t="shared" si="2"/>
        <v>63</v>
      </c>
      <c r="M3" s="1">
        <f t="shared" si="3"/>
        <v>903</v>
      </c>
      <c r="N3" s="1">
        <f t="shared" ref="N3:N66" si="5">J3-G3</f>
        <v>903</v>
      </c>
      <c r="O3" s="1" t="s">
        <v>417</v>
      </c>
      <c r="P3" s="1">
        <v>5.21</v>
      </c>
      <c r="Q3" s="1">
        <v>1</v>
      </c>
      <c r="R3" s="1">
        <v>1</v>
      </c>
      <c r="S3" s="1">
        <v>1</v>
      </c>
      <c r="T3" s="1">
        <v>1</v>
      </c>
      <c r="U3" s="1" t="s">
        <v>437</v>
      </c>
      <c r="V3" s="1"/>
      <c r="W3" s="1"/>
      <c r="X3" s="1"/>
      <c r="Y3" s="1"/>
      <c r="Z3" s="1">
        <v>19</v>
      </c>
      <c r="AA3" s="1">
        <v>98</v>
      </c>
      <c r="AB3" s="1">
        <v>98</v>
      </c>
      <c r="AC3" s="1"/>
      <c r="AD3" s="1"/>
      <c r="AE3" s="12">
        <v>60</v>
      </c>
      <c r="AF3" s="1" t="s">
        <v>434</v>
      </c>
      <c r="AG3" s="1">
        <v>2</v>
      </c>
      <c r="AH3" s="1">
        <v>0.35</v>
      </c>
      <c r="AI3" s="12">
        <v>2.5</v>
      </c>
      <c r="AJ3" s="12">
        <v>0.35</v>
      </c>
      <c r="AK3" s="12">
        <v>2</v>
      </c>
      <c r="AL3" s="12">
        <v>0.35</v>
      </c>
      <c r="AM3" s="82">
        <v>0</v>
      </c>
    </row>
    <row r="4" spans="1:39" x14ac:dyDescent="0.25">
      <c r="A4" s="156" t="s">
        <v>1</v>
      </c>
      <c r="B4" s="1">
        <v>3</v>
      </c>
      <c r="C4" s="1" t="s">
        <v>418</v>
      </c>
      <c r="D4" s="53">
        <v>38772</v>
      </c>
      <c r="E4" s="104">
        <f t="shared" si="0"/>
        <v>2384</v>
      </c>
      <c r="F4" s="133">
        <f t="shared" si="4"/>
        <v>2384</v>
      </c>
      <c r="G4" s="13">
        <v>40351</v>
      </c>
      <c r="H4" s="13">
        <f>G3</f>
        <v>40253</v>
      </c>
      <c r="I4" s="13">
        <v>41156</v>
      </c>
      <c r="J4" s="13">
        <v>41156</v>
      </c>
      <c r="K4" s="1">
        <f t="shared" si="1"/>
        <v>1579</v>
      </c>
      <c r="L4" s="1">
        <f t="shared" si="2"/>
        <v>98</v>
      </c>
      <c r="M4" s="1">
        <f t="shared" si="3"/>
        <v>805</v>
      </c>
      <c r="N4" s="1">
        <f t="shared" si="5"/>
        <v>805</v>
      </c>
      <c r="O4" s="1" t="s">
        <v>417</v>
      </c>
      <c r="P4" s="1">
        <v>5.19</v>
      </c>
      <c r="Q4" s="1">
        <v>1</v>
      </c>
      <c r="R4" s="1">
        <v>1</v>
      </c>
      <c r="S4" s="1">
        <v>1</v>
      </c>
      <c r="T4" s="1">
        <v>1</v>
      </c>
      <c r="U4" s="1" t="s">
        <v>437</v>
      </c>
      <c r="V4" s="1"/>
      <c r="W4" s="1"/>
      <c r="X4" s="1"/>
      <c r="Y4" s="1"/>
      <c r="Z4" s="1">
        <v>11</v>
      </c>
      <c r="AA4" s="1">
        <v>99</v>
      </c>
      <c r="AB4" s="1">
        <v>99</v>
      </c>
      <c r="AC4" s="1"/>
      <c r="AD4" s="1"/>
      <c r="AE4" s="12">
        <v>60</v>
      </c>
      <c r="AF4" s="1" t="s">
        <v>434</v>
      </c>
      <c r="AG4" s="1">
        <v>2</v>
      </c>
      <c r="AH4" s="1">
        <v>0.35</v>
      </c>
      <c r="AI4" s="12">
        <v>2.5</v>
      </c>
      <c r="AJ4" s="12">
        <v>0.35</v>
      </c>
      <c r="AK4" s="12">
        <v>2</v>
      </c>
      <c r="AL4" s="12">
        <v>0.35</v>
      </c>
      <c r="AM4" s="82">
        <v>0</v>
      </c>
    </row>
    <row r="5" spans="1:39" x14ac:dyDescent="0.25">
      <c r="A5" s="156" t="s">
        <v>1</v>
      </c>
      <c r="B5" s="1">
        <v>3</v>
      </c>
      <c r="C5" s="1" t="s">
        <v>418</v>
      </c>
      <c r="D5" s="53">
        <v>38772</v>
      </c>
      <c r="E5" s="104">
        <f t="shared" si="0"/>
        <v>2384</v>
      </c>
      <c r="F5" s="133">
        <f t="shared" si="4"/>
        <v>2384</v>
      </c>
      <c r="G5" s="13">
        <v>40750</v>
      </c>
      <c r="H5" s="13">
        <f t="shared" ref="H5:H7" si="6">G4</f>
        <v>40351</v>
      </c>
      <c r="I5" s="13">
        <v>41156</v>
      </c>
      <c r="J5" s="13">
        <v>41156</v>
      </c>
      <c r="K5" s="1">
        <f t="shared" si="1"/>
        <v>1978</v>
      </c>
      <c r="L5" s="1">
        <f t="shared" si="2"/>
        <v>399</v>
      </c>
      <c r="M5" s="1">
        <f t="shared" si="3"/>
        <v>406</v>
      </c>
      <c r="N5" s="1">
        <f t="shared" si="5"/>
        <v>406</v>
      </c>
      <c r="O5" s="1" t="s">
        <v>417</v>
      </c>
      <c r="P5" s="1">
        <v>5.1100000000000003</v>
      </c>
      <c r="Q5" s="1">
        <v>0</v>
      </c>
      <c r="R5" s="1">
        <v>1</v>
      </c>
      <c r="S5" s="1">
        <v>1</v>
      </c>
      <c r="T5" s="1">
        <v>1</v>
      </c>
      <c r="U5" s="1" t="s">
        <v>438</v>
      </c>
      <c r="V5" s="1"/>
      <c r="W5" s="1"/>
      <c r="X5" s="1"/>
      <c r="Y5" s="1"/>
      <c r="Z5" s="1">
        <v>11</v>
      </c>
      <c r="AA5" s="1">
        <v>98</v>
      </c>
      <c r="AB5" s="1">
        <v>98</v>
      </c>
      <c r="AC5" s="1"/>
      <c r="AD5" s="1"/>
      <c r="AE5" s="12">
        <v>60</v>
      </c>
      <c r="AF5" s="1" t="s">
        <v>434</v>
      </c>
      <c r="AG5" s="1">
        <v>2</v>
      </c>
      <c r="AH5" s="1">
        <v>0.35</v>
      </c>
      <c r="AI5" s="12">
        <v>2.5</v>
      </c>
      <c r="AJ5" s="12">
        <v>0.35</v>
      </c>
      <c r="AK5" s="12">
        <v>2</v>
      </c>
      <c r="AL5" s="12">
        <v>0.35</v>
      </c>
      <c r="AM5" s="82">
        <v>0</v>
      </c>
    </row>
    <row r="6" spans="1:39" x14ac:dyDescent="0.25">
      <c r="A6" s="156" t="s">
        <v>1</v>
      </c>
      <c r="B6" s="1">
        <v>3</v>
      </c>
      <c r="C6" s="1" t="s">
        <v>418</v>
      </c>
      <c r="D6" s="53">
        <v>38772</v>
      </c>
      <c r="E6" s="104">
        <f t="shared" si="0"/>
        <v>2384</v>
      </c>
      <c r="F6" s="133">
        <f t="shared" si="4"/>
        <v>2384</v>
      </c>
      <c r="G6" s="13">
        <v>40960</v>
      </c>
      <c r="H6" s="13">
        <f t="shared" si="6"/>
        <v>40750</v>
      </c>
      <c r="I6" s="13">
        <v>41156</v>
      </c>
      <c r="J6" s="13">
        <v>41156</v>
      </c>
      <c r="K6" s="1">
        <f t="shared" si="1"/>
        <v>2188</v>
      </c>
      <c r="L6" s="1">
        <f t="shared" si="2"/>
        <v>210</v>
      </c>
      <c r="M6" s="1">
        <f t="shared" si="3"/>
        <v>196</v>
      </c>
      <c r="N6" s="1">
        <f t="shared" si="5"/>
        <v>196</v>
      </c>
      <c r="O6" s="1" t="s">
        <v>417</v>
      </c>
      <c r="P6" s="1">
        <v>5.07</v>
      </c>
      <c r="Q6" s="1">
        <v>0</v>
      </c>
      <c r="R6" s="1">
        <v>0</v>
      </c>
      <c r="S6" s="1">
        <v>1</v>
      </c>
      <c r="T6" s="1">
        <v>1</v>
      </c>
      <c r="U6" s="1" t="s">
        <v>439</v>
      </c>
      <c r="V6" s="1"/>
      <c r="W6" s="1"/>
      <c r="X6" s="1"/>
      <c r="Y6" s="1"/>
      <c r="Z6" s="1">
        <v>10</v>
      </c>
      <c r="AA6" s="1">
        <v>96</v>
      </c>
      <c r="AB6" s="1">
        <v>96</v>
      </c>
      <c r="AC6" s="1"/>
      <c r="AD6" s="1"/>
      <c r="AE6" s="12">
        <v>60</v>
      </c>
      <c r="AF6" s="1" t="s">
        <v>434</v>
      </c>
      <c r="AG6" s="1">
        <v>2</v>
      </c>
      <c r="AH6" s="1">
        <v>0.35</v>
      </c>
      <c r="AI6" s="12">
        <v>2.5</v>
      </c>
      <c r="AJ6" s="12">
        <v>0.35</v>
      </c>
      <c r="AK6" s="12">
        <v>2</v>
      </c>
      <c r="AL6" s="12">
        <v>0.35</v>
      </c>
      <c r="AM6" s="82">
        <v>0</v>
      </c>
    </row>
    <row r="7" spans="1:39" x14ac:dyDescent="0.25">
      <c r="A7" s="156" t="s">
        <v>1</v>
      </c>
      <c r="B7" s="1">
        <v>3</v>
      </c>
      <c r="C7" s="1" t="s">
        <v>418</v>
      </c>
      <c r="D7" s="53">
        <v>38772</v>
      </c>
      <c r="E7" s="104">
        <f t="shared" si="0"/>
        <v>2384</v>
      </c>
      <c r="F7" s="133">
        <f t="shared" si="4"/>
        <v>2384</v>
      </c>
      <c r="G7" s="10">
        <v>41156</v>
      </c>
      <c r="H7" s="13">
        <f t="shared" si="6"/>
        <v>40960</v>
      </c>
      <c r="I7" s="13">
        <v>41156</v>
      </c>
      <c r="J7" s="13">
        <v>41156</v>
      </c>
      <c r="K7" s="1">
        <f t="shared" si="1"/>
        <v>2384</v>
      </c>
      <c r="L7" s="1">
        <f t="shared" si="2"/>
        <v>196</v>
      </c>
      <c r="M7" s="1">
        <f t="shared" si="3"/>
        <v>0</v>
      </c>
      <c r="N7" s="1">
        <f t="shared" si="5"/>
        <v>0</v>
      </c>
      <c r="O7" s="19" t="s">
        <v>434</v>
      </c>
      <c r="P7" s="12">
        <v>4.6900000000000004</v>
      </c>
      <c r="Q7" s="19"/>
      <c r="R7" s="19"/>
      <c r="S7" s="19"/>
      <c r="T7" s="19"/>
      <c r="U7" s="19"/>
      <c r="V7" s="19">
        <v>0</v>
      </c>
      <c r="W7" s="19">
        <v>0</v>
      </c>
      <c r="X7" s="19">
        <v>1</v>
      </c>
      <c r="Y7" s="19">
        <v>1</v>
      </c>
      <c r="Z7" s="12">
        <v>19</v>
      </c>
      <c r="AA7" s="12">
        <v>98</v>
      </c>
      <c r="AB7" s="12">
        <v>98</v>
      </c>
      <c r="AC7" s="1"/>
      <c r="AD7" s="1"/>
      <c r="AE7" s="12">
        <v>60</v>
      </c>
      <c r="AF7" s="1" t="s">
        <v>434</v>
      </c>
      <c r="AG7" s="1">
        <v>2</v>
      </c>
      <c r="AH7" s="1">
        <v>0.35</v>
      </c>
      <c r="AI7" s="12">
        <v>2.5</v>
      </c>
      <c r="AJ7" s="12">
        <v>0.35</v>
      </c>
      <c r="AK7" s="12">
        <v>2</v>
      </c>
      <c r="AL7" s="12">
        <v>0.35</v>
      </c>
      <c r="AM7" s="82">
        <v>0</v>
      </c>
    </row>
    <row r="8" spans="1:39" ht="14.5" x14ac:dyDescent="0.35">
      <c r="A8" s="170" t="s">
        <v>25</v>
      </c>
      <c r="B8" s="1">
        <v>3</v>
      </c>
      <c r="C8" s="1" t="s">
        <v>418</v>
      </c>
      <c r="D8" s="13">
        <v>39238</v>
      </c>
      <c r="E8" s="104">
        <f t="shared" si="0"/>
        <v>2512</v>
      </c>
      <c r="F8" s="133">
        <f t="shared" si="4"/>
        <v>2512</v>
      </c>
      <c r="G8" s="13">
        <v>40106</v>
      </c>
      <c r="H8" s="13">
        <v>39238</v>
      </c>
      <c r="I8" s="13">
        <v>41750</v>
      </c>
      <c r="J8" s="13">
        <v>41750</v>
      </c>
      <c r="K8" s="1">
        <f t="shared" si="1"/>
        <v>868</v>
      </c>
      <c r="L8" s="1">
        <f t="shared" si="2"/>
        <v>868</v>
      </c>
      <c r="M8" s="1">
        <f t="shared" si="3"/>
        <v>1644</v>
      </c>
      <c r="N8" s="1">
        <f t="shared" si="5"/>
        <v>1644</v>
      </c>
      <c r="O8" s="98" t="s">
        <v>417</v>
      </c>
      <c r="P8" s="98">
        <v>6.15</v>
      </c>
      <c r="Q8" s="1">
        <v>1</v>
      </c>
      <c r="R8" s="1">
        <v>1</v>
      </c>
      <c r="S8" s="1">
        <v>1</v>
      </c>
      <c r="T8" s="1">
        <v>1</v>
      </c>
      <c r="U8" s="1" t="s">
        <v>437</v>
      </c>
      <c r="V8" s="1"/>
      <c r="W8" s="1"/>
      <c r="X8" s="1"/>
      <c r="Y8" s="1"/>
      <c r="Z8" s="98">
        <v>3</v>
      </c>
      <c r="AA8" s="98">
        <v>97</v>
      </c>
      <c r="AB8" s="98">
        <v>97</v>
      </c>
      <c r="AC8" s="1"/>
      <c r="AD8" s="1"/>
      <c r="AE8" s="12">
        <v>60</v>
      </c>
      <c r="AF8" s="1" t="s">
        <v>434</v>
      </c>
      <c r="AG8" s="1">
        <v>2</v>
      </c>
      <c r="AH8" s="1">
        <v>0.35</v>
      </c>
      <c r="AI8" s="172">
        <v>2</v>
      </c>
      <c r="AJ8" s="12">
        <v>0.35</v>
      </c>
      <c r="AK8" s="12">
        <v>2</v>
      </c>
      <c r="AL8" s="12">
        <v>0.35</v>
      </c>
      <c r="AM8" s="82">
        <v>0</v>
      </c>
    </row>
    <row r="9" spans="1:39" ht="14.5" x14ac:dyDescent="0.35">
      <c r="A9" s="170" t="s">
        <v>25</v>
      </c>
      <c r="B9" s="1">
        <v>3</v>
      </c>
      <c r="C9" s="1" t="s">
        <v>418</v>
      </c>
      <c r="D9" s="13">
        <v>39238</v>
      </c>
      <c r="E9" s="104">
        <f t="shared" si="0"/>
        <v>2512</v>
      </c>
      <c r="F9" s="133">
        <f t="shared" si="4"/>
        <v>2512</v>
      </c>
      <c r="G9" s="13">
        <v>40288</v>
      </c>
      <c r="H9" s="13">
        <f>G8</f>
        <v>40106</v>
      </c>
      <c r="I9" s="13">
        <v>41750</v>
      </c>
      <c r="J9" s="13">
        <v>41750</v>
      </c>
      <c r="K9" s="1">
        <f t="shared" si="1"/>
        <v>1050</v>
      </c>
      <c r="L9" s="1">
        <f t="shared" si="2"/>
        <v>182</v>
      </c>
      <c r="M9" s="1">
        <f t="shared" si="3"/>
        <v>1462</v>
      </c>
      <c r="N9" s="1">
        <f t="shared" si="5"/>
        <v>1462</v>
      </c>
      <c r="O9" s="98" t="s">
        <v>417</v>
      </c>
      <c r="P9" s="98">
        <v>5.92</v>
      </c>
      <c r="Q9" s="1">
        <v>1</v>
      </c>
      <c r="R9" s="1">
        <v>1</v>
      </c>
      <c r="S9" s="1">
        <v>1</v>
      </c>
      <c r="T9" s="1">
        <v>1</v>
      </c>
      <c r="U9" s="1" t="s">
        <v>437</v>
      </c>
      <c r="V9" s="1"/>
      <c r="W9" s="1"/>
      <c r="X9" s="1"/>
      <c r="Y9" s="1"/>
      <c r="Z9" s="98">
        <v>3</v>
      </c>
      <c r="AA9" s="98">
        <v>97</v>
      </c>
      <c r="AB9" s="98">
        <v>97</v>
      </c>
      <c r="AC9" s="1"/>
      <c r="AD9" s="1"/>
      <c r="AE9" s="12">
        <v>60</v>
      </c>
      <c r="AF9" s="1" t="s">
        <v>434</v>
      </c>
      <c r="AG9" s="1">
        <v>2</v>
      </c>
      <c r="AH9" s="1">
        <v>0.35</v>
      </c>
      <c r="AI9" s="172">
        <v>2</v>
      </c>
      <c r="AJ9" s="12">
        <v>0.35</v>
      </c>
      <c r="AK9" s="12">
        <v>2</v>
      </c>
      <c r="AL9" s="12">
        <v>0.35</v>
      </c>
      <c r="AM9" s="82">
        <v>0</v>
      </c>
    </row>
    <row r="10" spans="1:39" ht="14.5" x14ac:dyDescent="0.35">
      <c r="A10" s="170" t="s">
        <v>25</v>
      </c>
      <c r="B10" s="1">
        <v>3</v>
      </c>
      <c r="C10" s="1" t="s">
        <v>418</v>
      </c>
      <c r="D10" s="13">
        <v>39238</v>
      </c>
      <c r="E10" s="104">
        <f t="shared" si="0"/>
        <v>2512</v>
      </c>
      <c r="F10" s="133">
        <f t="shared" si="4"/>
        <v>2512</v>
      </c>
      <c r="G10" s="13">
        <v>40799</v>
      </c>
      <c r="H10" s="13">
        <f t="shared" ref="H10:H17" si="7">G9</f>
        <v>40288</v>
      </c>
      <c r="I10" s="13">
        <v>41750</v>
      </c>
      <c r="J10" s="13">
        <v>41750</v>
      </c>
      <c r="K10" s="1">
        <f t="shared" si="1"/>
        <v>1561</v>
      </c>
      <c r="L10" s="1">
        <f t="shared" si="2"/>
        <v>511</v>
      </c>
      <c r="M10" s="1">
        <f t="shared" si="3"/>
        <v>951</v>
      </c>
      <c r="N10" s="1">
        <f t="shared" si="5"/>
        <v>951</v>
      </c>
      <c r="O10" s="98" t="s">
        <v>417</v>
      </c>
      <c r="P10" s="98">
        <v>5.22</v>
      </c>
      <c r="Q10" s="1">
        <v>1</v>
      </c>
      <c r="R10" s="1">
        <v>1</v>
      </c>
      <c r="S10" s="1">
        <v>1</v>
      </c>
      <c r="T10" s="1">
        <v>1</v>
      </c>
      <c r="U10" s="1" t="s">
        <v>437</v>
      </c>
      <c r="V10" s="1"/>
      <c r="W10" s="1"/>
      <c r="X10" s="1"/>
      <c r="Y10" s="1"/>
      <c r="Z10" s="98">
        <v>6</v>
      </c>
      <c r="AA10" s="98">
        <v>98</v>
      </c>
      <c r="AB10" s="98">
        <v>98</v>
      </c>
      <c r="AC10" s="1"/>
      <c r="AD10" s="1"/>
      <c r="AE10" s="12">
        <v>60</v>
      </c>
      <c r="AF10" s="1" t="s">
        <v>434</v>
      </c>
      <c r="AG10" s="1">
        <v>2</v>
      </c>
      <c r="AH10" s="1">
        <v>0.35</v>
      </c>
      <c r="AI10" s="172">
        <v>2</v>
      </c>
      <c r="AJ10" s="12">
        <v>0.35</v>
      </c>
      <c r="AK10" s="12">
        <v>2</v>
      </c>
      <c r="AL10" s="12">
        <v>0.35</v>
      </c>
      <c r="AM10" s="82">
        <v>0</v>
      </c>
    </row>
    <row r="11" spans="1:39" ht="14.5" x14ac:dyDescent="0.35">
      <c r="A11" s="170" t="s">
        <v>25</v>
      </c>
      <c r="B11" s="1">
        <v>3</v>
      </c>
      <c r="C11" s="1" t="s">
        <v>418</v>
      </c>
      <c r="D11" s="13">
        <v>39238</v>
      </c>
      <c r="E11" s="104">
        <f t="shared" si="0"/>
        <v>2512</v>
      </c>
      <c r="F11" s="133">
        <f t="shared" si="4"/>
        <v>2512</v>
      </c>
      <c r="G11" s="13">
        <v>40932</v>
      </c>
      <c r="H11" s="13">
        <f t="shared" si="7"/>
        <v>40799</v>
      </c>
      <c r="I11" s="13">
        <v>41750</v>
      </c>
      <c r="J11" s="13">
        <v>41750</v>
      </c>
      <c r="K11" s="1">
        <f t="shared" si="1"/>
        <v>1694</v>
      </c>
      <c r="L11" s="1">
        <f t="shared" si="2"/>
        <v>133</v>
      </c>
      <c r="M11" s="1">
        <f t="shared" si="3"/>
        <v>818</v>
      </c>
      <c r="N11" s="1">
        <f t="shared" si="5"/>
        <v>818</v>
      </c>
      <c r="O11" s="98" t="s">
        <v>417</v>
      </c>
      <c r="P11" s="98">
        <v>5.18</v>
      </c>
      <c r="Q11" s="1">
        <v>1</v>
      </c>
      <c r="R11" s="1">
        <v>1</v>
      </c>
      <c r="S11" s="1">
        <v>1</v>
      </c>
      <c r="T11" s="1">
        <v>1</v>
      </c>
      <c r="U11" s="4" t="s">
        <v>437</v>
      </c>
      <c r="V11" s="1"/>
      <c r="W11" s="1"/>
      <c r="X11" s="1"/>
      <c r="Y11" s="1"/>
      <c r="Z11" s="98">
        <v>4</v>
      </c>
      <c r="AA11" s="98">
        <v>98</v>
      </c>
      <c r="AB11" s="98">
        <v>98</v>
      </c>
      <c r="AC11" s="1"/>
      <c r="AD11" s="1"/>
      <c r="AE11" s="12">
        <v>60</v>
      </c>
      <c r="AF11" s="1" t="s">
        <v>434</v>
      </c>
      <c r="AG11" s="1">
        <v>2</v>
      </c>
      <c r="AH11" s="1">
        <v>0.35</v>
      </c>
      <c r="AI11" s="172">
        <v>2</v>
      </c>
      <c r="AJ11" s="12">
        <v>0.35</v>
      </c>
      <c r="AK11" s="12">
        <v>2</v>
      </c>
      <c r="AL11" s="12">
        <v>0.35</v>
      </c>
      <c r="AM11" s="82">
        <v>0</v>
      </c>
    </row>
    <row r="12" spans="1:39" ht="14.5" x14ac:dyDescent="0.35">
      <c r="A12" s="170" t="s">
        <v>25</v>
      </c>
      <c r="B12" s="1">
        <v>3</v>
      </c>
      <c r="C12" s="1" t="s">
        <v>418</v>
      </c>
      <c r="D12" s="13">
        <v>39238</v>
      </c>
      <c r="E12" s="104">
        <f t="shared" si="0"/>
        <v>2512</v>
      </c>
      <c r="F12" s="133">
        <f t="shared" si="4"/>
        <v>2512</v>
      </c>
      <c r="G12" s="13">
        <v>41107</v>
      </c>
      <c r="H12" s="13">
        <f t="shared" si="7"/>
        <v>40932</v>
      </c>
      <c r="I12" s="13">
        <v>41750</v>
      </c>
      <c r="J12" s="13">
        <v>41750</v>
      </c>
      <c r="K12" s="1">
        <f t="shared" si="1"/>
        <v>1869</v>
      </c>
      <c r="L12" s="1">
        <f t="shared" si="2"/>
        <v>175</v>
      </c>
      <c r="M12" s="1">
        <f t="shared" si="3"/>
        <v>643</v>
      </c>
      <c r="N12" s="1">
        <f t="shared" si="5"/>
        <v>643</v>
      </c>
      <c r="O12" s="98" t="s">
        <v>417</v>
      </c>
      <c r="P12" s="98">
        <v>5.15</v>
      </c>
      <c r="Q12" s="1">
        <v>1</v>
      </c>
      <c r="R12" s="1">
        <v>1</v>
      </c>
      <c r="S12" s="1">
        <v>1</v>
      </c>
      <c r="T12" s="1">
        <v>1</v>
      </c>
      <c r="U12" s="1" t="s">
        <v>437</v>
      </c>
      <c r="V12" s="1"/>
      <c r="W12" s="1"/>
      <c r="X12" s="1"/>
      <c r="Y12" s="1"/>
      <c r="Z12" s="98">
        <v>5</v>
      </c>
      <c r="AA12" s="98">
        <v>96</v>
      </c>
      <c r="AB12" s="98">
        <v>96</v>
      </c>
      <c r="AC12" s="1"/>
      <c r="AD12" s="1"/>
      <c r="AE12" s="12">
        <v>60</v>
      </c>
      <c r="AF12" s="1" t="s">
        <v>434</v>
      </c>
      <c r="AG12" s="1">
        <v>2</v>
      </c>
      <c r="AH12" s="1">
        <v>0.35</v>
      </c>
      <c r="AI12" s="172">
        <v>2</v>
      </c>
      <c r="AJ12" s="12">
        <v>0.35</v>
      </c>
      <c r="AK12" s="12">
        <v>2</v>
      </c>
      <c r="AL12" s="12">
        <v>0.35</v>
      </c>
      <c r="AM12" s="82">
        <v>0</v>
      </c>
    </row>
    <row r="13" spans="1:39" ht="14.5" x14ac:dyDescent="0.35">
      <c r="A13" s="170" t="s">
        <v>25</v>
      </c>
      <c r="B13" s="1">
        <v>3</v>
      </c>
      <c r="C13" s="1" t="s">
        <v>418</v>
      </c>
      <c r="D13" s="13">
        <v>39238</v>
      </c>
      <c r="E13" s="104">
        <f t="shared" si="0"/>
        <v>2512</v>
      </c>
      <c r="F13" s="133">
        <f t="shared" si="4"/>
        <v>2512</v>
      </c>
      <c r="G13" s="13">
        <v>41303</v>
      </c>
      <c r="H13" s="13">
        <f t="shared" si="7"/>
        <v>41107</v>
      </c>
      <c r="I13" s="13">
        <v>41750</v>
      </c>
      <c r="J13" s="13">
        <v>41750</v>
      </c>
      <c r="K13" s="1">
        <f t="shared" si="1"/>
        <v>2065</v>
      </c>
      <c r="L13" s="1">
        <f t="shared" si="2"/>
        <v>196</v>
      </c>
      <c r="M13" s="1">
        <f t="shared" si="3"/>
        <v>447</v>
      </c>
      <c r="N13" s="1">
        <f t="shared" si="5"/>
        <v>447</v>
      </c>
      <c r="O13" s="98" t="s">
        <v>417</v>
      </c>
      <c r="P13" s="98">
        <v>5.14</v>
      </c>
      <c r="Q13" s="1">
        <v>0</v>
      </c>
      <c r="R13" s="1">
        <v>1</v>
      </c>
      <c r="S13" s="1">
        <v>1</v>
      </c>
      <c r="T13" s="1">
        <v>1</v>
      </c>
      <c r="U13" s="1" t="s">
        <v>438</v>
      </c>
      <c r="V13" s="1"/>
      <c r="W13" s="1"/>
      <c r="X13" s="1"/>
      <c r="Y13" s="1"/>
      <c r="Z13" s="98">
        <v>4</v>
      </c>
      <c r="AA13" s="98">
        <v>96</v>
      </c>
      <c r="AB13" s="98">
        <v>96</v>
      </c>
      <c r="AC13" s="1"/>
      <c r="AD13" s="1"/>
      <c r="AE13" s="12">
        <v>60</v>
      </c>
      <c r="AF13" s="1" t="s">
        <v>434</v>
      </c>
      <c r="AG13" s="1">
        <v>2</v>
      </c>
      <c r="AH13" s="1">
        <v>0.35</v>
      </c>
      <c r="AI13" s="172">
        <v>2</v>
      </c>
      <c r="AJ13" s="12">
        <v>0.35</v>
      </c>
      <c r="AK13" s="12">
        <v>2</v>
      </c>
      <c r="AL13" s="12">
        <v>0.35</v>
      </c>
      <c r="AM13" s="82">
        <v>0</v>
      </c>
    </row>
    <row r="14" spans="1:39" ht="14.5" x14ac:dyDescent="0.35">
      <c r="A14" s="170" t="s">
        <v>25</v>
      </c>
      <c r="B14" s="1">
        <v>3</v>
      </c>
      <c r="C14" s="1" t="s">
        <v>418</v>
      </c>
      <c r="D14" s="13">
        <v>39238</v>
      </c>
      <c r="E14" s="104">
        <f t="shared" si="0"/>
        <v>2512</v>
      </c>
      <c r="F14" s="133">
        <f t="shared" si="4"/>
        <v>2512</v>
      </c>
      <c r="G14" s="13">
        <v>41380</v>
      </c>
      <c r="H14" s="13">
        <f t="shared" si="7"/>
        <v>41303</v>
      </c>
      <c r="I14" s="13">
        <v>41750</v>
      </c>
      <c r="J14" s="13">
        <v>41750</v>
      </c>
      <c r="K14" s="1">
        <f t="shared" si="1"/>
        <v>2142</v>
      </c>
      <c r="L14" s="1">
        <f t="shared" si="2"/>
        <v>77</v>
      </c>
      <c r="M14" s="1">
        <f t="shared" si="3"/>
        <v>370</v>
      </c>
      <c r="N14" s="1">
        <f t="shared" si="5"/>
        <v>370</v>
      </c>
      <c r="O14" s="98" t="s">
        <v>417</v>
      </c>
      <c r="P14" s="98">
        <v>5.13</v>
      </c>
      <c r="Q14" s="1">
        <v>0</v>
      </c>
      <c r="R14" s="1">
        <v>1</v>
      </c>
      <c r="S14" s="1">
        <v>1</v>
      </c>
      <c r="T14" s="1">
        <v>1</v>
      </c>
      <c r="U14" s="1" t="s">
        <v>438</v>
      </c>
      <c r="V14" s="1"/>
      <c r="W14" s="1"/>
      <c r="X14" s="1"/>
      <c r="Y14" s="1"/>
      <c r="Z14" s="98">
        <v>5</v>
      </c>
      <c r="AA14" s="98">
        <v>95</v>
      </c>
      <c r="AB14" s="98">
        <v>95</v>
      </c>
      <c r="AC14" s="1"/>
      <c r="AD14" s="1"/>
      <c r="AE14" s="12">
        <v>60</v>
      </c>
      <c r="AF14" s="1" t="s">
        <v>434</v>
      </c>
      <c r="AG14" s="1">
        <v>2</v>
      </c>
      <c r="AH14" s="1">
        <v>0.35</v>
      </c>
      <c r="AI14" s="172">
        <v>2</v>
      </c>
      <c r="AJ14" s="12">
        <v>0.35</v>
      </c>
      <c r="AK14" s="12">
        <v>2</v>
      </c>
      <c r="AL14" s="12">
        <v>0.35</v>
      </c>
      <c r="AM14" s="82">
        <v>0</v>
      </c>
    </row>
    <row r="15" spans="1:39" ht="14.5" x14ac:dyDescent="0.35">
      <c r="A15" s="170" t="s">
        <v>25</v>
      </c>
      <c r="B15" s="1">
        <v>3</v>
      </c>
      <c r="C15" s="1" t="s">
        <v>418</v>
      </c>
      <c r="D15" s="13">
        <v>39238</v>
      </c>
      <c r="E15" s="104">
        <f t="shared" si="0"/>
        <v>2512</v>
      </c>
      <c r="F15" s="133">
        <f t="shared" si="4"/>
        <v>2512</v>
      </c>
      <c r="G15" s="13">
        <v>41486</v>
      </c>
      <c r="H15" s="13">
        <f t="shared" si="7"/>
        <v>41380</v>
      </c>
      <c r="I15" s="13">
        <v>41750</v>
      </c>
      <c r="J15" s="13">
        <v>41750</v>
      </c>
      <c r="K15" s="1">
        <f t="shared" si="1"/>
        <v>2248</v>
      </c>
      <c r="L15" s="1">
        <f t="shared" si="2"/>
        <v>106</v>
      </c>
      <c r="M15" s="1">
        <f t="shared" si="3"/>
        <v>264</v>
      </c>
      <c r="N15" s="1">
        <f t="shared" si="5"/>
        <v>264</v>
      </c>
      <c r="O15" s="98" t="s">
        <v>417</v>
      </c>
      <c r="P15" s="98">
        <v>5.1100000000000003</v>
      </c>
      <c r="Q15" s="1">
        <v>0</v>
      </c>
      <c r="R15" s="1">
        <v>0</v>
      </c>
      <c r="S15" s="1">
        <v>1</v>
      </c>
      <c r="T15" s="1">
        <v>1</v>
      </c>
      <c r="U15" s="1" t="s">
        <v>439</v>
      </c>
      <c r="V15" s="1"/>
      <c r="W15" s="1"/>
      <c r="X15" s="1"/>
      <c r="Y15" s="1"/>
      <c r="Z15" s="98">
        <v>7</v>
      </c>
      <c r="AA15" s="98">
        <v>97</v>
      </c>
      <c r="AB15" s="98">
        <v>97</v>
      </c>
      <c r="AC15" s="1"/>
      <c r="AD15" s="1"/>
      <c r="AE15" s="12">
        <v>60</v>
      </c>
      <c r="AF15" s="1" t="s">
        <v>434</v>
      </c>
      <c r="AG15" s="1">
        <v>2</v>
      </c>
      <c r="AH15" s="1">
        <v>0.35</v>
      </c>
      <c r="AI15" s="172">
        <v>2</v>
      </c>
      <c r="AJ15" s="12">
        <v>0.35</v>
      </c>
      <c r="AK15" s="12">
        <v>2</v>
      </c>
      <c r="AL15" s="12">
        <v>0.35</v>
      </c>
      <c r="AM15" s="82">
        <v>0</v>
      </c>
    </row>
    <row r="16" spans="1:39" ht="14.5" x14ac:dyDescent="0.35">
      <c r="A16" s="170" t="s">
        <v>25</v>
      </c>
      <c r="B16" s="1">
        <v>3</v>
      </c>
      <c r="C16" s="1" t="s">
        <v>418</v>
      </c>
      <c r="D16" s="13">
        <v>39238</v>
      </c>
      <c r="E16" s="104">
        <f t="shared" si="0"/>
        <v>2512</v>
      </c>
      <c r="F16" s="133">
        <f t="shared" si="4"/>
        <v>2512</v>
      </c>
      <c r="G16" s="13">
        <v>41568</v>
      </c>
      <c r="H16" s="13">
        <f t="shared" si="7"/>
        <v>41486</v>
      </c>
      <c r="I16" s="13">
        <v>41750</v>
      </c>
      <c r="J16" s="13">
        <v>41750</v>
      </c>
      <c r="K16" s="1">
        <f t="shared" si="1"/>
        <v>2330</v>
      </c>
      <c r="L16" s="1">
        <f t="shared" si="2"/>
        <v>82</v>
      </c>
      <c r="M16" s="1">
        <f t="shared" si="3"/>
        <v>182</v>
      </c>
      <c r="N16" s="1">
        <f t="shared" si="5"/>
        <v>182</v>
      </c>
      <c r="O16" s="98" t="s">
        <v>417</v>
      </c>
      <c r="P16" s="98">
        <v>5.05</v>
      </c>
      <c r="Q16" s="1">
        <v>0</v>
      </c>
      <c r="R16" s="1">
        <v>0</v>
      </c>
      <c r="S16" s="1">
        <v>1</v>
      </c>
      <c r="T16" s="1">
        <v>1</v>
      </c>
      <c r="U16" s="1" t="s">
        <v>439</v>
      </c>
      <c r="V16" s="1"/>
      <c r="W16" s="1"/>
      <c r="X16" s="1"/>
      <c r="Y16" s="1"/>
      <c r="Z16" s="98">
        <v>8</v>
      </c>
      <c r="AA16" s="98">
        <v>97</v>
      </c>
      <c r="AB16" s="98">
        <v>97</v>
      </c>
      <c r="AC16" s="1"/>
      <c r="AD16" s="1"/>
      <c r="AE16" s="12">
        <v>60</v>
      </c>
      <c r="AF16" s="1" t="s">
        <v>434</v>
      </c>
      <c r="AG16" s="1">
        <v>2</v>
      </c>
      <c r="AH16" s="1">
        <v>0.35</v>
      </c>
      <c r="AI16" s="172">
        <v>2</v>
      </c>
      <c r="AJ16" s="12">
        <v>0.35</v>
      </c>
      <c r="AK16" s="12">
        <v>2</v>
      </c>
      <c r="AL16" s="12">
        <v>0.35</v>
      </c>
      <c r="AM16" s="82">
        <v>0</v>
      </c>
    </row>
    <row r="17" spans="1:39" ht="14.5" x14ac:dyDescent="0.35">
      <c r="A17" s="170" t="s">
        <v>25</v>
      </c>
      <c r="B17" s="1">
        <v>3</v>
      </c>
      <c r="C17" s="1" t="s">
        <v>418</v>
      </c>
      <c r="D17" s="13">
        <v>39238</v>
      </c>
      <c r="E17" s="104">
        <f t="shared" si="0"/>
        <v>2512</v>
      </c>
      <c r="F17" s="133">
        <f t="shared" si="4"/>
        <v>2512</v>
      </c>
      <c r="G17" s="13">
        <v>41750</v>
      </c>
      <c r="H17" s="13">
        <f t="shared" si="7"/>
        <v>41568</v>
      </c>
      <c r="I17" s="13">
        <v>41750</v>
      </c>
      <c r="J17" s="13">
        <v>41750</v>
      </c>
      <c r="K17" s="1">
        <f t="shared" si="1"/>
        <v>2512</v>
      </c>
      <c r="L17" s="1">
        <f t="shared" si="2"/>
        <v>182</v>
      </c>
      <c r="M17" s="1">
        <f t="shared" si="3"/>
        <v>0</v>
      </c>
      <c r="N17" s="1">
        <f t="shared" si="5"/>
        <v>0</v>
      </c>
      <c r="O17" s="98" t="s">
        <v>434</v>
      </c>
      <c r="P17" s="98">
        <v>4.74</v>
      </c>
      <c r="Q17" s="19"/>
      <c r="R17" s="19"/>
      <c r="S17" s="19"/>
      <c r="T17" s="19"/>
      <c r="U17" s="83"/>
      <c r="V17" s="1">
        <v>0</v>
      </c>
      <c r="W17" s="1">
        <v>0</v>
      </c>
      <c r="X17" s="1">
        <v>1</v>
      </c>
      <c r="Y17" s="1">
        <v>1</v>
      </c>
      <c r="Z17" s="98">
        <v>2</v>
      </c>
      <c r="AA17" s="98">
        <v>97</v>
      </c>
      <c r="AB17" s="98">
        <v>97</v>
      </c>
      <c r="AC17" s="1"/>
      <c r="AD17" s="1"/>
      <c r="AE17" s="12">
        <v>60</v>
      </c>
      <c r="AF17" s="1" t="s">
        <v>434</v>
      </c>
      <c r="AG17" s="1">
        <v>2</v>
      </c>
      <c r="AH17" s="1">
        <v>0.35</v>
      </c>
      <c r="AI17" s="172">
        <v>2</v>
      </c>
      <c r="AJ17" s="12">
        <v>0.35</v>
      </c>
      <c r="AK17" s="12">
        <v>2</v>
      </c>
      <c r="AL17" s="12">
        <v>0.35</v>
      </c>
      <c r="AM17" s="82">
        <v>0</v>
      </c>
    </row>
    <row r="18" spans="1:39" ht="14.5" x14ac:dyDescent="0.35">
      <c r="A18" s="173" t="s">
        <v>30</v>
      </c>
      <c r="B18" s="1">
        <v>3</v>
      </c>
      <c r="C18" s="1" t="s">
        <v>418</v>
      </c>
      <c r="D18" s="13">
        <v>39365</v>
      </c>
      <c r="E18" s="104">
        <f t="shared" si="0"/>
        <v>1945</v>
      </c>
      <c r="F18" s="133">
        <f t="shared" si="4"/>
        <v>1945</v>
      </c>
      <c r="G18" s="13">
        <v>40085</v>
      </c>
      <c r="H18" s="13">
        <v>39365</v>
      </c>
      <c r="I18" s="13">
        <v>41310</v>
      </c>
      <c r="J18" s="13">
        <v>41310</v>
      </c>
      <c r="K18" s="1">
        <f t="shared" si="1"/>
        <v>720</v>
      </c>
      <c r="L18" s="1">
        <f t="shared" si="2"/>
        <v>720</v>
      </c>
      <c r="M18" s="1">
        <f t="shared" si="3"/>
        <v>1225</v>
      </c>
      <c r="N18" s="1">
        <f t="shared" si="5"/>
        <v>1225</v>
      </c>
      <c r="O18" s="98" t="s">
        <v>417</v>
      </c>
      <c r="P18" s="98">
        <v>6.29</v>
      </c>
      <c r="Q18" s="1">
        <v>1</v>
      </c>
      <c r="R18" s="1">
        <v>1</v>
      </c>
      <c r="S18" s="1">
        <v>1</v>
      </c>
      <c r="T18" s="1">
        <v>1</v>
      </c>
      <c r="U18" s="1" t="s">
        <v>437</v>
      </c>
      <c r="V18" s="1"/>
      <c r="W18" s="1"/>
      <c r="X18" s="1"/>
      <c r="Y18" s="1"/>
      <c r="Z18" s="98">
        <v>2</v>
      </c>
      <c r="AA18" s="98">
        <v>97</v>
      </c>
      <c r="AB18" s="98">
        <v>97</v>
      </c>
      <c r="AC18" s="1"/>
      <c r="AD18" s="1"/>
      <c r="AE18" s="12">
        <v>60</v>
      </c>
      <c r="AF18" s="1" t="s">
        <v>434</v>
      </c>
      <c r="AG18" s="1">
        <v>2.5</v>
      </c>
      <c r="AH18" s="1">
        <v>0.35</v>
      </c>
      <c r="AI18" s="172">
        <v>2.5</v>
      </c>
      <c r="AJ18" s="12">
        <v>0.35</v>
      </c>
      <c r="AK18" s="12">
        <v>2</v>
      </c>
      <c r="AL18" s="12">
        <v>0.35</v>
      </c>
      <c r="AM18" s="82">
        <v>0</v>
      </c>
    </row>
    <row r="19" spans="1:39" ht="14.5" x14ac:dyDescent="0.35">
      <c r="A19" s="173" t="s">
        <v>30</v>
      </c>
      <c r="B19" s="1">
        <v>3</v>
      </c>
      <c r="C19" s="1" t="s">
        <v>418</v>
      </c>
      <c r="D19" s="13">
        <v>39365</v>
      </c>
      <c r="E19" s="104">
        <f t="shared" si="0"/>
        <v>1945</v>
      </c>
      <c r="F19" s="133">
        <f t="shared" si="4"/>
        <v>1945</v>
      </c>
      <c r="G19" s="13">
        <v>40274</v>
      </c>
      <c r="H19" s="13">
        <f>G18</f>
        <v>40085</v>
      </c>
      <c r="I19" s="13">
        <v>41310</v>
      </c>
      <c r="J19" s="13">
        <v>41310</v>
      </c>
      <c r="K19" s="1">
        <f t="shared" si="1"/>
        <v>909</v>
      </c>
      <c r="L19" s="1">
        <f t="shared" si="2"/>
        <v>189</v>
      </c>
      <c r="M19" s="1">
        <f t="shared" si="3"/>
        <v>1036</v>
      </c>
      <c r="N19" s="1">
        <f t="shared" si="5"/>
        <v>1036</v>
      </c>
      <c r="O19" s="98" t="s">
        <v>417</v>
      </c>
      <c r="P19" s="98">
        <v>6.12</v>
      </c>
      <c r="Q19" s="1">
        <v>1</v>
      </c>
      <c r="R19" s="1">
        <v>1</v>
      </c>
      <c r="S19" s="1">
        <v>1</v>
      </c>
      <c r="T19" s="1">
        <v>1</v>
      </c>
      <c r="U19" s="1" t="s">
        <v>437</v>
      </c>
      <c r="V19" s="1"/>
      <c r="W19" s="1"/>
      <c r="X19" s="1"/>
      <c r="Y19" s="1"/>
      <c r="Z19" s="98">
        <v>2</v>
      </c>
      <c r="AA19" s="98">
        <v>99</v>
      </c>
      <c r="AB19" s="98">
        <v>99</v>
      </c>
      <c r="AC19" s="1"/>
      <c r="AD19" s="1"/>
      <c r="AE19" s="12">
        <v>60</v>
      </c>
      <c r="AF19" s="1" t="s">
        <v>434</v>
      </c>
      <c r="AG19" s="1">
        <v>2.5</v>
      </c>
      <c r="AH19" s="1">
        <v>0.35</v>
      </c>
      <c r="AI19" s="172">
        <v>2.5</v>
      </c>
      <c r="AJ19" s="12">
        <v>0.35</v>
      </c>
      <c r="AK19" s="12">
        <v>2</v>
      </c>
      <c r="AL19" s="12">
        <v>0.35</v>
      </c>
      <c r="AM19" s="82">
        <v>0</v>
      </c>
    </row>
    <row r="20" spans="1:39" ht="14.5" x14ac:dyDescent="0.35">
      <c r="A20" s="173" t="s">
        <v>30</v>
      </c>
      <c r="B20" s="1">
        <v>3</v>
      </c>
      <c r="C20" s="1" t="s">
        <v>418</v>
      </c>
      <c r="D20" s="13">
        <v>39365</v>
      </c>
      <c r="E20" s="104">
        <f t="shared" si="0"/>
        <v>1945</v>
      </c>
      <c r="F20" s="133">
        <f t="shared" si="4"/>
        <v>1945</v>
      </c>
      <c r="G20" s="13">
        <v>40715</v>
      </c>
      <c r="H20" s="13">
        <f t="shared" ref="H20:H23" si="8">G19</f>
        <v>40274</v>
      </c>
      <c r="I20" s="13">
        <v>41310</v>
      </c>
      <c r="J20" s="13">
        <v>41310</v>
      </c>
      <c r="K20" s="1">
        <f t="shared" si="1"/>
        <v>1350</v>
      </c>
      <c r="L20" s="1">
        <f t="shared" si="2"/>
        <v>441</v>
      </c>
      <c r="M20" s="1">
        <f t="shared" si="3"/>
        <v>595</v>
      </c>
      <c r="N20" s="1">
        <f t="shared" si="5"/>
        <v>595</v>
      </c>
      <c r="O20" s="98" t="s">
        <v>417</v>
      </c>
      <c r="P20" s="98">
        <v>5.37</v>
      </c>
      <c r="Q20" s="1">
        <v>1</v>
      </c>
      <c r="R20" s="1">
        <v>1</v>
      </c>
      <c r="S20" s="1">
        <v>1</v>
      </c>
      <c r="T20" s="1">
        <v>1</v>
      </c>
      <c r="U20" s="1" t="s">
        <v>437</v>
      </c>
      <c r="V20" s="1"/>
      <c r="W20" s="1"/>
      <c r="X20" s="1"/>
      <c r="Y20" s="1"/>
      <c r="Z20" s="98">
        <v>4</v>
      </c>
      <c r="AA20" s="98">
        <v>97</v>
      </c>
      <c r="AB20" s="98">
        <v>97</v>
      </c>
      <c r="AC20" s="1"/>
      <c r="AD20" s="1"/>
      <c r="AE20" s="12">
        <v>60</v>
      </c>
      <c r="AF20" s="1" t="s">
        <v>434</v>
      </c>
      <c r="AG20" s="1">
        <v>2.5</v>
      </c>
      <c r="AH20" s="1">
        <v>0.35</v>
      </c>
      <c r="AI20" s="172">
        <v>2.5</v>
      </c>
      <c r="AJ20" s="12">
        <v>0.35</v>
      </c>
      <c r="AK20" s="12">
        <v>2</v>
      </c>
      <c r="AL20" s="12">
        <v>0.35</v>
      </c>
      <c r="AM20" s="82">
        <v>0</v>
      </c>
    </row>
    <row r="21" spans="1:39" ht="14.5" x14ac:dyDescent="0.35">
      <c r="A21" s="173" t="s">
        <v>30</v>
      </c>
      <c r="B21" s="1">
        <v>3</v>
      </c>
      <c r="C21" s="1" t="s">
        <v>418</v>
      </c>
      <c r="D21" s="13">
        <v>39365</v>
      </c>
      <c r="E21" s="104">
        <f t="shared" si="0"/>
        <v>1945</v>
      </c>
      <c r="F21" s="133">
        <f t="shared" si="4"/>
        <v>1945</v>
      </c>
      <c r="G21" s="13">
        <v>40940</v>
      </c>
      <c r="H21" s="13">
        <f t="shared" si="8"/>
        <v>40715</v>
      </c>
      <c r="I21" s="13">
        <v>41310</v>
      </c>
      <c r="J21" s="13">
        <v>41310</v>
      </c>
      <c r="K21" s="1">
        <f t="shared" si="1"/>
        <v>1575</v>
      </c>
      <c r="L21" s="1">
        <f t="shared" si="2"/>
        <v>225</v>
      </c>
      <c r="M21" s="1">
        <f t="shared" si="3"/>
        <v>370</v>
      </c>
      <c r="N21" s="1">
        <f t="shared" si="5"/>
        <v>370</v>
      </c>
      <c r="O21" s="98" t="s">
        <v>417</v>
      </c>
      <c r="P21" s="98">
        <v>5.2</v>
      </c>
      <c r="Q21" s="1">
        <v>0</v>
      </c>
      <c r="R21" s="1">
        <v>1</v>
      </c>
      <c r="S21" s="1">
        <v>1</v>
      </c>
      <c r="T21" s="1">
        <v>1</v>
      </c>
      <c r="U21" s="1" t="s">
        <v>438</v>
      </c>
      <c r="V21" s="1"/>
      <c r="W21" s="1"/>
      <c r="X21" s="1"/>
      <c r="Y21" s="1"/>
      <c r="Z21" s="98">
        <v>20</v>
      </c>
      <c r="AA21" s="98">
        <v>93</v>
      </c>
      <c r="AB21" s="98">
        <v>93</v>
      </c>
      <c r="AC21" s="1"/>
      <c r="AD21" s="1"/>
      <c r="AE21" s="12">
        <v>60</v>
      </c>
      <c r="AF21" s="1" t="s">
        <v>434</v>
      </c>
      <c r="AG21" s="1">
        <v>2.5</v>
      </c>
      <c r="AH21" s="1">
        <v>0.35</v>
      </c>
      <c r="AI21" s="172">
        <v>2.5</v>
      </c>
      <c r="AJ21" s="12">
        <v>0.35</v>
      </c>
      <c r="AK21" s="12">
        <v>2</v>
      </c>
      <c r="AL21" s="12">
        <v>0.35</v>
      </c>
      <c r="AM21" s="82">
        <v>0</v>
      </c>
    </row>
    <row r="22" spans="1:39" ht="14.5" x14ac:dyDescent="0.35">
      <c r="A22" s="173" t="s">
        <v>30</v>
      </c>
      <c r="B22" s="1">
        <v>3</v>
      </c>
      <c r="C22" s="1" t="s">
        <v>418</v>
      </c>
      <c r="D22" s="13">
        <v>39365</v>
      </c>
      <c r="E22" s="104">
        <f t="shared" si="0"/>
        <v>1945</v>
      </c>
      <c r="F22" s="133">
        <f t="shared" si="4"/>
        <v>1945</v>
      </c>
      <c r="G22" s="13">
        <v>41107</v>
      </c>
      <c r="H22" s="13">
        <f t="shared" si="8"/>
        <v>40940</v>
      </c>
      <c r="I22" s="13">
        <v>41310</v>
      </c>
      <c r="J22" s="13">
        <v>41310</v>
      </c>
      <c r="K22" s="1">
        <f t="shared" si="1"/>
        <v>1742</v>
      </c>
      <c r="L22" s="1">
        <f t="shared" si="2"/>
        <v>167</v>
      </c>
      <c r="M22" s="1">
        <f t="shared" si="3"/>
        <v>203</v>
      </c>
      <c r="N22" s="1">
        <f t="shared" si="5"/>
        <v>203</v>
      </c>
      <c r="O22" s="98" t="s">
        <v>417</v>
      </c>
      <c r="P22" s="98">
        <v>5.15</v>
      </c>
      <c r="Q22" s="1">
        <v>0</v>
      </c>
      <c r="R22" s="1">
        <v>0</v>
      </c>
      <c r="S22" s="1">
        <v>1</v>
      </c>
      <c r="T22" s="1">
        <v>1</v>
      </c>
      <c r="U22" s="1" t="s">
        <v>439</v>
      </c>
      <c r="V22" s="1"/>
      <c r="W22" s="1"/>
      <c r="X22" s="1"/>
      <c r="Y22" s="1"/>
      <c r="Z22" s="98">
        <v>14</v>
      </c>
      <c r="AA22" s="98">
        <v>79</v>
      </c>
      <c r="AB22" s="98">
        <v>79</v>
      </c>
      <c r="AC22" s="1"/>
      <c r="AD22" s="1"/>
      <c r="AE22" s="12">
        <v>60</v>
      </c>
      <c r="AF22" s="1" t="s">
        <v>434</v>
      </c>
      <c r="AG22" s="1">
        <v>2.5</v>
      </c>
      <c r="AH22" s="1">
        <v>0.35</v>
      </c>
      <c r="AI22" s="172">
        <v>2.5</v>
      </c>
      <c r="AJ22" s="12">
        <v>0.35</v>
      </c>
      <c r="AK22" s="12">
        <v>2</v>
      </c>
      <c r="AL22" s="12">
        <v>0.35</v>
      </c>
      <c r="AM22" s="82">
        <v>0</v>
      </c>
    </row>
    <row r="23" spans="1:39" ht="14.5" x14ac:dyDescent="0.35">
      <c r="A23" s="173" t="s">
        <v>30</v>
      </c>
      <c r="B23" s="1">
        <v>3</v>
      </c>
      <c r="C23" s="1" t="s">
        <v>418</v>
      </c>
      <c r="D23" s="13">
        <v>39365</v>
      </c>
      <c r="E23" s="104">
        <f t="shared" si="0"/>
        <v>1945</v>
      </c>
      <c r="F23" s="133">
        <f t="shared" si="4"/>
        <v>1945</v>
      </c>
      <c r="G23" s="13">
        <v>41310</v>
      </c>
      <c r="H23" s="13">
        <f t="shared" si="8"/>
        <v>41107</v>
      </c>
      <c r="I23" s="13">
        <v>41310</v>
      </c>
      <c r="J23" s="13">
        <v>41310</v>
      </c>
      <c r="K23" s="1">
        <f t="shared" si="1"/>
        <v>1945</v>
      </c>
      <c r="L23" s="1">
        <f t="shared" si="2"/>
        <v>203</v>
      </c>
      <c r="M23" s="1">
        <f t="shared" si="3"/>
        <v>0</v>
      </c>
      <c r="N23" s="1">
        <f t="shared" si="5"/>
        <v>0</v>
      </c>
      <c r="O23" s="98" t="s">
        <v>417</v>
      </c>
      <c r="P23" s="98">
        <v>5.14</v>
      </c>
      <c r="Q23" s="19"/>
      <c r="R23" s="19"/>
      <c r="S23" s="19"/>
      <c r="T23" s="19"/>
      <c r="U23" s="83"/>
      <c r="V23" s="1"/>
      <c r="W23" s="1"/>
      <c r="X23" s="1"/>
      <c r="Y23" s="1"/>
      <c r="Z23" s="98">
        <v>7</v>
      </c>
      <c r="AA23" s="98">
        <v>98</v>
      </c>
      <c r="AB23" s="98">
        <v>98</v>
      </c>
      <c r="AC23" s="1"/>
      <c r="AD23" s="1"/>
      <c r="AE23" s="12">
        <v>60</v>
      </c>
      <c r="AF23" s="1" t="s">
        <v>434</v>
      </c>
      <c r="AG23" s="1">
        <v>2.5</v>
      </c>
      <c r="AH23" s="1">
        <v>0.35</v>
      </c>
      <c r="AI23" s="172">
        <v>2.5</v>
      </c>
      <c r="AJ23" s="12">
        <v>0.35</v>
      </c>
      <c r="AK23" s="12">
        <v>2</v>
      </c>
      <c r="AL23" s="12">
        <v>0.35</v>
      </c>
      <c r="AM23" s="82">
        <v>0</v>
      </c>
    </row>
    <row r="24" spans="1:39" ht="14.5" x14ac:dyDescent="0.35">
      <c r="A24" s="190" t="s">
        <v>32</v>
      </c>
      <c r="B24" s="1">
        <v>3</v>
      </c>
      <c r="C24" s="1" t="s">
        <v>418</v>
      </c>
      <c r="D24" s="13">
        <v>39511</v>
      </c>
      <c r="E24" s="174">
        <f t="shared" si="0"/>
        <v>2474</v>
      </c>
      <c r="F24" s="133"/>
      <c r="G24" s="13">
        <v>40239</v>
      </c>
      <c r="H24" s="13">
        <v>39511</v>
      </c>
      <c r="I24" s="13">
        <v>41985</v>
      </c>
      <c r="J24" s="13"/>
      <c r="K24" s="1">
        <f t="shared" si="1"/>
        <v>728</v>
      </c>
      <c r="L24" s="1">
        <f t="shared" si="2"/>
        <v>728</v>
      </c>
      <c r="M24" s="216">
        <f t="shared" si="3"/>
        <v>1746</v>
      </c>
      <c r="N24" s="1"/>
      <c r="O24" s="98" t="s">
        <v>417</v>
      </c>
      <c r="P24" s="98">
        <v>6.36</v>
      </c>
      <c r="Q24" s="1">
        <f t="shared" ref="Q24" si="9">IF(M24&gt;=540,1,"nulo")</f>
        <v>1</v>
      </c>
      <c r="R24" s="1">
        <f t="shared" ref="R24" si="10">IF(M24&gt;=360,1,"nulo")</f>
        <v>1</v>
      </c>
      <c r="S24" s="1">
        <f t="shared" ref="S24" si="11">IF(M24&gt;=180,1,"nulo")</f>
        <v>1</v>
      </c>
      <c r="T24" s="1">
        <f t="shared" ref="T24" si="12">IF(M24&gt;=90,1,"nulo")</f>
        <v>1</v>
      </c>
      <c r="U24" s="1" t="s">
        <v>437</v>
      </c>
      <c r="V24" s="1"/>
      <c r="W24" s="1"/>
      <c r="X24" s="1"/>
      <c r="Y24" s="1"/>
      <c r="Z24" s="98">
        <v>2</v>
      </c>
      <c r="AA24" s="98">
        <v>99</v>
      </c>
      <c r="AB24" s="98">
        <v>99</v>
      </c>
      <c r="AC24" s="1"/>
      <c r="AD24" s="1"/>
      <c r="AE24" s="12">
        <v>60</v>
      </c>
      <c r="AF24" s="1" t="s">
        <v>434</v>
      </c>
      <c r="AG24" s="1">
        <v>2</v>
      </c>
      <c r="AH24" s="1">
        <v>0.35</v>
      </c>
      <c r="AI24" s="172">
        <v>2</v>
      </c>
      <c r="AJ24" s="12">
        <v>0.35</v>
      </c>
      <c r="AK24" s="172">
        <v>2.5</v>
      </c>
      <c r="AL24" s="12">
        <v>0.35</v>
      </c>
      <c r="AM24" s="82">
        <v>258</v>
      </c>
    </row>
    <row r="25" spans="1:39" ht="14.5" x14ac:dyDescent="0.35">
      <c r="A25" s="190" t="s">
        <v>32</v>
      </c>
      <c r="B25" s="1">
        <v>3</v>
      </c>
      <c r="C25" s="1" t="s">
        <v>418</v>
      </c>
      <c r="D25" s="13">
        <v>39511</v>
      </c>
      <c r="E25" s="174">
        <f t="shared" si="0"/>
        <v>2474</v>
      </c>
      <c r="F25" s="133"/>
      <c r="G25" s="13">
        <v>40696</v>
      </c>
      <c r="H25" s="13">
        <f>G24</f>
        <v>40239</v>
      </c>
      <c r="I25" s="13">
        <v>41985</v>
      </c>
      <c r="J25" s="13"/>
      <c r="K25" s="1">
        <f t="shared" si="1"/>
        <v>1185</v>
      </c>
      <c r="L25" s="1">
        <f t="shared" si="2"/>
        <v>457</v>
      </c>
      <c r="M25" s="216">
        <f t="shared" si="3"/>
        <v>1289</v>
      </c>
      <c r="N25" s="1"/>
      <c r="O25" s="98" t="s">
        <v>417</v>
      </c>
      <c r="P25" s="98">
        <v>5.83</v>
      </c>
      <c r="Q25" s="1">
        <f t="shared" ref="Q25:Q29" si="13">IF(M25&gt;=540,1,"nulo")</f>
        <v>1</v>
      </c>
      <c r="R25" s="1">
        <f t="shared" ref="R25:R31" si="14">IF(M25&gt;=360,1,"nulo")</f>
        <v>1</v>
      </c>
      <c r="S25" s="1">
        <f t="shared" ref="S25:S32" si="15">IF(M25&gt;=180,1,"nulo")</f>
        <v>1</v>
      </c>
      <c r="T25" s="1">
        <f t="shared" ref="T25:T32" si="16">IF(M25&gt;=90,1,"nulo")</f>
        <v>1</v>
      </c>
      <c r="U25" s="1" t="s">
        <v>437</v>
      </c>
      <c r="V25" s="1"/>
      <c r="W25" s="1"/>
      <c r="X25" s="1"/>
      <c r="Y25" s="1"/>
      <c r="Z25" s="98">
        <v>4</v>
      </c>
      <c r="AA25" s="98">
        <v>99</v>
      </c>
      <c r="AB25" s="98">
        <v>99</v>
      </c>
      <c r="AC25" s="1"/>
      <c r="AD25" s="1"/>
      <c r="AE25" s="12">
        <v>60</v>
      </c>
      <c r="AF25" s="1" t="s">
        <v>434</v>
      </c>
      <c r="AG25" s="1">
        <v>2</v>
      </c>
      <c r="AH25" s="1">
        <v>0.35</v>
      </c>
      <c r="AI25" s="172">
        <v>2</v>
      </c>
      <c r="AJ25" s="12">
        <v>0.35</v>
      </c>
      <c r="AK25" s="172">
        <v>2.5</v>
      </c>
      <c r="AL25" s="12">
        <v>0.35</v>
      </c>
      <c r="AM25" s="82">
        <v>0</v>
      </c>
    </row>
    <row r="26" spans="1:39" ht="14.5" x14ac:dyDescent="0.35">
      <c r="A26" s="190" t="s">
        <v>32</v>
      </c>
      <c r="B26" s="1">
        <v>3</v>
      </c>
      <c r="C26" s="1" t="s">
        <v>418</v>
      </c>
      <c r="D26" s="13">
        <v>39511</v>
      </c>
      <c r="E26" s="174">
        <f t="shared" si="0"/>
        <v>2474</v>
      </c>
      <c r="F26" s="133"/>
      <c r="G26" s="13">
        <v>40813</v>
      </c>
      <c r="H26" s="13">
        <f t="shared" ref="H26:H34" si="17">G25</f>
        <v>40696</v>
      </c>
      <c r="I26" s="13">
        <v>41985</v>
      </c>
      <c r="J26" s="13"/>
      <c r="K26" s="1">
        <f t="shared" si="1"/>
        <v>1302</v>
      </c>
      <c r="L26" s="1">
        <f t="shared" si="2"/>
        <v>117</v>
      </c>
      <c r="M26" s="216">
        <f t="shared" si="3"/>
        <v>1172</v>
      </c>
      <c r="N26" s="1"/>
      <c r="O26" s="98" t="s">
        <v>417</v>
      </c>
      <c r="P26" s="98">
        <v>5.75</v>
      </c>
      <c r="Q26" s="1">
        <f t="shared" si="13"/>
        <v>1</v>
      </c>
      <c r="R26" s="1">
        <f t="shared" si="14"/>
        <v>1</v>
      </c>
      <c r="S26" s="1">
        <f t="shared" si="15"/>
        <v>1</v>
      </c>
      <c r="T26" s="1">
        <f t="shared" si="16"/>
        <v>1</v>
      </c>
      <c r="U26" s="1" t="s">
        <v>437</v>
      </c>
      <c r="V26" s="1"/>
      <c r="W26" s="1"/>
      <c r="X26" s="1"/>
      <c r="Y26" s="1"/>
      <c r="Z26" s="98">
        <v>14</v>
      </c>
      <c r="AA26" s="98">
        <v>98</v>
      </c>
      <c r="AB26" s="98">
        <v>98</v>
      </c>
      <c r="AC26" s="1"/>
      <c r="AD26" s="1"/>
      <c r="AE26" s="12">
        <v>60</v>
      </c>
      <c r="AF26" s="1" t="s">
        <v>434</v>
      </c>
      <c r="AG26" s="1">
        <v>2</v>
      </c>
      <c r="AH26" s="1">
        <v>0.35</v>
      </c>
      <c r="AI26" s="172">
        <v>2</v>
      </c>
      <c r="AJ26" s="12">
        <v>0.35</v>
      </c>
      <c r="AK26" s="172">
        <v>2.5</v>
      </c>
      <c r="AL26" s="12">
        <v>0.35</v>
      </c>
      <c r="AM26" s="82">
        <v>0</v>
      </c>
    </row>
    <row r="27" spans="1:39" ht="14.5" x14ac:dyDescent="0.35">
      <c r="A27" s="190" t="s">
        <v>32</v>
      </c>
      <c r="B27" s="1">
        <v>3</v>
      </c>
      <c r="C27" s="1" t="s">
        <v>418</v>
      </c>
      <c r="D27" s="13">
        <v>39511</v>
      </c>
      <c r="E27" s="174">
        <f t="shared" si="0"/>
        <v>2474</v>
      </c>
      <c r="F27" s="133"/>
      <c r="G27" s="13">
        <v>41121</v>
      </c>
      <c r="H27" s="13">
        <f t="shared" si="17"/>
        <v>40813</v>
      </c>
      <c r="I27" s="13">
        <v>41985</v>
      </c>
      <c r="J27" s="13"/>
      <c r="K27" s="1">
        <f t="shared" si="1"/>
        <v>1610</v>
      </c>
      <c r="L27" s="1">
        <f t="shared" si="2"/>
        <v>308</v>
      </c>
      <c r="M27" s="216">
        <f t="shared" si="3"/>
        <v>864</v>
      </c>
      <c r="N27" s="1"/>
      <c r="O27" s="98" t="s">
        <v>417</v>
      </c>
      <c r="P27" s="98">
        <v>5.25</v>
      </c>
      <c r="Q27" s="1">
        <f t="shared" si="13"/>
        <v>1</v>
      </c>
      <c r="R27" s="1">
        <f t="shared" si="14"/>
        <v>1</v>
      </c>
      <c r="S27" s="1">
        <f t="shared" si="15"/>
        <v>1</v>
      </c>
      <c r="T27" s="1">
        <f t="shared" si="16"/>
        <v>1</v>
      </c>
      <c r="U27" s="1" t="s">
        <v>437</v>
      </c>
      <c r="V27" s="1"/>
      <c r="W27" s="1"/>
      <c r="X27" s="1"/>
      <c r="Y27" s="1"/>
      <c r="Z27" s="98">
        <v>6</v>
      </c>
      <c r="AA27" s="98">
        <v>98</v>
      </c>
      <c r="AB27" s="98">
        <v>98</v>
      </c>
      <c r="AC27" s="1"/>
      <c r="AD27" s="1"/>
      <c r="AE27" s="12">
        <v>60</v>
      </c>
      <c r="AF27" s="1" t="s">
        <v>434</v>
      </c>
      <c r="AG27" s="1">
        <v>2</v>
      </c>
      <c r="AH27" s="1">
        <v>0.35</v>
      </c>
      <c r="AI27" s="172">
        <v>2</v>
      </c>
      <c r="AJ27" s="12">
        <v>0.35</v>
      </c>
      <c r="AK27" s="172">
        <v>2.5</v>
      </c>
      <c r="AL27" s="12">
        <v>0.35</v>
      </c>
      <c r="AM27" s="82">
        <v>0</v>
      </c>
    </row>
    <row r="28" spans="1:39" ht="14.5" x14ac:dyDescent="0.35">
      <c r="A28" s="190" t="s">
        <v>32</v>
      </c>
      <c r="B28" s="1">
        <v>3</v>
      </c>
      <c r="C28" s="1" t="s">
        <v>418</v>
      </c>
      <c r="D28" s="13">
        <v>39511</v>
      </c>
      <c r="E28" s="174">
        <f t="shared" si="0"/>
        <v>2474</v>
      </c>
      <c r="F28" s="133"/>
      <c r="G28" s="13">
        <v>41212</v>
      </c>
      <c r="H28" s="13">
        <f t="shared" si="17"/>
        <v>41121</v>
      </c>
      <c r="I28" s="13">
        <v>41985</v>
      </c>
      <c r="J28" s="13"/>
      <c r="K28" s="1">
        <f t="shared" si="1"/>
        <v>1701</v>
      </c>
      <c r="L28" s="1">
        <f t="shared" si="2"/>
        <v>91</v>
      </c>
      <c r="M28" s="216">
        <f t="shared" si="3"/>
        <v>773</v>
      </c>
      <c r="N28" s="1"/>
      <c r="O28" s="98" t="s">
        <v>417</v>
      </c>
      <c r="P28" s="98">
        <v>5.2</v>
      </c>
      <c r="Q28" s="1">
        <f t="shared" si="13"/>
        <v>1</v>
      </c>
      <c r="R28" s="1">
        <f t="shared" si="14"/>
        <v>1</v>
      </c>
      <c r="S28" s="1">
        <f t="shared" si="15"/>
        <v>1</v>
      </c>
      <c r="T28" s="1">
        <f t="shared" si="16"/>
        <v>1</v>
      </c>
      <c r="U28" s="1" t="s">
        <v>437</v>
      </c>
      <c r="V28" s="1"/>
      <c r="W28" s="1"/>
      <c r="X28" s="1"/>
      <c r="Y28" s="1"/>
      <c r="Z28" s="98">
        <v>6</v>
      </c>
      <c r="AA28" s="98">
        <v>98</v>
      </c>
      <c r="AB28" s="98">
        <v>98</v>
      </c>
      <c r="AC28" s="1"/>
      <c r="AD28" s="1"/>
      <c r="AE28" s="12">
        <v>60</v>
      </c>
      <c r="AF28" s="1" t="s">
        <v>434</v>
      </c>
      <c r="AG28" s="1">
        <v>2</v>
      </c>
      <c r="AH28" s="1">
        <v>0.35</v>
      </c>
      <c r="AI28" s="172">
        <v>2</v>
      </c>
      <c r="AJ28" s="12">
        <v>0.35</v>
      </c>
      <c r="AK28" s="172">
        <v>2.5</v>
      </c>
      <c r="AL28" s="12">
        <v>0.35</v>
      </c>
      <c r="AM28" s="82">
        <v>0</v>
      </c>
    </row>
    <row r="29" spans="1:39" ht="14.5" x14ac:dyDescent="0.35">
      <c r="A29" s="190" t="s">
        <v>32</v>
      </c>
      <c r="B29" s="1">
        <v>3</v>
      </c>
      <c r="C29" s="1" t="s">
        <v>418</v>
      </c>
      <c r="D29" s="13">
        <v>39511</v>
      </c>
      <c r="E29" s="174">
        <f t="shared" si="0"/>
        <v>2474</v>
      </c>
      <c r="F29" s="133"/>
      <c r="G29" s="13">
        <v>41324</v>
      </c>
      <c r="H29" s="13">
        <f t="shared" si="17"/>
        <v>41212</v>
      </c>
      <c r="I29" s="13">
        <v>41985</v>
      </c>
      <c r="J29" s="13"/>
      <c r="K29" s="1">
        <f t="shared" si="1"/>
        <v>1813</v>
      </c>
      <c r="L29" s="1">
        <f t="shared" si="2"/>
        <v>112</v>
      </c>
      <c r="M29" s="216">
        <f t="shared" si="3"/>
        <v>661</v>
      </c>
      <c r="N29" s="1"/>
      <c r="O29" s="98" t="s">
        <v>417</v>
      </c>
      <c r="P29" s="98">
        <v>5.17</v>
      </c>
      <c r="Q29" s="1">
        <f t="shared" si="13"/>
        <v>1</v>
      </c>
      <c r="R29" s="1">
        <f t="shared" si="14"/>
        <v>1</v>
      </c>
      <c r="S29" s="1">
        <f t="shared" si="15"/>
        <v>1</v>
      </c>
      <c r="T29" s="1">
        <f t="shared" si="16"/>
        <v>1</v>
      </c>
      <c r="U29" s="1" t="s">
        <v>437</v>
      </c>
      <c r="V29" s="1"/>
      <c r="W29" s="1"/>
      <c r="X29" s="1"/>
      <c r="Y29" s="1"/>
      <c r="Z29" s="98">
        <v>2</v>
      </c>
      <c r="AA29" s="98">
        <v>99</v>
      </c>
      <c r="AB29" s="98">
        <v>99</v>
      </c>
      <c r="AC29" s="1"/>
      <c r="AD29" s="1"/>
      <c r="AE29" s="12">
        <v>60</v>
      </c>
      <c r="AF29" s="1" t="s">
        <v>434</v>
      </c>
      <c r="AG29" s="1">
        <v>2</v>
      </c>
      <c r="AH29" s="1">
        <v>0.35</v>
      </c>
      <c r="AI29" s="172">
        <v>2</v>
      </c>
      <c r="AJ29" s="12">
        <v>0.35</v>
      </c>
      <c r="AK29" s="172">
        <v>2.5</v>
      </c>
      <c r="AL29" s="12">
        <v>0.35</v>
      </c>
      <c r="AM29" s="82">
        <v>0</v>
      </c>
    </row>
    <row r="30" spans="1:39" ht="14.5" x14ac:dyDescent="0.35">
      <c r="A30" s="190" t="s">
        <v>32</v>
      </c>
      <c r="B30" s="1">
        <v>3</v>
      </c>
      <c r="C30" s="1" t="s">
        <v>418</v>
      </c>
      <c r="D30" s="13">
        <v>39511</v>
      </c>
      <c r="E30" s="174">
        <f t="shared" si="0"/>
        <v>2474</v>
      </c>
      <c r="F30" s="133"/>
      <c r="G30" s="13">
        <v>41450</v>
      </c>
      <c r="H30" s="13">
        <f t="shared" si="17"/>
        <v>41324</v>
      </c>
      <c r="I30" s="13">
        <v>41985</v>
      </c>
      <c r="J30" s="13"/>
      <c r="K30" s="1">
        <f t="shared" si="1"/>
        <v>1939</v>
      </c>
      <c r="L30" s="1">
        <f t="shared" si="2"/>
        <v>126</v>
      </c>
      <c r="M30" s="216">
        <f t="shared" si="3"/>
        <v>535</v>
      </c>
      <c r="N30" s="1"/>
      <c r="O30" s="98" t="s">
        <v>417</v>
      </c>
      <c r="P30" s="98">
        <v>5.15</v>
      </c>
      <c r="Q30" s="1"/>
      <c r="R30" s="1">
        <f t="shared" si="14"/>
        <v>1</v>
      </c>
      <c r="S30" s="1">
        <f t="shared" si="15"/>
        <v>1</v>
      </c>
      <c r="T30" s="1">
        <f t="shared" si="16"/>
        <v>1</v>
      </c>
      <c r="U30" s="1"/>
      <c r="V30" s="1"/>
      <c r="W30" s="1"/>
      <c r="X30" s="1"/>
      <c r="Y30" s="1"/>
      <c r="Z30" s="98">
        <v>2</v>
      </c>
      <c r="AA30" s="98">
        <v>99</v>
      </c>
      <c r="AB30" s="98">
        <v>99</v>
      </c>
      <c r="AC30" s="1"/>
      <c r="AD30" s="1"/>
      <c r="AE30" s="12">
        <v>60</v>
      </c>
      <c r="AF30" s="1" t="s">
        <v>434</v>
      </c>
      <c r="AG30" s="1">
        <v>2</v>
      </c>
      <c r="AH30" s="1">
        <v>0.35</v>
      </c>
      <c r="AI30" s="172">
        <v>2</v>
      </c>
      <c r="AJ30" s="12">
        <v>0.35</v>
      </c>
      <c r="AK30" s="172">
        <v>2.5</v>
      </c>
      <c r="AL30" s="12">
        <v>0.35</v>
      </c>
      <c r="AM30" s="82">
        <v>0</v>
      </c>
    </row>
    <row r="31" spans="1:39" ht="14.5" x14ac:dyDescent="0.35">
      <c r="A31" s="190" t="s">
        <v>32</v>
      </c>
      <c r="B31" s="1">
        <v>3</v>
      </c>
      <c r="C31" s="1" t="s">
        <v>418</v>
      </c>
      <c r="D31" s="13">
        <v>39511</v>
      </c>
      <c r="E31" s="174">
        <f t="shared" si="0"/>
        <v>2474</v>
      </c>
      <c r="F31" s="133"/>
      <c r="G31" s="13">
        <v>41528</v>
      </c>
      <c r="H31" s="13">
        <f t="shared" si="17"/>
        <v>41450</v>
      </c>
      <c r="I31" s="13">
        <v>41985</v>
      </c>
      <c r="J31" s="13"/>
      <c r="K31" s="1">
        <f t="shared" si="1"/>
        <v>2017</v>
      </c>
      <c r="L31" s="1">
        <f t="shared" si="2"/>
        <v>78</v>
      </c>
      <c r="M31" s="216">
        <f t="shared" si="3"/>
        <v>457</v>
      </c>
      <c r="N31" s="1"/>
      <c r="O31" s="98" t="s">
        <v>417</v>
      </c>
      <c r="P31" s="98">
        <v>5.15</v>
      </c>
      <c r="Q31" s="1"/>
      <c r="R31" s="1">
        <f t="shared" si="14"/>
        <v>1</v>
      </c>
      <c r="S31" s="1">
        <f t="shared" si="15"/>
        <v>1</v>
      </c>
      <c r="T31" s="1">
        <f t="shared" si="16"/>
        <v>1</v>
      </c>
      <c r="U31" s="1"/>
      <c r="V31" s="1"/>
      <c r="W31" s="1"/>
      <c r="X31" s="1"/>
      <c r="Y31" s="1"/>
      <c r="Z31" s="98">
        <v>3</v>
      </c>
      <c r="AA31" s="98">
        <v>100</v>
      </c>
      <c r="AB31" s="98">
        <v>100</v>
      </c>
      <c r="AC31" s="1"/>
      <c r="AD31" s="1"/>
      <c r="AE31" s="12">
        <v>60</v>
      </c>
      <c r="AF31" s="1" t="s">
        <v>434</v>
      </c>
      <c r="AG31" s="1">
        <v>2</v>
      </c>
      <c r="AH31" s="1">
        <v>0.35</v>
      </c>
      <c r="AI31" s="172">
        <v>2</v>
      </c>
      <c r="AJ31" s="12">
        <v>0.35</v>
      </c>
      <c r="AK31" s="172">
        <v>2.5</v>
      </c>
      <c r="AL31" s="12">
        <v>0.35</v>
      </c>
      <c r="AM31" s="82">
        <v>132</v>
      </c>
    </row>
    <row r="32" spans="1:39" ht="14.5" x14ac:dyDescent="0.35">
      <c r="A32" s="190" t="s">
        <v>32</v>
      </c>
      <c r="B32" s="1">
        <v>3</v>
      </c>
      <c r="C32" s="1" t="s">
        <v>418</v>
      </c>
      <c r="D32" s="13">
        <v>39511</v>
      </c>
      <c r="E32" s="174">
        <f t="shared" si="0"/>
        <v>2474</v>
      </c>
      <c r="F32" s="133"/>
      <c r="G32" s="13">
        <v>41695</v>
      </c>
      <c r="H32" s="13">
        <f t="shared" si="17"/>
        <v>41528</v>
      </c>
      <c r="I32" s="13">
        <v>41985</v>
      </c>
      <c r="J32" s="13"/>
      <c r="K32" s="1">
        <f t="shared" si="1"/>
        <v>2184</v>
      </c>
      <c r="L32" s="1">
        <f t="shared" si="2"/>
        <v>167</v>
      </c>
      <c r="M32" s="216">
        <f t="shared" si="3"/>
        <v>290</v>
      </c>
      <c r="N32" s="1"/>
      <c r="O32" s="98" t="s">
        <v>417</v>
      </c>
      <c r="P32" s="98">
        <v>5.14</v>
      </c>
      <c r="Q32" s="1"/>
      <c r="R32" s="1"/>
      <c r="S32" s="1">
        <f t="shared" si="15"/>
        <v>1</v>
      </c>
      <c r="T32" s="1">
        <f t="shared" si="16"/>
        <v>1</v>
      </c>
      <c r="U32" s="1"/>
      <c r="V32" s="1"/>
      <c r="W32" s="1"/>
      <c r="X32" s="1"/>
      <c r="Y32" s="1"/>
      <c r="Z32" s="98">
        <v>2</v>
      </c>
      <c r="AA32" s="98">
        <v>99</v>
      </c>
      <c r="AB32" s="98">
        <v>99</v>
      </c>
      <c r="AC32" s="1"/>
      <c r="AD32" s="1"/>
      <c r="AE32" s="12">
        <v>60</v>
      </c>
      <c r="AF32" s="1" t="s">
        <v>434</v>
      </c>
      <c r="AG32" s="1">
        <v>2</v>
      </c>
      <c r="AH32" s="1">
        <v>0.35</v>
      </c>
      <c r="AI32" s="172">
        <v>2</v>
      </c>
      <c r="AJ32" s="12">
        <v>0.35</v>
      </c>
      <c r="AK32" s="172">
        <v>2.5</v>
      </c>
      <c r="AL32" s="12">
        <v>0.35</v>
      </c>
      <c r="AM32" s="82">
        <v>542</v>
      </c>
    </row>
    <row r="33" spans="1:39" ht="14.5" x14ac:dyDescent="0.35">
      <c r="A33" s="190" t="s">
        <v>32</v>
      </c>
      <c r="B33" s="1">
        <v>3</v>
      </c>
      <c r="C33" s="1" t="s">
        <v>418</v>
      </c>
      <c r="D33" s="13">
        <v>39511</v>
      </c>
      <c r="E33" s="174">
        <f t="shared" si="0"/>
        <v>2474</v>
      </c>
      <c r="F33" s="133"/>
      <c r="G33" s="13">
        <v>41905</v>
      </c>
      <c r="H33" s="13">
        <f t="shared" si="17"/>
        <v>41695</v>
      </c>
      <c r="I33" s="13">
        <v>41985</v>
      </c>
      <c r="J33" s="13"/>
      <c r="K33" s="1">
        <f t="shared" si="1"/>
        <v>2394</v>
      </c>
      <c r="L33" s="1">
        <f t="shared" si="2"/>
        <v>210</v>
      </c>
      <c r="M33" s="216">
        <f t="shared" si="3"/>
        <v>80</v>
      </c>
      <c r="N33" s="1"/>
      <c r="O33" s="98" t="s">
        <v>417</v>
      </c>
      <c r="P33" s="98">
        <v>5.0999999999999996</v>
      </c>
      <c r="Q33" s="1"/>
      <c r="R33" s="1"/>
      <c r="S33" s="1"/>
      <c r="T33" s="1"/>
      <c r="U33" s="1"/>
      <c r="V33" s="1"/>
      <c r="W33" s="1"/>
      <c r="X33" s="1"/>
      <c r="Y33" s="1"/>
      <c r="Z33" s="98">
        <v>3</v>
      </c>
      <c r="AA33" s="98">
        <v>99</v>
      </c>
      <c r="AB33" s="98">
        <v>99</v>
      </c>
      <c r="AC33" s="1"/>
      <c r="AD33" s="1"/>
      <c r="AE33" s="12">
        <v>60</v>
      </c>
      <c r="AF33" s="1" t="s">
        <v>434</v>
      </c>
      <c r="AG33" s="1">
        <v>2</v>
      </c>
      <c r="AH33" s="1">
        <v>0.35</v>
      </c>
      <c r="AI33" s="172">
        <v>2</v>
      </c>
      <c r="AJ33" s="12">
        <v>0.35</v>
      </c>
      <c r="AK33" s="172">
        <v>2.5</v>
      </c>
      <c r="AL33" s="12">
        <v>0.35</v>
      </c>
      <c r="AM33" s="82">
        <v>0</v>
      </c>
    </row>
    <row r="34" spans="1:39" ht="14.5" x14ac:dyDescent="0.35">
      <c r="A34" s="190" t="s">
        <v>32</v>
      </c>
      <c r="B34" s="1">
        <v>3</v>
      </c>
      <c r="C34" s="1" t="s">
        <v>418</v>
      </c>
      <c r="D34" s="13">
        <v>39511</v>
      </c>
      <c r="E34" s="174">
        <f t="shared" si="0"/>
        <v>2474</v>
      </c>
      <c r="F34" s="133"/>
      <c r="G34" s="13">
        <v>41985</v>
      </c>
      <c r="H34" s="13">
        <f t="shared" si="17"/>
        <v>41905</v>
      </c>
      <c r="I34" s="13">
        <v>41985</v>
      </c>
      <c r="J34" s="13"/>
      <c r="K34" s="1">
        <f t="shared" si="1"/>
        <v>2474</v>
      </c>
      <c r="L34" s="1">
        <f t="shared" si="2"/>
        <v>80</v>
      </c>
      <c r="M34" s="216">
        <f t="shared" si="3"/>
        <v>0</v>
      </c>
      <c r="N34" s="1"/>
      <c r="O34" s="98" t="s">
        <v>417</v>
      </c>
      <c r="P34" s="98">
        <v>5.04</v>
      </c>
      <c r="Q34" s="19"/>
      <c r="R34" s="19"/>
      <c r="S34" s="19"/>
      <c r="T34" s="19"/>
      <c r="U34" s="83"/>
      <c r="V34" s="1"/>
      <c r="W34" s="1"/>
      <c r="X34" s="1"/>
      <c r="Y34" s="1"/>
      <c r="Z34" s="98">
        <v>1</v>
      </c>
      <c r="AA34" s="98">
        <v>99</v>
      </c>
      <c r="AB34" s="98">
        <v>99</v>
      </c>
      <c r="AC34" s="1"/>
      <c r="AD34" s="1"/>
      <c r="AE34" s="12">
        <v>60</v>
      </c>
      <c r="AF34" s="1" t="s">
        <v>434</v>
      </c>
      <c r="AG34" s="1">
        <v>2</v>
      </c>
      <c r="AH34" s="1">
        <v>0.35</v>
      </c>
      <c r="AI34" s="172">
        <v>2</v>
      </c>
      <c r="AJ34" s="12">
        <v>0.35</v>
      </c>
      <c r="AK34" s="172">
        <v>2.5</v>
      </c>
      <c r="AL34" s="12">
        <v>0.35</v>
      </c>
      <c r="AM34" s="82">
        <v>162</v>
      </c>
    </row>
    <row r="35" spans="1:39" ht="14.5" x14ac:dyDescent="0.35">
      <c r="A35" s="175" t="s">
        <v>34</v>
      </c>
      <c r="B35" s="1">
        <v>3</v>
      </c>
      <c r="C35" s="1" t="s">
        <v>418</v>
      </c>
      <c r="D35" s="13">
        <v>39644</v>
      </c>
      <c r="E35" s="174">
        <f t="shared" si="0"/>
        <v>1946</v>
      </c>
      <c r="F35" s="133">
        <f t="shared" si="4"/>
        <v>1946</v>
      </c>
      <c r="G35" s="13">
        <v>40190</v>
      </c>
      <c r="H35" s="13">
        <v>39644</v>
      </c>
      <c r="I35" s="13">
        <v>41590</v>
      </c>
      <c r="J35" s="13">
        <v>41590</v>
      </c>
      <c r="K35" s="1">
        <f t="shared" si="1"/>
        <v>546</v>
      </c>
      <c r="L35" s="1">
        <f t="shared" si="2"/>
        <v>546</v>
      </c>
      <c r="M35" s="1">
        <f t="shared" si="3"/>
        <v>1400</v>
      </c>
      <c r="N35" s="1">
        <f t="shared" si="5"/>
        <v>1400</v>
      </c>
      <c r="O35" s="98" t="s">
        <v>417</v>
      </c>
      <c r="P35" s="98">
        <v>6.3</v>
      </c>
      <c r="Q35" s="1">
        <v>1</v>
      </c>
      <c r="R35" s="1">
        <v>1</v>
      </c>
      <c r="S35" s="1">
        <v>1</v>
      </c>
      <c r="T35" s="1">
        <v>1</v>
      </c>
      <c r="U35" s="1" t="s">
        <v>437</v>
      </c>
      <c r="V35" s="1"/>
      <c r="W35" s="1"/>
      <c r="X35" s="1"/>
      <c r="Y35" s="1"/>
      <c r="Z35" s="98">
        <v>0</v>
      </c>
      <c r="AA35" s="98">
        <v>87</v>
      </c>
      <c r="AB35" s="98">
        <v>87</v>
      </c>
      <c r="AC35" s="1"/>
      <c r="AD35" s="1"/>
      <c r="AE35" s="12">
        <v>60</v>
      </c>
      <c r="AF35" s="1" t="s">
        <v>434</v>
      </c>
      <c r="AG35" s="1">
        <v>3.5</v>
      </c>
      <c r="AH35" s="1">
        <v>0.35</v>
      </c>
      <c r="AI35" s="172">
        <v>3</v>
      </c>
      <c r="AJ35" s="172">
        <v>0.5</v>
      </c>
      <c r="AK35" s="172">
        <v>2</v>
      </c>
      <c r="AL35" s="12">
        <v>0.35</v>
      </c>
      <c r="AM35" s="98">
        <v>0</v>
      </c>
    </row>
    <row r="36" spans="1:39" ht="14.5" x14ac:dyDescent="0.35">
      <c r="A36" s="175" t="s">
        <v>34</v>
      </c>
      <c r="B36" s="1">
        <v>3</v>
      </c>
      <c r="C36" s="1" t="s">
        <v>418</v>
      </c>
      <c r="D36" s="13">
        <v>39644</v>
      </c>
      <c r="E36" s="174">
        <f t="shared" si="0"/>
        <v>1946</v>
      </c>
      <c r="F36" s="133">
        <f t="shared" si="4"/>
        <v>1946</v>
      </c>
      <c r="G36" s="13">
        <v>40347</v>
      </c>
      <c r="H36" s="13">
        <f>G35</f>
        <v>40190</v>
      </c>
      <c r="I36" s="13">
        <v>41590</v>
      </c>
      <c r="J36" s="13">
        <v>41590</v>
      </c>
      <c r="K36" s="1">
        <f t="shared" si="1"/>
        <v>703</v>
      </c>
      <c r="L36" s="1">
        <f t="shared" si="2"/>
        <v>157</v>
      </c>
      <c r="M36" s="1">
        <f t="shared" si="3"/>
        <v>1243</v>
      </c>
      <c r="N36" s="1">
        <f t="shared" si="5"/>
        <v>1243</v>
      </c>
      <c r="O36" s="98" t="s">
        <v>417</v>
      </c>
      <c r="P36" s="98">
        <v>6.1</v>
      </c>
      <c r="Q36" s="1">
        <v>1</v>
      </c>
      <c r="R36" s="1">
        <v>1</v>
      </c>
      <c r="S36" s="1">
        <v>1</v>
      </c>
      <c r="T36" s="1">
        <v>1</v>
      </c>
      <c r="U36" s="1" t="s">
        <v>437</v>
      </c>
      <c r="V36" s="1"/>
      <c r="W36" s="1"/>
      <c r="X36" s="1"/>
      <c r="Y36" s="1"/>
      <c r="Z36" s="98">
        <v>0</v>
      </c>
      <c r="AA36" s="98">
        <v>84</v>
      </c>
      <c r="AB36" s="98">
        <v>84</v>
      </c>
      <c r="AC36" s="1"/>
      <c r="AD36" s="1"/>
      <c r="AE36" s="12">
        <v>60</v>
      </c>
      <c r="AF36" s="1" t="s">
        <v>434</v>
      </c>
      <c r="AG36" s="1">
        <v>3.5</v>
      </c>
      <c r="AH36" s="1">
        <v>0.35</v>
      </c>
      <c r="AI36" s="172">
        <v>3</v>
      </c>
      <c r="AJ36" s="172">
        <v>0.5</v>
      </c>
      <c r="AK36" s="172">
        <v>2</v>
      </c>
      <c r="AL36" s="12">
        <v>0.35</v>
      </c>
      <c r="AM36" s="98">
        <v>0</v>
      </c>
    </row>
    <row r="37" spans="1:39" ht="14.5" x14ac:dyDescent="0.35">
      <c r="A37" s="175" t="s">
        <v>34</v>
      </c>
      <c r="B37" s="1">
        <v>3</v>
      </c>
      <c r="C37" s="1" t="s">
        <v>418</v>
      </c>
      <c r="D37" s="13">
        <v>39644</v>
      </c>
      <c r="E37" s="174">
        <f t="shared" si="0"/>
        <v>1946</v>
      </c>
      <c r="F37" s="133">
        <f t="shared" si="4"/>
        <v>1946</v>
      </c>
      <c r="G37" s="13">
        <v>40820</v>
      </c>
      <c r="H37" s="13">
        <f t="shared" ref="H37:H43" si="18">G36</f>
        <v>40347</v>
      </c>
      <c r="I37" s="13">
        <v>41590</v>
      </c>
      <c r="J37" s="13">
        <v>41590</v>
      </c>
      <c r="K37" s="1">
        <f t="shared" si="1"/>
        <v>1176</v>
      </c>
      <c r="L37" s="1">
        <f t="shared" si="2"/>
        <v>473</v>
      </c>
      <c r="M37" s="1">
        <f t="shared" si="3"/>
        <v>770</v>
      </c>
      <c r="N37" s="1">
        <f t="shared" si="5"/>
        <v>770</v>
      </c>
      <c r="O37" s="98" t="s">
        <v>417</v>
      </c>
      <c r="P37" s="98">
        <v>5.22</v>
      </c>
      <c r="Q37" s="1">
        <v>1</v>
      </c>
      <c r="R37" s="1">
        <v>1</v>
      </c>
      <c r="S37" s="1">
        <v>1</v>
      </c>
      <c r="T37" s="1">
        <v>1</v>
      </c>
      <c r="U37" s="1" t="s">
        <v>437</v>
      </c>
      <c r="V37" s="1"/>
      <c r="W37" s="1"/>
      <c r="X37" s="1"/>
      <c r="Y37" s="1"/>
      <c r="Z37" s="98">
        <v>64</v>
      </c>
      <c r="AA37" s="98">
        <v>94</v>
      </c>
      <c r="AB37" s="98">
        <v>94</v>
      </c>
      <c r="AC37" s="1"/>
      <c r="AD37" s="1"/>
      <c r="AE37" s="12">
        <v>60</v>
      </c>
      <c r="AF37" s="1" t="s">
        <v>434</v>
      </c>
      <c r="AG37" s="1">
        <v>3.5</v>
      </c>
      <c r="AH37" s="1">
        <v>0.35</v>
      </c>
      <c r="AI37" s="172">
        <v>3</v>
      </c>
      <c r="AJ37" s="172">
        <v>0.5</v>
      </c>
      <c r="AK37" s="172">
        <v>2.5</v>
      </c>
      <c r="AL37" s="12">
        <v>0.35</v>
      </c>
      <c r="AM37" s="98">
        <v>0</v>
      </c>
    </row>
    <row r="38" spans="1:39" ht="14.5" x14ac:dyDescent="0.35">
      <c r="A38" s="175" t="s">
        <v>34</v>
      </c>
      <c r="B38" s="1">
        <v>3</v>
      </c>
      <c r="C38" s="1" t="s">
        <v>418</v>
      </c>
      <c r="D38" s="13">
        <v>39644</v>
      </c>
      <c r="E38" s="174">
        <f t="shared" si="0"/>
        <v>1946</v>
      </c>
      <c r="F38" s="133">
        <f t="shared" si="4"/>
        <v>1946</v>
      </c>
      <c r="G38" s="13">
        <v>41016</v>
      </c>
      <c r="H38" s="13">
        <f t="shared" si="18"/>
        <v>40820</v>
      </c>
      <c r="I38" s="13">
        <v>41590</v>
      </c>
      <c r="J38" s="13">
        <v>41590</v>
      </c>
      <c r="K38" s="1">
        <f t="shared" si="1"/>
        <v>1372</v>
      </c>
      <c r="L38" s="1">
        <f t="shared" si="2"/>
        <v>196</v>
      </c>
      <c r="M38" s="1">
        <f t="shared" si="3"/>
        <v>574</v>
      </c>
      <c r="N38" s="1">
        <f t="shared" si="5"/>
        <v>574</v>
      </c>
      <c r="O38" s="98" t="s">
        <v>417</v>
      </c>
      <c r="P38" s="98">
        <v>5.17</v>
      </c>
      <c r="Q38" s="1">
        <v>1</v>
      </c>
      <c r="R38" s="1">
        <v>1</v>
      </c>
      <c r="S38" s="1">
        <v>1</v>
      </c>
      <c r="T38" s="1">
        <v>1</v>
      </c>
      <c r="U38" s="1" t="s">
        <v>437</v>
      </c>
      <c r="V38" s="1"/>
      <c r="W38" s="1"/>
      <c r="X38" s="1"/>
      <c r="Y38" s="1"/>
      <c r="Z38" s="98">
        <v>0</v>
      </c>
      <c r="AA38" s="98">
        <v>91</v>
      </c>
      <c r="AB38" s="98">
        <v>91</v>
      </c>
      <c r="AC38" s="1"/>
      <c r="AD38" s="1"/>
      <c r="AE38" s="12">
        <v>60</v>
      </c>
      <c r="AF38" s="1" t="s">
        <v>434</v>
      </c>
      <c r="AG38" s="1">
        <v>3.5</v>
      </c>
      <c r="AH38" s="1">
        <v>0.35</v>
      </c>
      <c r="AI38" s="172">
        <v>3</v>
      </c>
      <c r="AJ38" s="172">
        <v>0.5</v>
      </c>
      <c r="AK38" s="172">
        <v>2.5</v>
      </c>
      <c r="AL38" s="12">
        <v>0.35</v>
      </c>
      <c r="AM38" s="98">
        <v>0</v>
      </c>
    </row>
    <row r="39" spans="1:39" ht="14.5" x14ac:dyDescent="0.35">
      <c r="A39" s="175" t="s">
        <v>34</v>
      </c>
      <c r="B39" s="1">
        <v>3</v>
      </c>
      <c r="C39" s="1" t="s">
        <v>418</v>
      </c>
      <c r="D39" s="13">
        <v>39644</v>
      </c>
      <c r="E39" s="174">
        <f t="shared" si="0"/>
        <v>1946</v>
      </c>
      <c r="F39" s="133">
        <f t="shared" si="4"/>
        <v>1946</v>
      </c>
      <c r="G39" s="13">
        <v>41128</v>
      </c>
      <c r="H39" s="13">
        <f t="shared" si="18"/>
        <v>41016</v>
      </c>
      <c r="I39" s="13">
        <v>41590</v>
      </c>
      <c r="J39" s="13">
        <v>41590</v>
      </c>
      <c r="K39" s="1">
        <f t="shared" si="1"/>
        <v>1484</v>
      </c>
      <c r="L39" s="1">
        <f t="shared" si="2"/>
        <v>112</v>
      </c>
      <c r="M39" s="1">
        <f t="shared" si="3"/>
        <v>462</v>
      </c>
      <c r="N39" s="1">
        <f t="shared" si="5"/>
        <v>462</v>
      </c>
      <c r="O39" s="98" t="s">
        <v>417</v>
      </c>
      <c r="P39" s="98">
        <v>5.15</v>
      </c>
      <c r="Q39" s="1">
        <v>0</v>
      </c>
      <c r="R39" s="1">
        <v>1</v>
      </c>
      <c r="S39" s="1">
        <v>1</v>
      </c>
      <c r="T39" s="1">
        <v>1</v>
      </c>
      <c r="U39" s="1" t="s">
        <v>438</v>
      </c>
      <c r="V39" s="1"/>
      <c r="W39" s="1"/>
      <c r="X39" s="1"/>
      <c r="Y39" s="1"/>
      <c r="Z39" s="98">
        <v>0</v>
      </c>
      <c r="AA39" s="98">
        <v>91</v>
      </c>
      <c r="AB39" s="98">
        <v>91</v>
      </c>
      <c r="AC39" s="1"/>
      <c r="AD39" s="1"/>
      <c r="AE39" s="12">
        <v>60</v>
      </c>
      <c r="AF39" s="1" t="s">
        <v>434</v>
      </c>
      <c r="AG39" s="1">
        <v>3.5</v>
      </c>
      <c r="AH39" s="1">
        <v>0.35</v>
      </c>
      <c r="AI39" s="172">
        <v>3</v>
      </c>
      <c r="AJ39" s="172">
        <v>0.5</v>
      </c>
      <c r="AK39" s="172">
        <v>2.5</v>
      </c>
      <c r="AL39" s="12">
        <v>0.35</v>
      </c>
      <c r="AM39" s="98">
        <v>0</v>
      </c>
    </row>
    <row r="40" spans="1:39" ht="14.5" x14ac:dyDescent="0.35">
      <c r="A40" s="175" t="s">
        <v>34</v>
      </c>
      <c r="B40" s="1">
        <v>3</v>
      </c>
      <c r="C40" s="1" t="s">
        <v>418</v>
      </c>
      <c r="D40" s="13">
        <v>39644</v>
      </c>
      <c r="E40" s="174">
        <f t="shared" si="0"/>
        <v>1946</v>
      </c>
      <c r="F40" s="133">
        <f t="shared" si="4"/>
        <v>1946</v>
      </c>
      <c r="G40" s="13">
        <v>41331</v>
      </c>
      <c r="H40" s="13">
        <f t="shared" si="18"/>
        <v>41128</v>
      </c>
      <c r="I40" s="13">
        <v>41590</v>
      </c>
      <c r="J40" s="13">
        <v>41590</v>
      </c>
      <c r="K40" s="1">
        <f t="shared" si="1"/>
        <v>1687</v>
      </c>
      <c r="L40" s="1">
        <f t="shared" si="2"/>
        <v>203</v>
      </c>
      <c r="M40" s="1">
        <f t="shared" si="3"/>
        <v>259</v>
      </c>
      <c r="N40" s="1">
        <f t="shared" si="5"/>
        <v>259</v>
      </c>
      <c r="O40" s="98" t="s">
        <v>417</v>
      </c>
      <c r="P40" s="98">
        <v>5.13</v>
      </c>
      <c r="Q40" s="1">
        <v>0</v>
      </c>
      <c r="R40" s="1">
        <v>0</v>
      </c>
      <c r="S40" s="1">
        <v>1</v>
      </c>
      <c r="T40" s="1">
        <v>1</v>
      </c>
      <c r="U40" s="1" t="s">
        <v>439</v>
      </c>
      <c r="V40" s="1"/>
      <c r="W40" s="1"/>
      <c r="X40" s="1"/>
      <c r="Y40" s="1"/>
      <c r="Z40" s="98">
        <v>0</v>
      </c>
      <c r="AA40" s="98">
        <v>96</v>
      </c>
      <c r="AB40" s="98">
        <v>96</v>
      </c>
      <c r="AC40" s="1"/>
      <c r="AD40" s="1"/>
      <c r="AE40" s="12">
        <v>60</v>
      </c>
      <c r="AF40" s="1" t="s">
        <v>434</v>
      </c>
      <c r="AG40" s="1">
        <v>3.5</v>
      </c>
      <c r="AH40" s="1">
        <v>0.35</v>
      </c>
      <c r="AI40" s="172">
        <v>3</v>
      </c>
      <c r="AJ40" s="172">
        <v>0.5</v>
      </c>
      <c r="AK40" s="172">
        <v>2.5</v>
      </c>
      <c r="AL40" s="12">
        <v>0.35</v>
      </c>
      <c r="AM40" s="98">
        <v>0</v>
      </c>
    </row>
    <row r="41" spans="1:39" ht="14.5" x14ac:dyDescent="0.35">
      <c r="A41" s="175" t="s">
        <v>34</v>
      </c>
      <c r="B41" s="1">
        <v>3</v>
      </c>
      <c r="C41" s="1" t="s">
        <v>418</v>
      </c>
      <c r="D41" s="13">
        <v>39644</v>
      </c>
      <c r="E41" s="174">
        <f t="shared" si="0"/>
        <v>1946</v>
      </c>
      <c r="F41" s="133">
        <f t="shared" si="4"/>
        <v>1946</v>
      </c>
      <c r="G41" s="13">
        <v>41422</v>
      </c>
      <c r="H41" s="13">
        <f t="shared" si="18"/>
        <v>41331</v>
      </c>
      <c r="I41" s="13">
        <v>41590</v>
      </c>
      <c r="J41" s="13">
        <v>41590</v>
      </c>
      <c r="K41" s="1">
        <f t="shared" si="1"/>
        <v>1778</v>
      </c>
      <c r="L41" s="1">
        <f t="shared" si="2"/>
        <v>91</v>
      </c>
      <c r="M41" s="1">
        <f t="shared" si="3"/>
        <v>168</v>
      </c>
      <c r="N41" s="1">
        <f t="shared" si="5"/>
        <v>168</v>
      </c>
      <c r="O41" s="98" t="s">
        <v>417</v>
      </c>
      <c r="P41" s="98">
        <v>5.08</v>
      </c>
      <c r="Q41" s="1">
        <v>0</v>
      </c>
      <c r="R41" s="1">
        <v>0</v>
      </c>
      <c r="S41" s="1">
        <v>0</v>
      </c>
      <c r="T41" s="1">
        <v>1</v>
      </c>
      <c r="U41" s="1" t="s">
        <v>440</v>
      </c>
      <c r="V41" s="1"/>
      <c r="W41" s="1"/>
      <c r="X41" s="1"/>
      <c r="Y41" s="1"/>
      <c r="Z41" s="98">
        <v>0</v>
      </c>
      <c r="AA41" s="98">
        <v>97</v>
      </c>
      <c r="AB41" s="98">
        <v>97</v>
      </c>
      <c r="AC41" s="1"/>
      <c r="AD41" s="1"/>
      <c r="AE41" s="12">
        <v>60</v>
      </c>
      <c r="AF41" s="1" t="s">
        <v>434</v>
      </c>
      <c r="AG41" s="1">
        <v>3.5</v>
      </c>
      <c r="AH41" s="1">
        <v>0.35</v>
      </c>
      <c r="AI41" s="172">
        <v>3</v>
      </c>
      <c r="AJ41" s="172">
        <v>0.5</v>
      </c>
      <c r="AK41" s="172">
        <v>2</v>
      </c>
      <c r="AL41" s="12">
        <v>0.35</v>
      </c>
      <c r="AM41" s="98">
        <v>0</v>
      </c>
    </row>
    <row r="42" spans="1:39" ht="14.5" x14ac:dyDescent="0.35">
      <c r="A42" s="175" t="s">
        <v>34</v>
      </c>
      <c r="B42" s="1">
        <v>3</v>
      </c>
      <c r="C42" s="1" t="s">
        <v>418</v>
      </c>
      <c r="D42" s="13">
        <v>39644</v>
      </c>
      <c r="E42" s="174">
        <f t="shared" si="0"/>
        <v>1946</v>
      </c>
      <c r="F42" s="133">
        <f t="shared" si="4"/>
        <v>1946</v>
      </c>
      <c r="G42" s="13">
        <v>41492</v>
      </c>
      <c r="H42" s="13">
        <f t="shared" si="18"/>
        <v>41422</v>
      </c>
      <c r="I42" s="13">
        <v>41590</v>
      </c>
      <c r="J42" s="13">
        <v>41590</v>
      </c>
      <c r="K42" s="1">
        <f t="shared" si="1"/>
        <v>1848</v>
      </c>
      <c r="L42" s="1">
        <f t="shared" si="2"/>
        <v>70</v>
      </c>
      <c r="M42" s="1">
        <f t="shared" si="3"/>
        <v>98</v>
      </c>
      <c r="N42" s="1">
        <f t="shared" si="5"/>
        <v>98</v>
      </c>
      <c r="O42" s="98" t="s">
        <v>417</v>
      </c>
      <c r="P42" s="98">
        <v>5.03</v>
      </c>
      <c r="Q42" s="1">
        <v>0</v>
      </c>
      <c r="R42" s="1">
        <v>0</v>
      </c>
      <c r="S42" s="1">
        <v>0</v>
      </c>
      <c r="T42" s="1">
        <v>1</v>
      </c>
      <c r="U42" s="1" t="s">
        <v>440</v>
      </c>
      <c r="V42" s="1"/>
      <c r="W42" s="1"/>
      <c r="X42" s="1"/>
      <c r="Y42" s="1"/>
      <c r="Z42" s="98">
        <v>0</v>
      </c>
      <c r="AA42" s="98">
        <v>97</v>
      </c>
      <c r="AB42" s="98">
        <v>97</v>
      </c>
      <c r="AC42" s="1"/>
      <c r="AD42" s="1"/>
      <c r="AE42" s="12">
        <v>60</v>
      </c>
      <c r="AF42" s="1" t="s">
        <v>434</v>
      </c>
      <c r="AG42" s="1">
        <v>3.5</v>
      </c>
      <c r="AH42" s="1">
        <v>0.35</v>
      </c>
      <c r="AI42" s="172">
        <v>3</v>
      </c>
      <c r="AJ42" s="172">
        <v>0.5</v>
      </c>
      <c r="AK42" s="172">
        <v>2</v>
      </c>
      <c r="AL42" s="12">
        <v>0.35</v>
      </c>
      <c r="AM42" s="98">
        <v>0</v>
      </c>
    </row>
    <row r="43" spans="1:39" ht="14.5" x14ac:dyDescent="0.35">
      <c r="A43" s="175" t="s">
        <v>34</v>
      </c>
      <c r="B43" s="1">
        <v>3</v>
      </c>
      <c r="C43" s="1" t="s">
        <v>418</v>
      </c>
      <c r="D43" s="13">
        <v>39644</v>
      </c>
      <c r="E43" s="174">
        <f t="shared" si="0"/>
        <v>1946</v>
      </c>
      <c r="F43" s="133">
        <f t="shared" si="4"/>
        <v>1946</v>
      </c>
      <c r="G43" s="13">
        <v>41590</v>
      </c>
      <c r="H43" s="13">
        <f t="shared" si="18"/>
        <v>41492</v>
      </c>
      <c r="I43" s="13">
        <v>41590</v>
      </c>
      <c r="J43" s="13">
        <v>41590</v>
      </c>
      <c r="K43" s="1">
        <f t="shared" si="1"/>
        <v>1946</v>
      </c>
      <c r="L43" s="1">
        <f t="shared" si="2"/>
        <v>98</v>
      </c>
      <c r="M43" s="1">
        <f t="shared" si="3"/>
        <v>0</v>
      </c>
      <c r="N43" s="1">
        <f t="shared" si="5"/>
        <v>0</v>
      </c>
      <c r="O43" s="98" t="s">
        <v>417</v>
      </c>
      <c r="P43" s="98">
        <v>4.8600000000000003</v>
      </c>
      <c r="Q43" s="19"/>
      <c r="R43" s="19"/>
      <c r="S43" s="19"/>
      <c r="T43" s="19"/>
      <c r="U43" s="1"/>
      <c r="V43" s="1"/>
      <c r="W43" s="1"/>
      <c r="X43" s="1"/>
      <c r="Y43" s="1"/>
      <c r="Z43" s="98">
        <v>0</v>
      </c>
      <c r="AA43" s="98">
        <v>98</v>
      </c>
      <c r="AB43" s="98">
        <v>98</v>
      </c>
      <c r="AC43" s="1"/>
      <c r="AD43" s="1"/>
      <c r="AE43" s="12">
        <v>60</v>
      </c>
      <c r="AF43" s="1" t="s">
        <v>434</v>
      </c>
      <c r="AG43" s="1">
        <v>3.5</v>
      </c>
      <c r="AH43" s="1">
        <v>0.35</v>
      </c>
      <c r="AI43" s="172">
        <v>3</v>
      </c>
      <c r="AJ43" s="172">
        <v>0.5</v>
      </c>
      <c r="AK43" s="172">
        <v>2</v>
      </c>
      <c r="AL43" s="12">
        <v>0.35</v>
      </c>
      <c r="AM43" s="98">
        <v>0</v>
      </c>
    </row>
    <row r="44" spans="1:39" x14ac:dyDescent="0.25">
      <c r="A44" s="176" t="s">
        <v>36</v>
      </c>
      <c r="B44" s="1">
        <v>3</v>
      </c>
      <c r="C44" s="1" t="s">
        <v>418</v>
      </c>
      <c r="D44" s="13">
        <v>39616</v>
      </c>
      <c r="E44" s="174">
        <f t="shared" si="0"/>
        <v>1812</v>
      </c>
      <c r="F44" s="133">
        <f t="shared" si="4"/>
        <v>1812</v>
      </c>
      <c r="G44" s="13">
        <v>40190</v>
      </c>
      <c r="H44" s="13">
        <v>39616</v>
      </c>
      <c r="I44" s="13">
        <v>41428</v>
      </c>
      <c r="J44" s="13">
        <v>41428</v>
      </c>
      <c r="K44" s="1">
        <f t="shared" si="1"/>
        <v>574</v>
      </c>
      <c r="L44" s="1">
        <f t="shared" si="2"/>
        <v>574</v>
      </c>
      <c r="M44" s="1">
        <f t="shared" si="3"/>
        <v>1238</v>
      </c>
      <c r="N44" s="1">
        <f t="shared" si="5"/>
        <v>1238</v>
      </c>
      <c r="O44" s="98" t="s">
        <v>417</v>
      </c>
      <c r="P44" s="1">
        <v>6.36</v>
      </c>
      <c r="Q44" s="1">
        <v>1</v>
      </c>
      <c r="R44" s="1">
        <v>1</v>
      </c>
      <c r="S44" s="1">
        <v>1</v>
      </c>
      <c r="T44" s="1">
        <v>1</v>
      </c>
      <c r="U44" s="1" t="s">
        <v>437</v>
      </c>
      <c r="V44" s="1"/>
      <c r="W44" s="1"/>
      <c r="X44" s="1"/>
      <c r="Y44" s="1"/>
      <c r="Z44" s="98">
        <v>7</v>
      </c>
      <c r="AA44" s="98">
        <v>97</v>
      </c>
      <c r="AB44" s="98">
        <v>97</v>
      </c>
      <c r="AC44" s="1"/>
      <c r="AD44" s="1"/>
      <c r="AE44" s="12">
        <v>60</v>
      </c>
      <c r="AF44" s="1" t="s">
        <v>434</v>
      </c>
      <c r="AG44" s="1">
        <v>2.5</v>
      </c>
      <c r="AH44" s="1">
        <v>0.35</v>
      </c>
      <c r="AI44" s="172">
        <v>3.5</v>
      </c>
      <c r="AJ44" s="172">
        <v>0.35</v>
      </c>
      <c r="AK44" s="172">
        <v>7</v>
      </c>
      <c r="AL44" s="172">
        <v>0.5</v>
      </c>
      <c r="AM44" s="98">
        <v>0</v>
      </c>
    </row>
    <row r="45" spans="1:39" x14ac:dyDescent="0.25">
      <c r="A45" s="176" t="s">
        <v>36</v>
      </c>
      <c r="B45" s="1">
        <v>3</v>
      </c>
      <c r="C45" s="1" t="s">
        <v>418</v>
      </c>
      <c r="D45" s="13">
        <v>39616</v>
      </c>
      <c r="E45" s="174">
        <f t="shared" si="0"/>
        <v>1812</v>
      </c>
      <c r="F45" s="133">
        <f t="shared" si="4"/>
        <v>1812</v>
      </c>
      <c r="G45" s="13">
        <v>40344</v>
      </c>
      <c r="H45" s="13">
        <f>G44</f>
        <v>40190</v>
      </c>
      <c r="I45" s="13">
        <v>41428</v>
      </c>
      <c r="J45" s="13">
        <v>41428</v>
      </c>
      <c r="K45" s="1">
        <f t="shared" si="1"/>
        <v>728</v>
      </c>
      <c r="L45" s="1">
        <f t="shared" si="2"/>
        <v>154</v>
      </c>
      <c r="M45" s="1">
        <f t="shared" si="3"/>
        <v>1084</v>
      </c>
      <c r="N45" s="1">
        <f t="shared" si="5"/>
        <v>1084</v>
      </c>
      <c r="O45" s="98" t="s">
        <v>417</v>
      </c>
      <c r="P45" s="1">
        <v>6.23</v>
      </c>
      <c r="Q45" s="1">
        <v>1</v>
      </c>
      <c r="R45" s="1">
        <v>1</v>
      </c>
      <c r="S45" s="1">
        <v>1</v>
      </c>
      <c r="T45" s="1">
        <v>1</v>
      </c>
      <c r="U45" s="1" t="s">
        <v>437</v>
      </c>
      <c r="V45" s="1"/>
      <c r="W45" s="1"/>
      <c r="X45" s="1"/>
      <c r="Y45" s="1"/>
      <c r="Z45" s="98">
        <v>1</v>
      </c>
      <c r="AA45" s="98">
        <v>99</v>
      </c>
      <c r="AB45" s="98">
        <v>99</v>
      </c>
      <c r="AC45" s="1"/>
      <c r="AD45" s="1"/>
      <c r="AE45" s="12">
        <v>60</v>
      </c>
      <c r="AF45" s="1" t="s">
        <v>434</v>
      </c>
      <c r="AG45" s="1">
        <v>2.5</v>
      </c>
      <c r="AH45" s="1">
        <v>0.35</v>
      </c>
      <c r="AI45" s="172">
        <v>3.5</v>
      </c>
      <c r="AJ45" s="172">
        <v>0.35</v>
      </c>
      <c r="AK45" s="172">
        <v>7</v>
      </c>
      <c r="AL45" s="172">
        <v>0.5</v>
      </c>
      <c r="AM45" s="98">
        <v>0</v>
      </c>
    </row>
    <row r="46" spans="1:39" x14ac:dyDescent="0.25">
      <c r="A46" s="176" t="s">
        <v>36</v>
      </c>
      <c r="B46" s="1">
        <v>3</v>
      </c>
      <c r="C46" s="1" t="s">
        <v>418</v>
      </c>
      <c r="D46" s="13">
        <v>39616</v>
      </c>
      <c r="E46" s="174">
        <f t="shared" si="0"/>
        <v>1812</v>
      </c>
      <c r="F46" s="133">
        <f t="shared" si="4"/>
        <v>1812</v>
      </c>
      <c r="G46" s="13">
        <v>40744</v>
      </c>
      <c r="H46" s="13">
        <f t="shared" ref="H46:H51" si="19">G45</f>
        <v>40344</v>
      </c>
      <c r="I46" s="13">
        <v>41428</v>
      </c>
      <c r="J46" s="13">
        <v>41428</v>
      </c>
      <c r="K46" s="1">
        <f t="shared" si="1"/>
        <v>1128</v>
      </c>
      <c r="L46" s="1">
        <f t="shared" si="2"/>
        <v>400</v>
      </c>
      <c r="M46" s="1">
        <f t="shared" si="3"/>
        <v>684</v>
      </c>
      <c r="N46" s="1">
        <f t="shared" si="5"/>
        <v>684</v>
      </c>
      <c r="O46" s="98" t="s">
        <v>417</v>
      </c>
      <c r="P46" s="1">
        <v>5.43</v>
      </c>
      <c r="Q46" s="1">
        <v>1</v>
      </c>
      <c r="R46" s="1">
        <v>1</v>
      </c>
      <c r="S46" s="1">
        <v>1</v>
      </c>
      <c r="T46" s="1">
        <v>1</v>
      </c>
      <c r="U46" s="1" t="s">
        <v>437</v>
      </c>
      <c r="V46" s="1"/>
      <c r="W46" s="1"/>
      <c r="X46" s="1"/>
      <c r="Y46" s="1"/>
      <c r="Z46" s="98">
        <v>3</v>
      </c>
      <c r="AA46" s="98">
        <v>97</v>
      </c>
      <c r="AB46" s="98">
        <v>97</v>
      </c>
      <c r="AC46" s="1"/>
      <c r="AD46" s="1"/>
      <c r="AE46" s="12">
        <v>60</v>
      </c>
      <c r="AF46" s="1" t="s">
        <v>434</v>
      </c>
      <c r="AG46" s="1">
        <v>2.5</v>
      </c>
      <c r="AH46" s="1">
        <v>0.35</v>
      </c>
      <c r="AI46" s="172">
        <v>3.5</v>
      </c>
      <c r="AJ46" s="172">
        <v>0.35</v>
      </c>
      <c r="AK46" s="172">
        <v>3.5</v>
      </c>
      <c r="AL46" s="172">
        <v>0.35</v>
      </c>
      <c r="AM46" s="98">
        <v>0</v>
      </c>
    </row>
    <row r="47" spans="1:39" x14ac:dyDescent="0.25">
      <c r="A47" s="176" t="s">
        <v>36</v>
      </c>
      <c r="B47" s="1">
        <v>3</v>
      </c>
      <c r="C47" s="1" t="s">
        <v>418</v>
      </c>
      <c r="D47" s="13">
        <v>39616</v>
      </c>
      <c r="E47" s="174">
        <f t="shared" si="0"/>
        <v>1812</v>
      </c>
      <c r="F47" s="133">
        <f t="shared" si="4"/>
        <v>1812</v>
      </c>
      <c r="G47" s="13">
        <v>40946</v>
      </c>
      <c r="H47" s="13">
        <f t="shared" si="19"/>
        <v>40744</v>
      </c>
      <c r="I47" s="13">
        <v>41428</v>
      </c>
      <c r="J47" s="13">
        <v>41428</v>
      </c>
      <c r="K47" s="1">
        <f t="shared" si="1"/>
        <v>1330</v>
      </c>
      <c r="L47" s="1">
        <f t="shared" si="2"/>
        <v>202</v>
      </c>
      <c r="M47" s="1">
        <f t="shared" si="3"/>
        <v>482</v>
      </c>
      <c r="N47" s="1">
        <f t="shared" si="5"/>
        <v>482</v>
      </c>
      <c r="O47" s="98" t="s">
        <v>417</v>
      </c>
      <c r="P47" s="1">
        <v>5.2</v>
      </c>
      <c r="Q47" s="1">
        <v>0</v>
      </c>
      <c r="R47" s="1">
        <v>1</v>
      </c>
      <c r="S47" s="1">
        <v>1</v>
      </c>
      <c r="T47" s="1">
        <v>1</v>
      </c>
      <c r="U47" s="1" t="s">
        <v>438</v>
      </c>
      <c r="V47" s="1"/>
      <c r="W47" s="1"/>
      <c r="X47" s="1"/>
      <c r="Y47" s="1"/>
      <c r="Z47" s="98">
        <v>2</v>
      </c>
      <c r="AA47" s="98">
        <v>99</v>
      </c>
      <c r="AB47" s="98">
        <v>99</v>
      </c>
      <c r="AC47" s="1"/>
      <c r="AD47" s="1"/>
      <c r="AE47" s="12">
        <v>60</v>
      </c>
      <c r="AF47" s="1" t="s">
        <v>434</v>
      </c>
      <c r="AG47" s="1">
        <v>2.5</v>
      </c>
      <c r="AH47" s="1">
        <v>0.35</v>
      </c>
      <c r="AI47" s="172">
        <v>3.5</v>
      </c>
      <c r="AJ47" s="172">
        <v>0.35</v>
      </c>
      <c r="AK47" s="172">
        <v>7</v>
      </c>
      <c r="AL47" s="172">
        <v>0.5</v>
      </c>
      <c r="AM47" s="98">
        <v>0</v>
      </c>
    </row>
    <row r="48" spans="1:39" x14ac:dyDescent="0.25">
      <c r="A48" s="176" t="s">
        <v>36</v>
      </c>
      <c r="B48" s="1">
        <v>3</v>
      </c>
      <c r="C48" s="1" t="s">
        <v>418</v>
      </c>
      <c r="D48" s="13">
        <v>39616</v>
      </c>
      <c r="E48" s="174">
        <f t="shared" si="0"/>
        <v>1812</v>
      </c>
      <c r="F48" s="133">
        <f t="shared" si="4"/>
        <v>1812</v>
      </c>
      <c r="G48" s="13">
        <v>40974</v>
      </c>
      <c r="H48" s="13">
        <f t="shared" si="19"/>
        <v>40946</v>
      </c>
      <c r="I48" s="13">
        <v>41428</v>
      </c>
      <c r="J48" s="13">
        <v>41428</v>
      </c>
      <c r="K48" s="1">
        <f t="shared" si="1"/>
        <v>1358</v>
      </c>
      <c r="L48" s="1">
        <f t="shared" si="2"/>
        <v>28</v>
      </c>
      <c r="M48" s="1">
        <f t="shared" si="3"/>
        <v>454</v>
      </c>
      <c r="N48" s="1">
        <f t="shared" si="5"/>
        <v>454</v>
      </c>
      <c r="O48" s="98" t="s">
        <v>417</v>
      </c>
      <c r="P48" s="1">
        <v>5.19</v>
      </c>
      <c r="Q48" s="1">
        <v>0</v>
      </c>
      <c r="R48" s="1">
        <v>1</v>
      </c>
      <c r="S48" s="1">
        <v>1</v>
      </c>
      <c r="T48" s="1">
        <v>1</v>
      </c>
      <c r="U48" s="1" t="s">
        <v>438</v>
      </c>
      <c r="V48" s="1"/>
      <c r="W48" s="1"/>
      <c r="X48" s="1"/>
      <c r="Y48" s="1"/>
      <c r="Z48" s="98">
        <v>1</v>
      </c>
      <c r="AA48" s="98">
        <v>99</v>
      </c>
      <c r="AB48" s="98">
        <v>99</v>
      </c>
      <c r="AC48" s="1"/>
      <c r="AD48" s="1"/>
      <c r="AE48" s="12">
        <v>60</v>
      </c>
      <c r="AF48" s="1" t="s">
        <v>434</v>
      </c>
      <c r="AG48" s="1">
        <v>2.5</v>
      </c>
      <c r="AH48" s="1">
        <v>0.35</v>
      </c>
      <c r="AI48" s="172">
        <v>3.5</v>
      </c>
      <c r="AJ48" s="172">
        <v>0.35</v>
      </c>
      <c r="AK48" s="172">
        <v>7</v>
      </c>
      <c r="AL48" s="172">
        <v>0.5</v>
      </c>
      <c r="AM48" s="98">
        <v>0</v>
      </c>
    </row>
    <row r="49" spans="1:39" x14ac:dyDescent="0.25">
      <c r="A49" s="176" t="s">
        <v>36</v>
      </c>
      <c r="B49" s="1">
        <v>3</v>
      </c>
      <c r="C49" s="1" t="s">
        <v>418</v>
      </c>
      <c r="D49" s="13">
        <v>39616</v>
      </c>
      <c r="E49" s="174">
        <f t="shared" si="0"/>
        <v>1812</v>
      </c>
      <c r="F49" s="133">
        <f t="shared" si="4"/>
        <v>1812</v>
      </c>
      <c r="G49" s="13">
        <v>41163</v>
      </c>
      <c r="H49" s="13">
        <f t="shared" si="19"/>
        <v>40974</v>
      </c>
      <c r="I49" s="13">
        <v>41428</v>
      </c>
      <c r="J49" s="13">
        <v>41428</v>
      </c>
      <c r="K49" s="1">
        <f t="shared" si="1"/>
        <v>1547</v>
      </c>
      <c r="L49" s="1">
        <f t="shared" si="2"/>
        <v>189</v>
      </c>
      <c r="M49" s="1">
        <f t="shared" si="3"/>
        <v>265</v>
      </c>
      <c r="N49" s="1">
        <f t="shared" si="5"/>
        <v>265</v>
      </c>
      <c r="O49" s="98" t="s">
        <v>417</v>
      </c>
      <c r="P49" s="1">
        <v>5.14</v>
      </c>
      <c r="Q49" s="1">
        <v>0</v>
      </c>
      <c r="R49" s="1">
        <v>0</v>
      </c>
      <c r="S49" s="1">
        <v>1</v>
      </c>
      <c r="T49" s="1">
        <v>1</v>
      </c>
      <c r="U49" s="1" t="s">
        <v>439</v>
      </c>
      <c r="V49" s="1"/>
      <c r="W49" s="1"/>
      <c r="X49" s="1"/>
      <c r="Y49" s="1"/>
      <c r="Z49" s="98">
        <v>3</v>
      </c>
      <c r="AA49" s="98">
        <v>94</v>
      </c>
      <c r="AB49" s="98">
        <v>94</v>
      </c>
      <c r="AC49" s="1"/>
      <c r="AD49" s="1"/>
      <c r="AE49" s="12">
        <v>60</v>
      </c>
      <c r="AF49" s="1" t="s">
        <v>434</v>
      </c>
      <c r="AG49" s="1">
        <v>2.5</v>
      </c>
      <c r="AH49" s="1">
        <v>0.35</v>
      </c>
      <c r="AI49" s="172">
        <v>3.5</v>
      </c>
      <c r="AJ49" s="172">
        <v>0.35</v>
      </c>
      <c r="AK49" s="172">
        <v>7</v>
      </c>
      <c r="AL49" s="172">
        <v>0.5</v>
      </c>
      <c r="AM49" s="98">
        <v>0</v>
      </c>
    </row>
    <row r="50" spans="1:39" x14ac:dyDescent="0.25">
      <c r="A50" s="176" t="s">
        <v>36</v>
      </c>
      <c r="B50" s="1">
        <v>3</v>
      </c>
      <c r="C50" s="1" t="s">
        <v>418</v>
      </c>
      <c r="D50" s="13">
        <v>39616</v>
      </c>
      <c r="E50" s="174">
        <f t="shared" si="0"/>
        <v>1812</v>
      </c>
      <c r="F50" s="133">
        <f t="shared" si="4"/>
        <v>1812</v>
      </c>
      <c r="G50" s="13">
        <v>41366</v>
      </c>
      <c r="H50" s="13">
        <f t="shared" si="19"/>
        <v>41163</v>
      </c>
      <c r="I50" s="13">
        <v>41428</v>
      </c>
      <c r="J50" s="13">
        <v>41428</v>
      </c>
      <c r="K50" s="1">
        <f t="shared" si="1"/>
        <v>1750</v>
      </c>
      <c r="L50" s="1">
        <f t="shared" si="2"/>
        <v>203</v>
      </c>
      <c r="M50" s="1">
        <f t="shared" si="3"/>
        <v>62</v>
      </c>
      <c r="N50" s="1">
        <f t="shared" si="5"/>
        <v>62</v>
      </c>
      <c r="O50" s="98" t="s">
        <v>417</v>
      </c>
      <c r="P50" s="1">
        <v>5.01</v>
      </c>
      <c r="Q50" s="1">
        <v>0</v>
      </c>
      <c r="R50" s="1">
        <v>0</v>
      </c>
      <c r="S50" s="1">
        <v>0</v>
      </c>
      <c r="T50" s="1">
        <v>0</v>
      </c>
      <c r="U50" s="1" t="s">
        <v>441</v>
      </c>
      <c r="V50" s="1"/>
      <c r="W50" s="1"/>
      <c r="X50" s="1"/>
      <c r="Y50" s="1"/>
      <c r="Z50" s="98">
        <v>4</v>
      </c>
      <c r="AA50" s="98">
        <v>98</v>
      </c>
      <c r="AB50" s="98">
        <v>98</v>
      </c>
      <c r="AC50" s="1"/>
      <c r="AD50" s="1"/>
      <c r="AE50" s="12">
        <v>60</v>
      </c>
      <c r="AF50" s="1" t="s">
        <v>434</v>
      </c>
      <c r="AG50" s="1">
        <v>2.5</v>
      </c>
      <c r="AH50" s="1">
        <v>0.35</v>
      </c>
      <c r="AI50" s="172">
        <v>3.5</v>
      </c>
      <c r="AJ50" s="172">
        <v>0.35</v>
      </c>
      <c r="AK50" s="172">
        <v>7</v>
      </c>
      <c r="AL50" s="172">
        <v>0.5</v>
      </c>
      <c r="AM50" s="98">
        <v>0</v>
      </c>
    </row>
    <row r="51" spans="1:39" x14ac:dyDescent="0.25">
      <c r="A51" s="176" t="s">
        <v>36</v>
      </c>
      <c r="B51" s="1">
        <v>3</v>
      </c>
      <c r="C51" s="1" t="s">
        <v>418</v>
      </c>
      <c r="D51" s="13">
        <v>39616</v>
      </c>
      <c r="E51" s="174">
        <f t="shared" si="0"/>
        <v>1812</v>
      </c>
      <c r="F51" s="133">
        <f t="shared" si="4"/>
        <v>1812</v>
      </c>
      <c r="G51" s="13">
        <v>41428</v>
      </c>
      <c r="H51" s="13">
        <f t="shared" si="19"/>
        <v>41366</v>
      </c>
      <c r="I51" s="13">
        <v>41428</v>
      </c>
      <c r="J51" s="13">
        <v>41428</v>
      </c>
      <c r="K51" s="1">
        <f t="shared" si="1"/>
        <v>1812</v>
      </c>
      <c r="L51" s="1">
        <f t="shared" si="2"/>
        <v>62</v>
      </c>
      <c r="M51" s="1">
        <f t="shared" si="3"/>
        <v>0</v>
      </c>
      <c r="N51" s="1">
        <f t="shared" si="5"/>
        <v>0</v>
      </c>
      <c r="O51" s="98" t="s">
        <v>434</v>
      </c>
      <c r="P51" s="1">
        <v>4.79</v>
      </c>
      <c r="Q51" s="19"/>
      <c r="R51" s="19"/>
      <c r="S51" s="19"/>
      <c r="T51" s="19"/>
      <c r="U51" s="1"/>
      <c r="V51" s="1">
        <v>0</v>
      </c>
      <c r="W51" s="1">
        <v>0</v>
      </c>
      <c r="X51" s="1">
        <v>0</v>
      </c>
      <c r="Y51" s="1">
        <v>0</v>
      </c>
      <c r="Z51" s="98">
        <v>9</v>
      </c>
      <c r="AA51" s="98">
        <v>94</v>
      </c>
      <c r="AB51" s="98">
        <v>94</v>
      </c>
      <c r="AC51" s="1"/>
      <c r="AD51" s="1"/>
      <c r="AE51" s="12">
        <v>60</v>
      </c>
      <c r="AF51" s="1" t="s">
        <v>434</v>
      </c>
      <c r="AG51" s="1">
        <v>2.5</v>
      </c>
      <c r="AH51" s="1">
        <v>0.35</v>
      </c>
      <c r="AI51" s="172">
        <v>3.5</v>
      </c>
      <c r="AJ51" s="172">
        <v>0.35</v>
      </c>
      <c r="AK51" s="172">
        <v>7</v>
      </c>
      <c r="AL51" s="172">
        <v>0.5</v>
      </c>
      <c r="AM51" s="98">
        <v>0</v>
      </c>
    </row>
    <row r="52" spans="1:39" x14ac:dyDescent="0.25">
      <c r="A52" s="177" t="s">
        <v>38</v>
      </c>
      <c r="B52" s="1">
        <v>3</v>
      </c>
      <c r="C52" s="1" t="s">
        <v>418</v>
      </c>
      <c r="D52" s="13">
        <v>39770</v>
      </c>
      <c r="E52" s="174">
        <f t="shared" si="0"/>
        <v>1946</v>
      </c>
      <c r="F52" s="201"/>
      <c r="G52" s="13">
        <v>39980</v>
      </c>
      <c r="H52" s="13">
        <v>39770</v>
      </c>
      <c r="I52" s="13">
        <v>41716</v>
      </c>
      <c r="J52" s="13"/>
      <c r="K52" s="1">
        <f t="shared" si="1"/>
        <v>210</v>
      </c>
      <c r="L52" s="1">
        <f t="shared" si="2"/>
        <v>210</v>
      </c>
      <c r="M52" s="1">
        <f>I52-G52</f>
        <v>1736</v>
      </c>
      <c r="N52" s="1"/>
      <c r="O52" s="98" t="s">
        <v>417</v>
      </c>
      <c r="P52" s="1">
        <v>6.43</v>
      </c>
      <c r="Q52" s="1">
        <f t="shared" ref="Q52:Q81" si="20">IF(M52&gt;=540,1,"nulo")</f>
        <v>1</v>
      </c>
      <c r="R52" s="1">
        <f t="shared" ref="R52:R82" si="21">IF(M52&gt;=360,1,"nulo")</f>
        <v>1</v>
      </c>
      <c r="S52" s="1">
        <f t="shared" ref="S52:S83" si="22">IF(M52&gt;=180,1,"nulo")</f>
        <v>1</v>
      </c>
      <c r="T52" s="1">
        <f t="shared" ref="T52:T84" si="23">IF(M52&gt;=90,1,"nulo")</f>
        <v>1</v>
      </c>
      <c r="U52" s="1" t="s">
        <v>437</v>
      </c>
      <c r="V52" s="1"/>
      <c r="W52" s="1"/>
      <c r="X52" s="1"/>
      <c r="Y52" s="1"/>
      <c r="Z52" s="98">
        <v>0</v>
      </c>
      <c r="AA52" s="98">
        <v>99</v>
      </c>
      <c r="AB52" s="98">
        <v>99</v>
      </c>
      <c r="AC52" s="1"/>
      <c r="AD52" s="1"/>
      <c r="AE52" s="12">
        <v>60</v>
      </c>
      <c r="AF52" s="1" t="s">
        <v>434</v>
      </c>
      <c r="AG52" s="1">
        <v>3.5</v>
      </c>
      <c r="AH52" s="1">
        <v>0.35</v>
      </c>
      <c r="AI52" s="172">
        <v>3.5</v>
      </c>
      <c r="AJ52" s="172">
        <v>0.35</v>
      </c>
      <c r="AK52" s="172">
        <v>3.5</v>
      </c>
      <c r="AL52" s="172">
        <v>0.35</v>
      </c>
      <c r="AM52" s="98">
        <v>0</v>
      </c>
    </row>
    <row r="53" spans="1:39" x14ac:dyDescent="0.25">
      <c r="A53" s="177" t="s">
        <v>38</v>
      </c>
      <c r="B53" s="1">
        <v>3</v>
      </c>
      <c r="C53" s="1" t="s">
        <v>418</v>
      </c>
      <c r="D53" s="13">
        <v>39770</v>
      </c>
      <c r="E53" s="174">
        <f t="shared" si="0"/>
        <v>1946</v>
      </c>
      <c r="F53" s="201"/>
      <c r="G53" s="13">
        <v>40197</v>
      </c>
      <c r="H53" s="13">
        <f>G52</f>
        <v>39980</v>
      </c>
      <c r="I53" s="13">
        <v>41716</v>
      </c>
      <c r="J53" s="13"/>
      <c r="K53" s="1">
        <f t="shared" si="1"/>
        <v>427</v>
      </c>
      <c r="L53" s="1">
        <f t="shared" si="2"/>
        <v>217</v>
      </c>
      <c r="M53" s="1">
        <f t="shared" si="3"/>
        <v>1519</v>
      </c>
      <c r="N53" s="1"/>
      <c r="O53" s="98" t="s">
        <v>417</v>
      </c>
      <c r="P53" s="1">
        <v>6.37</v>
      </c>
      <c r="Q53" s="1">
        <f t="shared" si="20"/>
        <v>1</v>
      </c>
      <c r="R53" s="1">
        <f t="shared" si="21"/>
        <v>1</v>
      </c>
      <c r="S53" s="1">
        <f t="shared" si="22"/>
        <v>1</v>
      </c>
      <c r="T53" s="1">
        <f t="shared" si="23"/>
        <v>1</v>
      </c>
      <c r="U53" s="1" t="s">
        <v>437</v>
      </c>
      <c r="V53" s="1"/>
      <c r="W53" s="1"/>
      <c r="X53" s="1"/>
      <c r="Y53" s="1"/>
      <c r="Z53" s="98">
        <v>0</v>
      </c>
      <c r="AA53" s="98">
        <v>100</v>
      </c>
      <c r="AB53" s="98">
        <v>100</v>
      </c>
      <c r="AC53" s="1"/>
      <c r="AD53" s="1"/>
      <c r="AE53" s="12">
        <v>60</v>
      </c>
      <c r="AF53" s="1" t="s">
        <v>434</v>
      </c>
      <c r="AG53" s="1">
        <v>2</v>
      </c>
      <c r="AH53" s="98">
        <v>0.35</v>
      </c>
      <c r="AI53" s="172">
        <v>2.5</v>
      </c>
      <c r="AJ53" s="172">
        <v>0.35</v>
      </c>
      <c r="AK53" s="172">
        <v>3.5</v>
      </c>
      <c r="AL53" s="172">
        <v>0.35</v>
      </c>
      <c r="AM53" s="98">
        <v>0</v>
      </c>
    </row>
    <row r="54" spans="1:39" x14ac:dyDescent="0.25">
      <c r="A54" s="177" t="s">
        <v>38</v>
      </c>
      <c r="B54" s="1">
        <v>3</v>
      </c>
      <c r="C54" s="1" t="s">
        <v>418</v>
      </c>
      <c r="D54" s="13">
        <v>39770</v>
      </c>
      <c r="E54" s="174">
        <f t="shared" si="0"/>
        <v>1946</v>
      </c>
      <c r="F54" s="201"/>
      <c r="G54" s="13">
        <v>41590</v>
      </c>
      <c r="H54" s="13">
        <f t="shared" ref="H54:H55" si="24">G53</f>
        <v>40197</v>
      </c>
      <c r="I54" s="13">
        <v>41716</v>
      </c>
      <c r="J54" s="13"/>
      <c r="K54" s="1">
        <f t="shared" si="1"/>
        <v>1820</v>
      </c>
      <c r="L54" s="1">
        <f t="shared" si="2"/>
        <v>1393</v>
      </c>
      <c r="M54" s="1">
        <f t="shared" si="3"/>
        <v>126</v>
      </c>
      <c r="N54" s="1"/>
      <c r="O54" s="98" t="s">
        <v>417</v>
      </c>
      <c r="P54" s="1">
        <v>5.09</v>
      </c>
      <c r="Q54" s="1"/>
      <c r="R54" s="1"/>
      <c r="S54" s="1"/>
      <c r="T54" s="1">
        <f t="shared" si="23"/>
        <v>1</v>
      </c>
      <c r="U54" s="1"/>
      <c r="V54" s="1"/>
      <c r="W54" s="1"/>
      <c r="X54" s="1"/>
      <c r="Y54" s="1"/>
      <c r="Z54" s="98">
        <v>1</v>
      </c>
      <c r="AA54" s="98">
        <v>99</v>
      </c>
      <c r="AB54" s="98">
        <v>99</v>
      </c>
      <c r="AC54" s="1"/>
      <c r="AD54" s="1"/>
      <c r="AE54" s="12">
        <v>60</v>
      </c>
      <c r="AF54" s="1" t="s">
        <v>434</v>
      </c>
      <c r="AG54" s="1">
        <v>2</v>
      </c>
      <c r="AH54" s="98">
        <v>0.35</v>
      </c>
      <c r="AI54" s="172">
        <v>2.5</v>
      </c>
      <c r="AJ54" s="172">
        <v>0.35</v>
      </c>
      <c r="AK54" s="172">
        <v>3.5</v>
      </c>
      <c r="AL54" s="172">
        <v>0.35</v>
      </c>
      <c r="AM54" s="98">
        <v>0</v>
      </c>
    </row>
    <row r="55" spans="1:39" x14ac:dyDescent="0.25">
      <c r="A55" s="177" t="s">
        <v>38</v>
      </c>
      <c r="B55" s="1">
        <v>3</v>
      </c>
      <c r="C55" s="1" t="s">
        <v>418</v>
      </c>
      <c r="D55" s="13">
        <v>39770</v>
      </c>
      <c r="E55" s="174">
        <f t="shared" si="0"/>
        <v>1946</v>
      </c>
      <c r="F55" s="201"/>
      <c r="G55" s="13">
        <v>41716</v>
      </c>
      <c r="H55" s="13">
        <f t="shared" si="24"/>
        <v>41590</v>
      </c>
      <c r="I55" s="13">
        <v>41716</v>
      </c>
      <c r="J55" s="13"/>
      <c r="K55" s="1">
        <f t="shared" si="1"/>
        <v>1946</v>
      </c>
      <c r="L55" s="1">
        <f t="shared" si="2"/>
        <v>126</v>
      </c>
      <c r="M55" s="1">
        <f t="shared" si="3"/>
        <v>0</v>
      </c>
      <c r="N55" s="1"/>
      <c r="O55" s="98" t="s">
        <v>417</v>
      </c>
      <c r="P55" s="1">
        <v>5.01</v>
      </c>
      <c r="Q55" s="1"/>
      <c r="R55" s="1"/>
      <c r="S55" s="1"/>
      <c r="T55" s="1"/>
      <c r="U55" s="1"/>
      <c r="V55" s="1"/>
      <c r="W55" s="1"/>
      <c r="X55" s="1"/>
      <c r="Y55" s="1"/>
      <c r="Z55" s="98">
        <v>2</v>
      </c>
      <c r="AA55" s="98">
        <v>98</v>
      </c>
      <c r="AB55" s="98">
        <v>98</v>
      </c>
      <c r="AC55" s="1"/>
      <c r="AD55" s="1"/>
      <c r="AE55" s="12">
        <v>60</v>
      </c>
      <c r="AF55" s="1" t="s">
        <v>434</v>
      </c>
      <c r="AG55" s="1">
        <v>2</v>
      </c>
      <c r="AH55" s="98">
        <v>0.35</v>
      </c>
      <c r="AI55" s="172">
        <v>2</v>
      </c>
      <c r="AJ55" s="172">
        <v>0.35</v>
      </c>
      <c r="AK55" s="172">
        <v>2.5</v>
      </c>
      <c r="AL55" s="172">
        <v>0.35</v>
      </c>
      <c r="AM55" s="98">
        <v>0</v>
      </c>
    </row>
    <row r="56" spans="1:39" x14ac:dyDescent="0.25">
      <c r="A56" s="178" t="s">
        <v>39</v>
      </c>
      <c r="B56" s="1">
        <v>3</v>
      </c>
      <c r="C56" s="1" t="s">
        <v>418</v>
      </c>
      <c r="D56" s="13">
        <v>39763</v>
      </c>
      <c r="E56" s="174">
        <f t="shared" si="0"/>
        <v>1813</v>
      </c>
      <c r="F56" s="201"/>
      <c r="G56" s="13">
        <v>39982</v>
      </c>
      <c r="H56" s="13">
        <v>39763</v>
      </c>
      <c r="I56" s="13">
        <v>41576</v>
      </c>
      <c r="J56" s="13"/>
      <c r="K56" s="1">
        <f t="shared" si="1"/>
        <v>219</v>
      </c>
      <c r="L56" s="1">
        <f t="shared" si="2"/>
        <v>219</v>
      </c>
      <c r="M56" s="1">
        <f t="shared" si="3"/>
        <v>1594</v>
      </c>
      <c r="N56" s="1"/>
      <c r="O56" s="98" t="s">
        <v>417</v>
      </c>
      <c r="P56" s="1">
        <v>6.44</v>
      </c>
      <c r="Q56" s="1">
        <f t="shared" si="20"/>
        <v>1</v>
      </c>
      <c r="R56" s="1">
        <f t="shared" si="21"/>
        <v>1</v>
      </c>
      <c r="S56" s="1">
        <f t="shared" si="22"/>
        <v>1</v>
      </c>
      <c r="T56" s="1">
        <f t="shared" si="23"/>
        <v>1</v>
      </c>
      <c r="U56" s="1" t="s">
        <v>437</v>
      </c>
      <c r="V56" s="1"/>
      <c r="W56" s="1"/>
      <c r="X56" s="1"/>
      <c r="Y56" s="1"/>
      <c r="Z56" s="98">
        <v>27</v>
      </c>
      <c r="AA56" s="98">
        <v>94</v>
      </c>
      <c r="AB56" s="98">
        <v>94</v>
      </c>
      <c r="AC56" s="1"/>
      <c r="AD56" s="1"/>
      <c r="AE56" s="12">
        <v>60</v>
      </c>
      <c r="AF56" s="1" t="s">
        <v>434</v>
      </c>
      <c r="AG56" s="1">
        <v>3.5</v>
      </c>
      <c r="AH56" s="98">
        <v>0.35</v>
      </c>
      <c r="AI56" s="172">
        <v>3.5</v>
      </c>
      <c r="AJ56" s="172">
        <v>0.35</v>
      </c>
      <c r="AK56" s="172">
        <v>3.5</v>
      </c>
      <c r="AL56" s="172">
        <v>0.35</v>
      </c>
      <c r="AM56" s="98">
        <v>0</v>
      </c>
    </row>
    <row r="57" spans="1:39" x14ac:dyDescent="0.25">
      <c r="A57" s="178" t="s">
        <v>39</v>
      </c>
      <c r="B57" s="1">
        <v>3</v>
      </c>
      <c r="C57" s="1" t="s">
        <v>418</v>
      </c>
      <c r="D57" s="13">
        <v>39763</v>
      </c>
      <c r="E57" s="174">
        <f t="shared" si="0"/>
        <v>1813</v>
      </c>
      <c r="F57" s="201"/>
      <c r="G57" s="13">
        <v>40190</v>
      </c>
      <c r="H57" s="13">
        <f>G56</f>
        <v>39982</v>
      </c>
      <c r="I57" s="13">
        <v>41576</v>
      </c>
      <c r="J57" s="13"/>
      <c r="K57" s="1">
        <f t="shared" si="1"/>
        <v>427</v>
      </c>
      <c r="L57" s="1">
        <f t="shared" si="2"/>
        <v>208</v>
      </c>
      <c r="M57" s="1">
        <f t="shared" si="3"/>
        <v>1386</v>
      </c>
      <c r="N57" s="1"/>
      <c r="O57" s="98" t="s">
        <v>417</v>
      </c>
      <c r="P57" s="1">
        <v>6.37</v>
      </c>
      <c r="Q57" s="1">
        <f t="shared" si="20"/>
        <v>1</v>
      </c>
      <c r="R57" s="1">
        <f t="shared" si="21"/>
        <v>1</v>
      </c>
      <c r="S57" s="1">
        <f t="shared" si="22"/>
        <v>1</v>
      </c>
      <c r="T57" s="1">
        <f t="shared" si="23"/>
        <v>1</v>
      </c>
      <c r="U57" s="1" t="s">
        <v>437</v>
      </c>
      <c r="V57" s="1"/>
      <c r="W57" s="1"/>
      <c r="X57" s="1"/>
      <c r="Y57" s="1"/>
      <c r="Z57" s="98">
        <v>18</v>
      </c>
      <c r="AA57" s="98">
        <v>95</v>
      </c>
      <c r="AB57" s="98">
        <v>95</v>
      </c>
      <c r="AC57" s="1"/>
      <c r="AD57" s="1"/>
      <c r="AE57" s="12">
        <v>60</v>
      </c>
      <c r="AF57" s="1" t="s">
        <v>434</v>
      </c>
      <c r="AG57" s="1">
        <v>3.5</v>
      </c>
      <c r="AH57" s="98">
        <v>0.35</v>
      </c>
      <c r="AI57" s="172">
        <v>3.5</v>
      </c>
      <c r="AJ57" s="172">
        <v>0.35</v>
      </c>
      <c r="AK57" s="172">
        <v>3.5</v>
      </c>
      <c r="AL57" s="172">
        <v>0.35</v>
      </c>
      <c r="AM57" s="98">
        <v>300</v>
      </c>
    </row>
    <row r="58" spans="1:39" x14ac:dyDescent="0.25">
      <c r="A58" s="178" t="s">
        <v>39</v>
      </c>
      <c r="B58" s="1">
        <v>3</v>
      </c>
      <c r="C58" s="1" t="s">
        <v>418</v>
      </c>
      <c r="D58" s="13">
        <v>39763</v>
      </c>
      <c r="E58" s="174">
        <f t="shared" si="0"/>
        <v>1813</v>
      </c>
      <c r="F58" s="201"/>
      <c r="G58" s="13">
        <v>40344</v>
      </c>
      <c r="H58" s="13">
        <f t="shared" ref="H58:H65" si="25">G57</f>
        <v>40190</v>
      </c>
      <c r="I58" s="13">
        <v>41576</v>
      </c>
      <c r="J58" s="13"/>
      <c r="K58" s="1">
        <f t="shared" si="1"/>
        <v>581</v>
      </c>
      <c r="L58" s="1">
        <f t="shared" si="2"/>
        <v>154</v>
      </c>
      <c r="M58" s="1">
        <f t="shared" si="3"/>
        <v>1232</v>
      </c>
      <c r="N58" s="1"/>
      <c r="O58" s="98" t="s">
        <v>417</v>
      </c>
      <c r="P58" s="1">
        <v>6.24</v>
      </c>
      <c r="Q58" s="1">
        <f t="shared" si="20"/>
        <v>1</v>
      </c>
      <c r="R58" s="1">
        <f t="shared" si="21"/>
        <v>1</v>
      </c>
      <c r="S58" s="1">
        <f t="shared" si="22"/>
        <v>1</v>
      </c>
      <c r="T58" s="1">
        <f t="shared" si="23"/>
        <v>1</v>
      </c>
      <c r="U58" s="1" t="s">
        <v>437</v>
      </c>
      <c r="V58" s="1"/>
      <c r="W58" s="1"/>
      <c r="X58" s="1"/>
      <c r="Y58" s="1"/>
      <c r="Z58" s="98">
        <v>13</v>
      </c>
      <c r="AA58" s="98">
        <v>89</v>
      </c>
      <c r="AB58" s="98">
        <v>89</v>
      </c>
      <c r="AC58" s="1"/>
      <c r="AD58" s="1"/>
      <c r="AE58" s="12">
        <v>60</v>
      </c>
      <c r="AF58" s="1" t="s">
        <v>434</v>
      </c>
      <c r="AG58" s="1">
        <v>3.5</v>
      </c>
      <c r="AH58" s="98">
        <v>0.35</v>
      </c>
      <c r="AI58" s="172">
        <v>2.5</v>
      </c>
      <c r="AJ58" s="172">
        <v>0.35</v>
      </c>
      <c r="AK58" s="172">
        <v>4.5</v>
      </c>
      <c r="AL58" s="172">
        <v>1</v>
      </c>
      <c r="AM58" s="98">
        <v>800</v>
      </c>
    </row>
    <row r="59" spans="1:39" x14ac:dyDescent="0.25">
      <c r="A59" s="178" t="s">
        <v>39</v>
      </c>
      <c r="B59" s="1">
        <v>3</v>
      </c>
      <c r="C59" s="1" t="s">
        <v>418</v>
      </c>
      <c r="D59" s="13">
        <v>39763</v>
      </c>
      <c r="E59" s="174">
        <f t="shared" si="0"/>
        <v>1813</v>
      </c>
      <c r="F59" s="201"/>
      <c r="G59" s="13">
        <v>40820</v>
      </c>
      <c r="H59" s="13">
        <f t="shared" si="25"/>
        <v>40344</v>
      </c>
      <c r="I59" s="13">
        <v>41576</v>
      </c>
      <c r="J59" s="13"/>
      <c r="K59" s="1">
        <f t="shared" si="1"/>
        <v>1057</v>
      </c>
      <c r="L59" s="1">
        <f t="shared" si="2"/>
        <v>476</v>
      </c>
      <c r="M59" s="1">
        <f t="shared" si="3"/>
        <v>756</v>
      </c>
      <c r="N59" s="1"/>
      <c r="O59" s="98" t="s">
        <v>417</v>
      </c>
      <c r="P59" s="1">
        <v>5.23</v>
      </c>
      <c r="Q59" s="1">
        <f t="shared" si="20"/>
        <v>1</v>
      </c>
      <c r="R59" s="1">
        <f t="shared" si="21"/>
        <v>1</v>
      </c>
      <c r="S59" s="1">
        <f t="shared" si="22"/>
        <v>1</v>
      </c>
      <c r="T59" s="1">
        <f t="shared" si="23"/>
        <v>1</v>
      </c>
      <c r="U59" s="1" t="s">
        <v>437</v>
      </c>
      <c r="V59" s="1"/>
      <c r="W59" s="1"/>
      <c r="X59" s="1"/>
      <c r="Y59" s="1"/>
      <c r="Z59" s="98">
        <v>39</v>
      </c>
      <c r="AA59" s="98">
        <v>92</v>
      </c>
      <c r="AB59" s="98">
        <v>92</v>
      </c>
      <c r="AC59" s="1"/>
      <c r="AD59" s="1"/>
      <c r="AE59" s="12">
        <v>60</v>
      </c>
      <c r="AF59" s="1" t="s">
        <v>434</v>
      </c>
      <c r="AG59" s="1">
        <v>3.5</v>
      </c>
      <c r="AH59" s="98">
        <v>0.35</v>
      </c>
      <c r="AI59" s="172">
        <v>3</v>
      </c>
      <c r="AJ59" s="172">
        <v>0.35</v>
      </c>
      <c r="AK59" s="172">
        <v>4.5</v>
      </c>
      <c r="AL59" s="172">
        <v>1</v>
      </c>
      <c r="AM59" s="98">
        <v>0</v>
      </c>
    </row>
    <row r="60" spans="1:39" x14ac:dyDescent="0.25">
      <c r="A60" s="178" t="s">
        <v>39</v>
      </c>
      <c r="B60" s="1">
        <v>3</v>
      </c>
      <c r="C60" s="1" t="s">
        <v>418</v>
      </c>
      <c r="D60" s="13">
        <v>39763</v>
      </c>
      <c r="E60" s="174">
        <f t="shared" si="0"/>
        <v>1813</v>
      </c>
      <c r="F60" s="201"/>
      <c r="G60" s="13">
        <v>41009</v>
      </c>
      <c r="H60" s="13">
        <f t="shared" si="25"/>
        <v>40820</v>
      </c>
      <c r="I60" s="13">
        <v>41576</v>
      </c>
      <c r="J60" s="13"/>
      <c r="K60" s="1">
        <f t="shared" si="1"/>
        <v>1246</v>
      </c>
      <c r="L60" s="1">
        <f t="shared" si="2"/>
        <v>189</v>
      </c>
      <c r="M60" s="1">
        <f t="shared" si="3"/>
        <v>567</v>
      </c>
      <c r="N60" s="1"/>
      <c r="O60" s="98" t="s">
        <v>417</v>
      </c>
      <c r="P60" s="1">
        <v>5.14</v>
      </c>
      <c r="Q60" s="1">
        <f t="shared" si="20"/>
        <v>1</v>
      </c>
      <c r="R60" s="1">
        <f t="shared" si="21"/>
        <v>1</v>
      </c>
      <c r="S60" s="1">
        <f t="shared" si="22"/>
        <v>1</v>
      </c>
      <c r="T60" s="1">
        <f t="shared" si="23"/>
        <v>1</v>
      </c>
      <c r="U60" s="1" t="s">
        <v>437</v>
      </c>
      <c r="V60" s="1"/>
      <c r="W60" s="1"/>
      <c r="X60" s="1"/>
      <c r="Y60" s="1"/>
      <c r="Z60" s="98">
        <v>31</v>
      </c>
      <c r="AA60" s="98">
        <v>91</v>
      </c>
      <c r="AB60" s="98">
        <v>91</v>
      </c>
      <c r="AC60" s="1"/>
      <c r="AD60" s="1"/>
      <c r="AE60" s="12">
        <v>60</v>
      </c>
      <c r="AF60" s="1" t="s">
        <v>434</v>
      </c>
      <c r="AG60" s="1">
        <v>3.5</v>
      </c>
      <c r="AH60" s="98">
        <v>0.35</v>
      </c>
      <c r="AI60" s="172">
        <v>3</v>
      </c>
      <c r="AJ60" s="172">
        <v>0.35</v>
      </c>
      <c r="AK60" s="172">
        <v>4.5</v>
      </c>
      <c r="AL60" s="172">
        <v>1</v>
      </c>
      <c r="AM60" s="98">
        <v>0</v>
      </c>
    </row>
    <row r="61" spans="1:39" x14ac:dyDescent="0.25">
      <c r="A61" s="178" t="s">
        <v>39</v>
      </c>
      <c r="B61" s="1">
        <v>3</v>
      </c>
      <c r="C61" s="1" t="s">
        <v>418</v>
      </c>
      <c r="D61" s="13">
        <v>39763</v>
      </c>
      <c r="E61" s="174">
        <f t="shared" si="0"/>
        <v>1813</v>
      </c>
      <c r="F61" s="201"/>
      <c r="G61" s="13">
        <v>41114</v>
      </c>
      <c r="H61" s="13">
        <f t="shared" si="25"/>
        <v>41009</v>
      </c>
      <c r="I61" s="13">
        <v>41576</v>
      </c>
      <c r="J61" s="13"/>
      <c r="K61" s="1">
        <f t="shared" si="1"/>
        <v>1351</v>
      </c>
      <c r="L61" s="1">
        <f t="shared" si="2"/>
        <v>105</v>
      </c>
      <c r="M61" s="1">
        <f t="shared" si="3"/>
        <v>462</v>
      </c>
      <c r="N61" s="1"/>
      <c r="O61" s="98" t="s">
        <v>417</v>
      </c>
      <c r="P61" s="1">
        <v>5.13</v>
      </c>
      <c r="Q61" s="1"/>
      <c r="R61" s="1">
        <f t="shared" si="21"/>
        <v>1</v>
      </c>
      <c r="S61" s="1">
        <f t="shared" si="22"/>
        <v>1</v>
      </c>
      <c r="T61" s="1">
        <f t="shared" si="23"/>
        <v>1</v>
      </c>
      <c r="U61" s="1"/>
      <c r="V61" s="1"/>
      <c r="W61" s="1"/>
      <c r="X61" s="1"/>
      <c r="Y61" s="1"/>
      <c r="Z61" s="98">
        <v>27</v>
      </c>
      <c r="AA61" s="98">
        <v>93</v>
      </c>
      <c r="AB61" s="98">
        <v>93</v>
      </c>
      <c r="AC61" s="1"/>
      <c r="AD61" s="1"/>
      <c r="AE61" s="12">
        <v>60</v>
      </c>
      <c r="AF61" s="1" t="s">
        <v>434</v>
      </c>
      <c r="AG61" s="1">
        <v>3.5</v>
      </c>
      <c r="AH61" s="98">
        <v>0.35</v>
      </c>
      <c r="AI61" s="172">
        <v>3</v>
      </c>
      <c r="AJ61" s="172">
        <v>0.35</v>
      </c>
      <c r="AK61" s="172">
        <v>4.5</v>
      </c>
      <c r="AL61" s="172">
        <v>1</v>
      </c>
      <c r="AM61" s="98">
        <v>0</v>
      </c>
    </row>
    <row r="62" spans="1:39" x14ac:dyDescent="0.25">
      <c r="A62" s="178" t="s">
        <v>39</v>
      </c>
      <c r="B62" s="1">
        <v>3</v>
      </c>
      <c r="C62" s="1" t="s">
        <v>418</v>
      </c>
      <c r="D62" s="13">
        <v>39763</v>
      </c>
      <c r="E62" s="174">
        <f t="shared" si="0"/>
        <v>1813</v>
      </c>
      <c r="F62" s="201"/>
      <c r="G62" s="13">
        <v>41219</v>
      </c>
      <c r="H62" s="13">
        <f t="shared" si="25"/>
        <v>41114</v>
      </c>
      <c r="I62" s="13">
        <v>41576</v>
      </c>
      <c r="J62" s="13"/>
      <c r="K62" s="1">
        <f t="shared" si="1"/>
        <v>1456</v>
      </c>
      <c r="L62" s="1">
        <f t="shared" si="2"/>
        <v>105</v>
      </c>
      <c r="M62" s="1">
        <f t="shared" si="3"/>
        <v>357</v>
      </c>
      <c r="N62" s="1"/>
      <c r="O62" s="98" t="s">
        <v>417</v>
      </c>
      <c r="P62" s="1">
        <v>5.1100000000000003</v>
      </c>
      <c r="Q62" s="1"/>
      <c r="R62" s="1"/>
      <c r="S62" s="1">
        <f t="shared" si="22"/>
        <v>1</v>
      </c>
      <c r="T62" s="1">
        <f t="shared" si="23"/>
        <v>1</v>
      </c>
      <c r="U62" s="1"/>
      <c r="V62" s="1"/>
      <c r="W62" s="1"/>
      <c r="X62" s="1"/>
      <c r="Y62" s="1"/>
      <c r="Z62" s="98">
        <v>29</v>
      </c>
      <c r="AA62" s="98">
        <v>92</v>
      </c>
      <c r="AB62" s="98">
        <v>92</v>
      </c>
      <c r="AC62" s="1"/>
      <c r="AD62" s="1"/>
      <c r="AE62" s="12">
        <v>60</v>
      </c>
      <c r="AF62" s="1" t="s">
        <v>434</v>
      </c>
      <c r="AG62" s="1">
        <v>3.5</v>
      </c>
      <c r="AH62" s="98">
        <v>0.35</v>
      </c>
      <c r="AI62" s="172">
        <v>3</v>
      </c>
      <c r="AJ62" s="172">
        <v>0.35</v>
      </c>
      <c r="AK62" s="172">
        <v>4.5</v>
      </c>
      <c r="AL62" s="172">
        <v>1</v>
      </c>
      <c r="AM62" s="98">
        <v>0</v>
      </c>
    </row>
    <row r="63" spans="1:39" x14ac:dyDescent="0.25">
      <c r="A63" s="178" t="s">
        <v>39</v>
      </c>
      <c r="B63" s="1">
        <v>3</v>
      </c>
      <c r="C63" s="1" t="s">
        <v>418</v>
      </c>
      <c r="D63" s="13">
        <v>39763</v>
      </c>
      <c r="E63" s="174">
        <f t="shared" si="0"/>
        <v>1813</v>
      </c>
      <c r="F63" s="201"/>
      <c r="G63" s="13">
        <v>41401</v>
      </c>
      <c r="H63" s="13">
        <f t="shared" si="25"/>
        <v>41219</v>
      </c>
      <c r="I63" s="13">
        <v>41576</v>
      </c>
      <c r="J63" s="13"/>
      <c r="K63" s="1">
        <f t="shared" si="1"/>
        <v>1638</v>
      </c>
      <c r="L63" s="1">
        <f t="shared" si="2"/>
        <v>182</v>
      </c>
      <c r="M63" s="1">
        <f t="shared" si="3"/>
        <v>175</v>
      </c>
      <c r="N63" s="1"/>
      <c r="O63" s="98" t="s">
        <v>417</v>
      </c>
      <c r="P63" s="1">
        <v>5.0599999999999996</v>
      </c>
      <c r="Q63" s="1"/>
      <c r="R63" s="1"/>
      <c r="S63" s="1"/>
      <c r="T63" s="1">
        <f t="shared" si="23"/>
        <v>1</v>
      </c>
      <c r="U63" s="1"/>
      <c r="V63" s="1"/>
      <c r="W63" s="1"/>
      <c r="X63" s="1"/>
      <c r="Y63" s="1"/>
      <c r="Z63" s="98">
        <v>0</v>
      </c>
      <c r="AA63" s="98">
        <v>58</v>
      </c>
      <c r="AB63" s="98">
        <v>58</v>
      </c>
      <c r="AC63" s="1"/>
      <c r="AD63" s="1"/>
      <c r="AE63" s="12">
        <v>60</v>
      </c>
      <c r="AF63" s="1" t="s">
        <v>434</v>
      </c>
      <c r="AG63" s="1">
        <v>3.5</v>
      </c>
      <c r="AH63" s="98">
        <v>0.35</v>
      </c>
      <c r="AI63" s="172">
        <v>3</v>
      </c>
      <c r="AJ63" s="172">
        <v>0.35</v>
      </c>
      <c r="AK63" s="172">
        <v>4.5</v>
      </c>
      <c r="AL63" s="172">
        <v>1</v>
      </c>
      <c r="AM63" s="98">
        <v>0</v>
      </c>
    </row>
    <row r="64" spans="1:39" x14ac:dyDescent="0.25">
      <c r="A64" s="178" t="s">
        <v>39</v>
      </c>
      <c r="B64" s="1">
        <v>3</v>
      </c>
      <c r="C64" s="1" t="s">
        <v>418</v>
      </c>
      <c r="D64" s="13">
        <v>39763</v>
      </c>
      <c r="E64" s="174">
        <f t="shared" si="0"/>
        <v>1813</v>
      </c>
      <c r="F64" s="201"/>
      <c r="G64" s="13">
        <v>41499</v>
      </c>
      <c r="H64" s="13">
        <f t="shared" si="25"/>
        <v>41401</v>
      </c>
      <c r="I64" s="13">
        <v>41576</v>
      </c>
      <c r="J64" s="13"/>
      <c r="K64" s="1">
        <f t="shared" si="1"/>
        <v>1736</v>
      </c>
      <c r="L64" s="1">
        <f t="shared" si="2"/>
        <v>98</v>
      </c>
      <c r="M64" s="1">
        <f t="shared" si="3"/>
        <v>77</v>
      </c>
      <c r="N64" s="1"/>
      <c r="O64" s="98" t="s">
        <v>417</v>
      </c>
      <c r="P64" s="1">
        <v>4.8899999999999997</v>
      </c>
      <c r="Q64" s="1"/>
      <c r="R64" s="1"/>
      <c r="S64" s="1"/>
      <c r="T64" s="1"/>
      <c r="U64" s="1"/>
      <c r="V64" s="1"/>
      <c r="W64" s="1"/>
      <c r="X64" s="1"/>
      <c r="Y64" s="1"/>
      <c r="Z64" s="98">
        <v>0</v>
      </c>
      <c r="AA64" s="98">
        <v>70</v>
      </c>
      <c r="AB64" s="98">
        <v>70</v>
      </c>
      <c r="AC64" s="1"/>
      <c r="AD64" s="1"/>
      <c r="AE64" s="12">
        <v>60</v>
      </c>
      <c r="AF64" s="1" t="s">
        <v>434</v>
      </c>
      <c r="AG64" s="1">
        <v>0</v>
      </c>
      <c r="AH64" s="98">
        <v>0</v>
      </c>
      <c r="AI64" s="172">
        <v>2</v>
      </c>
      <c r="AJ64" s="172">
        <v>0.35</v>
      </c>
      <c r="AK64" s="172">
        <v>4.5</v>
      </c>
      <c r="AL64" s="172">
        <v>1</v>
      </c>
      <c r="AM64" s="98">
        <v>0</v>
      </c>
    </row>
    <row r="65" spans="1:39" x14ac:dyDescent="0.25">
      <c r="A65" s="178" t="s">
        <v>39</v>
      </c>
      <c r="B65" s="1">
        <v>3</v>
      </c>
      <c r="C65" s="1" t="s">
        <v>418</v>
      </c>
      <c r="D65" s="13">
        <v>39763</v>
      </c>
      <c r="E65" s="174">
        <f t="shared" si="0"/>
        <v>1813</v>
      </c>
      <c r="F65" s="201"/>
      <c r="G65" s="13">
        <v>41576</v>
      </c>
      <c r="H65" s="13">
        <f t="shared" si="25"/>
        <v>41499</v>
      </c>
      <c r="I65" s="13">
        <v>41576</v>
      </c>
      <c r="J65" s="13"/>
      <c r="K65" s="1">
        <f t="shared" si="1"/>
        <v>1813</v>
      </c>
      <c r="L65" s="1">
        <f t="shared" si="2"/>
        <v>77</v>
      </c>
      <c r="M65" s="1">
        <f t="shared" si="3"/>
        <v>0</v>
      </c>
      <c r="N65" s="1"/>
      <c r="O65" s="98" t="s">
        <v>434</v>
      </c>
      <c r="P65" s="1">
        <v>4.6399999999999997</v>
      </c>
      <c r="Q65" s="1"/>
      <c r="R65" s="1"/>
      <c r="S65" s="1"/>
      <c r="T65" s="1"/>
      <c r="U65" s="1"/>
      <c r="V65" s="1">
        <v>0</v>
      </c>
      <c r="W65" s="1">
        <v>0</v>
      </c>
      <c r="X65" s="1">
        <v>0</v>
      </c>
      <c r="Y65" s="1">
        <v>0</v>
      </c>
      <c r="Z65" s="98">
        <v>0</v>
      </c>
      <c r="AA65" s="98">
        <v>91</v>
      </c>
      <c r="AB65" s="98">
        <v>91</v>
      </c>
      <c r="AC65" s="1"/>
      <c r="AD65" s="1"/>
      <c r="AE65" s="12">
        <v>60</v>
      </c>
      <c r="AF65" s="1" t="s">
        <v>434</v>
      </c>
      <c r="AG65" s="1">
        <v>0</v>
      </c>
      <c r="AH65" s="98">
        <v>0</v>
      </c>
      <c r="AI65" s="172">
        <v>2</v>
      </c>
      <c r="AJ65" s="172">
        <v>0.35</v>
      </c>
      <c r="AK65" s="172">
        <v>4.5</v>
      </c>
      <c r="AL65" s="172">
        <v>1</v>
      </c>
      <c r="AM65" s="98">
        <v>0</v>
      </c>
    </row>
    <row r="66" spans="1:39" x14ac:dyDescent="0.25">
      <c r="A66" s="179" t="s">
        <v>419</v>
      </c>
      <c r="B66" s="1">
        <v>2</v>
      </c>
      <c r="C66" s="1" t="s">
        <v>418</v>
      </c>
      <c r="D66" s="13">
        <v>39119</v>
      </c>
      <c r="E66" s="174">
        <f t="shared" ref="E66:E86" si="26">I66-D66</f>
        <v>2863</v>
      </c>
      <c r="F66" s="201"/>
      <c r="G66" s="13">
        <v>40687</v>
      </c>
      <c r="H66" s="13">
        <v>39119</v>
      </c>
      <c r="I66" s="13">
        <v>41982</v>
      </c>
      <c r="J66" s="13"/>
      <c r="K66" s="1">
        <f t="shared" ref="K66:K86" si="27">G66-D66</f>
        <v>1568</v>
      </c>
      <c r="L66" s="1">
        <f t="shared" ref="L66:L86" si="28">G66-H66</f>
        <v>1568</v>
      </c>
      <c r="M66" s="1">
        <f t="shared" ref="M66:M86" si="29">I66-G66</f>
        <v>1295</v>
      </c>
      <c r="N66" s="1"/>
      <c r="O66" s="1" t="s">
        <v>417</v>
      </c>
      <c r="P66" s="1">
        <v>5.44</v>
      </c>
      <c r="Q66" s="1">
        <f t="shared" si="20"/>
        <v>1</v>
      </c>
      <c r="R66" s="1">
        <f t="shared" si="21"/>
        <v>1</v>
      </c>
      <c r="S66" s="1">
        <f t="shared" si="22"/>
        <v>1</v>
      </c>
      <c r="T66" s="1">
        <f t="shared" si="23"/>
        <v>1</v>
      </c>
      <c r="U66" s="1" t="s">
        <v>437</v>
      </c>
      <c r="V66" s="1"/>
      <c r="W66" s="1"/>
      <c r="X66" s="1"/>
      <c r="Y66" s="1"/>
      <c r="Z66" s="98">
        <v>13</v>
      </c>
      <c r="AA66" s="98">
        <v>0</v>
      </c>
      <c r="AB66" s="1"/>
      <c r="AC66" s="1"/>
      <c r="AD66" s="1"/>
      <c r="AE66" s="172">
        <v>60</v>
      </c>
      <c r="AF66" s="1" t="s">
        <v>417</v>
      </c>
      <c r="AG66" s="1">
        <v>2</v>
      </c>
      <c r="AH66" s="98">
        <v>0.35</v>
      </c>
      <c r="AI66" s="172">
        <v>2.5</v>
      </c>
      <c r="AJ66" s="172">
        <v>0.35</v>
      </c>
      <c r="AK66" s="1"/>
      <c r="AL66" s="1"/>
      <c r="AM66" s="98">
        <v>0</v>
      </c>
    </row>
    <row r="67" spans="1:39" x14ac:dyDescent="0.25">
      <c r="A67" s="179" t="s">
        <v>419</v>
      </c>
      <c r="B67" s="1">
        <v>2</v>
      </c>
      <c r="C67" s="1" t="s">
        <v>418</v>
      </c>
      <c r="D67" s="13">
        <v>39119</v>
      </c>
      <c r="E67" s="174">
        <f t="shared" si="26"/>
        <v>2863</v>
      </c>
      <c r="F67" s="201"/>
      <c r="G67" s="13">
        <v>40890</v>
      </c>
      <c r="H67" s="13">
        <f>G66</f>
        <v>40687</v>
      </c>
      <c r="I67" s="13">
        <v>41982</v>
      </c>
      <c r="J67" s="13"/>
      <c r="K67" s="1">
        <f t="shared" si="27"/>
        <v>1771</v>
      </c>
      <c r="L67" s="1">
        <f t="shared" si="28"/>
        <v>203</v>
      </c>
      <c r="M67" s="1">
        <f t="shared" si="29"/>
        <v>1092</v>
      </c>
      <c r="N67" s="1"/>
      <c r="O67" s="1" t="s">
        <v>417</v>
      </c>
      <c r="P67" s="1">
        <v>5.27</v>
      </c>
      <c r="Q67" s="1">
        <f t="shared" si="20"/>
        <v>1</v>
      </c>
      <c r="R67" s="1">
        <f t="shared" si="21"/>
        <v>1</v>
      </c>
      <c r="S67" s="1">
        <f t="shared" si="22"/>
        <v>1</v>
      </c>
      <c r="T67" s="1">
        <f t="shared" si="23"/>
        <v>1</v>
      </c>
      <c r="U67" s="1" t="s">
        <v>437</v>
      </c>
      <c r="V67" s="1"/>
      <c r="W67" s="1"/>
      <c r="X67" s="1"/>
      <c r="Y67" s="1"/>
      <c r="Z67" s="98">
        <v>9</v>
      </c>
      <c r="AA67" s="98">
        <v>0</v>
      </c>
      <c r="AB67" s="1"/>
      <c r="AC67" s="1"/>
      <c r="AD67" s="1"/>
      <c r="AE67" s="172">
        <v>60</v>
      </c>
      <c r="AF67" s="1" t="s">
        <v>417</v>
      </c>
      <c r="AG67" s="1">
        <v>2</v>
      </c>
      <c r="AH67" s="98">
        <v>0.35</v>
      </c>
      <c r="AI67" s="172">
        <v>2.5</v>
      </c>
      <c r="AJ67" s="172">
        <v>0.35</v>
      </c>
      <c r="AK67" s="1"/>
      <c r="AL67" s="1"/>
      <c r="AM67" s="98">
        <v>0</v>
      </c>
    </row>
    <row r="68" spans="1:39" x14ac:dyDescent="0.25">
      <c r="A68" s="179" t="s">
        <v>419</v>
      </c>
      <c r="B68" s="1">
        <v>2</v>
      </c>
      <c r="C68" s="1" t="s">
        <v>418</v>
      </c>
      <c r="D68" s="13">
        <v>39119</v>
      </c>
      <c r="E68" s="174">
        <f t="shared" si="26"/>
        <v>2863</v>
      </c>
      <c r="F68" s="201"/>
      <c r="G68" s="13">
        <v>41212</v>
      </c>
      <c r="H68" s="13">
        <f t="shared" ref="H68:H74" si="30">G67</f>
        <v>40890</v>
      </c>
      <c r="I68" s="13">
        <v>41982</v>
      </c>
      <c r="J68" s="13"/>
      <c r="K68" s="1">
        <f t="shared" si="27"/>
        <v>2093</v>
      </c>
      <c r="L68" s="1">
        <f t="shared" si="28"/>
        <v>322</v>
      </c>
      <c r="M68" s="1">
        <f t="shared" si="29"/>
        <v>770</v>
      </c>
      <c r="N68" s="1"/>
      <c r="O68" s="1" t="s">
        <v>417</v>
      </c>
      <c r="P68" s="1">
        <v>5.17</v>
      </c>
      <c r="Q68" s="1">
        <f t="shared" si="20"/>
        <v>1</v>
      </c>
      <c r="R68" s="1">
        <f t="shared" si="21"/>
        <v>1</v>
      </c>
      <c r="S68" s="1">
        <f t="shared" si="22"/>
        <v>1</v>
      </c>
      <c r="T68" s="1">
        <f t="shared" si="23"/>
        <v>1</v>
      </c>
      <c r="U68" s="1" t="s">
        <v>437</v>
      </c>
      <c r="V68" s="1"/>
      <c r="W68" s="1"/>
      <c r="X68" s="1"/>
      <c r="Y68" s="1"/>
      <c r="Z68" s="98">
        <v>1</v>
      </c>
      <c r="AA68" s="98">
        <v>0</v>
      </c>
      <c r="AB68" s="1"/>
      <c r="AC68" s="1"/>
      <c r="AD68" s="1"/>
      <c r="AE68" s="172">
        <v>60</v>
      </c>
      <c r="AF68" s="1" t="s">
        <v>417</v>
      </c>
      <c r="AG68" s="1">
        <v>2</v>
      </c>
      <c r="AH68" s="98">
        <v>0.35</v>
      </c>
      <c r="AI68" s="172">
        <v>2.5</v>
      </c>
      <c r="AJ68" s="172">
        <v>0.35</v>
      </c>
      <c r="AK68" s="1"/>
      <c r="AL68" s="1"/>
      <c r="AM68" s="98">
        <v>0</v>
      </c>
    </row>
    <row r="69" spans="1:39" x14ac:dyDescent="0.25">
      <c r="A69" s="179" t="s">
        <v>419</v>
      </c>
      <c r="B69" s="1">
        <v>2</v>
      </c>
      <c r="C69" s="1" t="s">
        <v>418</v>
      </c>
      <c r="D69" s="13">
        <v>39119</v>
      </c>
      <c r="E69" s="174">
        <f t="shared" si="26"/>
        <v>2863</v>
      </c>
      <c r="F69" s="201"/>
      <c r="G69" s="13">
        <v>41394</v>
      </c>
      <c r="H69" s="13">
        <f t="shared" si="30"/>
        <v>41212</v>
      </c>
      <c r="I69" s="13">
        <v>41982</v>
      </c>
      <c r="J69" s="13"/>
      <c r="K69" s="1">
        <f t="shared" si="27"/>
        <v>2275</v>
      </c>
      <c r="L69" s="1">
        <f t="shared" si="28"/>
        <v>182</v>
      </c>
      <c r="M69" s="1">
        <f t="shared" si="29"/>
        <v>588</v>
      </c>
      <c r="N69" s="1"/>
      <c r="O69" s="1" t="s">
        <v>417</v>
      </c>
      <c r="P69" s="1">
        <v>5.15</v>
      </c>
      <c r="Q69" s="1">
        <f t="shared" si="20"/>
        <v>1</v>
      </c>
      <c r="R69" s="1">
        <f t="shared" si="21"/>
        <v>1</v>
      </c>
      <c r="S69" s="1">
        <f t="shared" si="22"/>
        <v>1</v>
      </c>
      <c r="T69" s="1">
        <f t="shared" si="23"/>
        <v>1</v>
      </c>
      <c r="U69" s="1" t="s">
        <v>437</v>
      </c>
      <c r="V69" s="1"/>
      <c r="W69" s="1"/>
      <c r="X69" s="1"/>
      <c r="Y69" s="1"/>
      <c r="Z69" s="98">
        <v>2</v>
      </c>
      <c r="AA69" s="98">
        <v>0</v>
      </c>
      <c r="AB69" s="1"/>
      <c r="AC69" s="1"/>
      <c r="AD69" s="1"/>
      <c r="AE69" s="172">
        <v>60</v>
      </c>
      <c r="AF69" s="1" t="s">
        <v>417</v>
      </c>
      <c r="AG69" s="1">
        <v>2</v>
      </c>
      <c r="AH69" s="98">
        <v>0.35</v>
      </c>
      <c r="AI69" s="172">
        <v>2.5</v>
      </c>
      <c r="AJ69" s="172">
        <v>0.35</v>
      </c>
      <c r="AK69" s="1"/>
      <c r="AL69" s="1"/>
      <c r="AM69" s="98">
        <v>0</v>
      </c>
    </row>
    <row r="70" spans="1:39" x14ac:dyDescent="0.25">
      <c r="A70" s="179" t="s">
        <v>419</v>
      </c>
      <c r="B70" s="1">
        <v>2</v>
      </c>
      <c r="C70" s="1" t="s">
        <v>418</v>
      </c>
      <c r="D70" s="13">
        <v>39119</v>
      </c>
      <c r="E70" s="174">
        <f t="shared" si="26"/>
        <v>2863</v>
      </c>
      <c r="F70" s="201"/>
      <c r="G70" s="13">
        <v>41506</v>
      </c>
      <c r="H70" s="13">
        <f t="shared" si="30"/>
        <v>41394</v>
      </c>
      <c r="I70" s="13">
        <v>41982</v>
      </c>
      <c r="J70" s="13"/>
      <c r="K70" s="1">
        <f t="shared" si="27"/>
        <v>2387</v>
      </c>
      <c r="L70" s="1">
        <f t="shared" si="28"/>
        <v>112</v>
      </c>
      <c r="M70" s="1">
        <f t="shared" si="29"/>
        <v>476</v>
      </c>
      <c r="N70" s="1"/>
      <c r="O70" s="1" t="s">
        <v>417</v>
      </c>
      <c r="P70" s="1">
        <v>5.14</v>
      </c>
      <c r="Q70" s="1"/>
      <c r="R70" s="1">
        <f t="shared" si="21"/>
        <v>1</v>
      </c>
      <c r="S70" s="1">
        <f t="shared" si="22"/>
        <v>1</v>
      </c>
      <c r="T70" s="1">
        <f t="shared" si="23"/>
        <v>1</v>
      </c>
      <c r="U70" s="1"/>
      <c r="V70" s="1"/>
      <c r="W70" s="1"/>
      <c r="X70" s="1"/>
      <c r="Y70" s="1"/>
      <c r="Z70" s="98">
        <v>2</v>
      </c>
      <c r="AA70" s="98">
        <v>0</v>
      </c>
      <c r="AB70" s="1"/>
      <c r="AC70" s="1"/>
      <c r="AD70" s="1"/>
      <c r="AE70" s="172">
        <v>60</v>
      </c>
      <c r="AF70" s="1" t="s">
        <v>417</v>
      </c>
      <c r="AG70" s="1">
        <v>2</v>
      </c>
      <c r="AH70" s="98">
        <v>0.35</v>
      </c>
      <c r="AI70" s="172">
        <v>2.5</v>
      </c>
      <c r="AJ70" s="172">
        <v>0.35</v>
      </c>
      <c r="AK70" s="1"/>
      <c r="AL70" s="1"/>
      <c r="AM70" s="98">
        <v>0</v>
      </c>
    </row>
    <row r="71" spans="1:39" x14ac:dyDescent="0.25">
      <c r="A71" s="179" t="s">
        <v>419</v>
      </c>
      <c r="B71" s="1">
        <v>2</v>
      </c>
      <c r="C71" s="1" t="s">
        <v>418</v>
      </c>
      <c r="D71" s="13">
        <v>39119</v>
      </c>
      <c r="E71" s="174">
        <f t="shared" si="26"/>
        <v>2863</v>
      </c>
      <c r="F71" s="201"/>
      <c r="G71" s="13">
        <v>41596</v>
      </c>
      <c r="H71" s="13">
        <f t="shared" si="30"/>
        <v>41506</v>
      </c>
      <c r="I71" s="13">
        <v>41982</v>
      </c>
      <c r="J71" s="13"/>
      <c r="K71" s="1">
        <f t="shared" si="27"/>
        <v>2477</v>
      </c>
      <c r="L71" s="1">
        <f t="shared" si="28"/>
        <v>90</v>
      </c>
      <c r="M71" s="1">
        <f t="shared" si="29"/>
        <v>386</v>
      </c>
      <c r="N71" s="1"/>
      <c r="O71" s="1" t="s">
        <v>417</v>
      </c>
      <c r="P71" s="1">
        <v>5.13</v>
      </c>
      <c r="Q71" s="1"/>
      <c r="R71" s="1">
        <f t="shared" si="21"/>
        <v>1</v>
      </c>
      <c r="S71" s="1">
        <f t="shared" si="22"/>
        <v>1</v>
      </c>
      <c r="T71" s="1">
        <f t="shared" si="23"/>
        <v>1</v>
      </c>
      <c r="U71" s="1"/>
      <c r="V71" s="1"/>
      <c r="W71" s="1"/>
      <c r="X71" s="1"/>
      <c r="Y71" s="1"/>
      <c r="Z71" s="98">
        <v>6</v>
      </c>
      <c r="AA71" s="98">
        <v>0</v>
      </c>
      <c r="AB71" s="1"/>
      <c r="AC71" s="1"/>
      <c r="AD71" s="1"/>
      <c r="AE71" s="172">
        <v>60</v>
      </c>
      <c r="AF71" s="1" t="s">
        <v>417</v>
      </c>
      <c r="AG71" s="1">
        <v>2</v>
      </c>
      <c r="AH71" s="98">
        <v>0.35</v>
      </c>
      <c r="AI71" s="172">
        <v>2.5</v>
      </c>
      <c r="AJ71" s="172">
        <v>0.35</v>
      </c>
      <c r="AK71" s="1"/>
      <c r="AL71" s="1"/>
      <c r="AM71" s="98">
        <v>0</v>
      </c>
    </row>
    <row r="72" spans="1:39" x14ac:dyDescent="0.25">
      <c r="A72" s="179" t="s">
        <v>419</v>
      </c>
      <c r="B72" s="1">
        <v>2</v>
      </c>
      <c r="C72" s="1" t="s">
        <v>418</v>
      </c>
      <c r="D72" s="13">
        <v>39119</v>
      </c>
      <c r="E72" s="174">
        <f t="shared" si="26"/>
        <v>2863</v>
      </c>
      <c r="F72" s="201"/>
      <c r="G72" s="13">
        <v>41701</v>
      </c>
      <c r="H72" s="13">
        <f t="shared" si="30"/>
        <v>41596</v>
      </c>
      <c r="I72" s="13">
        <v>41982</v>
      </c>
      <c r="J72" s="13"/>
      <c r="K72" s="1">
        <f t="shared" si="27"/>
        <v>2582</v>
      </c>
      <c r="L72" s="1">
        <f t="shared" si="28"/>
        <v>105</v>
      </c>
      <c r="M72" s="1">
        <f t="shared" si="29"/>
        <v>281</v>
      </c>
      <c r="N72" s="1"/>
      <c r="O72" s="1" t="s">
        <v>417</v>
      </c>
      <c r="P72" s="1">
        <v>5.13</v>
      </c>
      <c r="Q72" s="1"/>
      <c r="R72" s="1"/>
      <c r="S72" s="1">
        <f t="shared" si="22"/>
        <v>1</v>
      </c>
      <c r="T72" s="1">
        <f t="shared" si="23"/>
        <v>1</v>
      </c>
      <c r="U72" s="1"/>
      <c r="V72" s="1"/>
      <c r="W72" s="1"/>
      <c r="X72" s="1"/>
      <c r="Y72" s="1"/>
      <c r="Z72" s="98">
        <v>4</v>
      </c>
      <c r="AA72" s="98">
        <v>0</v>
      </c>
      <c r="AB72" s="1"/>
      <c r="AC72" s="1"/>
      <c r="AD72" s="1"/>
      <c r="AE72" s="172">
        <v>60</v>
      </c>
      <c r="AF72" s="1" t="s">
        <v>417</v>
      </c>
      <c r="AG72" s="1">
        <v>2</v>
      </c>
      <c r="AH72" s="98">
        <v>0.35</v>
      </c>
      <c r="AI72" s="172">
        <v>2.5</v>
      </c>
      <c r="AJ72" s="172">
        <v>0.35</v>
      </c>
      <c r="AK72" s="1"/>
      <c r="AL72" s="1"/>
      <c r="AM72" s="98">
        <v>0</v>
      </c>
    </row>
    <row r="73" spans="1:39" x14ac:dyDescent="0.25">
      <c r="A73" s="179" t="s">
        <v>419</v>
      </c>
      <c r="B73" s="1">
        <v>2</v>
      </c>
      <c r="C73" s="1" t="s">
        <v>418</v>
      </c>
      <c r="D73" s="13">
        <v>39119</v>
      </c>
      <c r="E73" s="174">
        <f t="shared" si="26"/>
        <v>2863</v>
      </c>
      <c r="F73" s="201"/>
      <c r="G73" s="13">
        <v>41799</v>
      </c>
      <c r="H73" s="13">
        <f t="shared" si="30"/>
        <v>41701</v>
      </c>
      <c r="I73" s="13">
        <v>41982</v>
      </c>
      <c r="J73" s="13"/>
      <c r="K73" s="1">
        <f t="shared" si="27"/>
        <v>2680</v>
      </c>
      <c r="L73" s="1">
        <f t="shared" si="28"/>
        <v>98</v>
      </c>
      <c r="M73" s="1">
        <f t="shared" si="29"/>
        <v>183</v>
      </c>
      <c r="N73" s="1"/>
      <c r="O73" s="1" t="s">
        <v>417</v>
      </c>
      <c r="P73" s="1">
        <v>5.07</v>
      </c>
      <c r="Q73" s="1"/>
      <c r="R73" s="1"/>
      <c r="S73" s="1">
        <f t="shared" si="22"/>
        <v>1</v>
      </c>
      <c r="T73" s="1">
        <f t="shared" si="23"/>
        <v>1</v>
      </c>
      <c r="U73" s="1"/>
      <c r="V73" s="1"/>
      <c r="W73" s="1"/>
      <c r="X73" s="1"/>
      <c r="Y73" s="1"/>
      <c r="Z73" s="98">
        <v>3</v>
      </c>
      <c r="AA73" s="98">
        <v>0</v>
      </c>
      <c r="AB73" s="1"/>
      <c r="AC73" s="1"/>
      <c r="AD73" s="1"/>
      <c r="AE73" s="172">
        <v>60</v>
      </c>
      <c r="AF73" s="1" t="s">
        <v>417</v>
      </c>
      <c r="AG73" s="1">
        <v>2</v>
      </c>
      <c r="AH73" s="98">
        <v>0.35</v>
      </c>
      <c r="AI73" s="172">
        <v>2.5</v>
      </c>
      <c r="AJ73" s="172">
        <v>0.35</v>
      </c>
      <c r="AK73" s="1"/>
      <c r="AL73" s="1"/>
      <c r="AM73" s="98">
        <v>0</v>
      </c>
    </row>
    <row r="74" spans="1:39" x14ac:dyDescent="0.25">
      <c r="A74" s="179" t="s">
        <v>419</v>
      </c>
      <c r="B74" s="1">
        <v>2</v>
      </c>
      <c r="C74" s="1" t="s">
        <v>418</v>
      </c>
      <c r="D74" s="13">
        <v>39119</v>
      </c>
      <c r="E74" s="174">
        <f t="shared" si="26"/>
        <v>2863</v>
      </c>
      <c r="F74" s="201"/>
      <c r="G74" s="13">
        <v>41904</v>
      </c>
      <c r="H74" s="13">
        <f t="shared" si="30"/>
        <v>41799</v>
      </c>
      <c r="I74" s="13">
        <v>41982</v>
      </c>
      <c r="J74" s="13"/>
      <c r="K74" s="1">
        <f t="shared" si="27"/>
        <v>2785</v>
      </c>
      <c r="L74" s="1">
        <f t="shared" si="28"/>
        <v>105</v>
      </c>
      <c r="M74" s="1">
        <f t="shared" si="29"/>
        <v>78</v>
      </c>
      <c r="N74" s="1"/>
      <c r="O74" s="1" t="s">
        <v>417</v>
      </c>
      <c r="P74" s="1">
        <v>4.9800000000000004</v>
      </c>
      <c r="Q74" s="1"/>
      <c r="R74" s="1"/>
      <c r="S74" s="1"/>
      <c r="T74" s="1"/>
      <c r="U74" s="1"/>
      <c r="V74" s="1"/>
      <c r="W74" s="1"/>
      <c r="X74" s="1"/>
      <c r="Y74" s="1"/>
      <c r="Z74" s="98">
        <v>2</v>
      </c>
      <c r="AA74" s="98">
        <v>0</v>
      </c>
      <c r="AB74" s="1"/>
      <c r="AC74" s="1"/>
      <c r="AD74" s="1"/>
      <c r="AE74" s="172">
        <v>60</v>
      </c>
      <c r="AF74" s="1" t="s">
        <v>417</v>
      </c>
      <c r="AG74" s="1">
        <v>2</v>
      </c>
      <c r="AH74" s="98">
        <v>0.35</v>
      </c>
      <c r="AI74" s="172">
        <v>2.5</v>
      </c>
      <c r="AJ74" s="172">
        <v>0.35</v>
      </c>
      <c r="AK74" s="1"/>
      <c r="AL74" s="1"/>
      <c r="AM74" s="98">
        <v>0</v>
      </c>
    </row>
    <row r="75" spans="1:39" x14ac:dyDescent="0.25">
      <c r="A75" s="179" t="s">
        <v>419</v>
      </c>
      <c r="B75" s="1">
        <v>2</v>
      </c>
      <c r="C75" s="1" t="s">
        <v>418</v>
      </c>
      <c r="D75" s="13">
        <v>39119</v>
      </c>
      <c r="E75" s="174">
        <f t="shared" si="26"/>
        <v>2863</v>
      </c>
      <c r="F75" s="201"/>
      <c r="G75" s="13">
        <v>41982</v>
      </c>
      <c r="H75" s="13">
        <f>G74</f>
        <v>41904</v>
      </c>
      <c r="I75" s="13">
        <v>41982</v>
      </c>
      <c r="J75" s="13"/>
      <c r="K75" s="1">
        <f t="shared" si="27"/>
        <v>2863</v>
      </c>
      <c r="L75" s="1">
        <f t="shared" si="28"/>
        <v>78</v>
      </c>
      <c r="M75" s="1">
        <f t="shared" si="29"/>
        <v>0</v>
      </c>
      <c r="N75" s="1"/>
      <c r="O75" s="1" t="s">
        <v>417</v>
      </c>
      <c r="P75" s="1">
        <v>4.84</v>
      </c>
      <c r="Q75" s="1"/>
      <c r="R75" s="1"/>
      <c r="S75" s="1"/>
      <c r="T75" s="1"/>
      <c r="U75" s="1"/>
      <c r="V75" s="1"/>
      <c r="W75" s="1"/>
      <c r="X75" s="1"/>
      <c r="Y75" s="1"/>
      <c r="Z75" s="98">
        <v>3</v>
      </c>
      <c r="AA75" s="98">
        <v>0</v>
      </c>
      <c r="AB75" s="1"/>
      <c r="AC75" s="1"/>
      <c r="AD75" s="1"/>
      <c r="AE75" s="172">
        <v>60</v>
      </c>
      <c r="AF75" s="1" t="s">
        <v>417</v>
      </c>
      <c r="AG75" s="1">
        <v>2</v>
      </c>
      <c r="AH75" s="98">
        <v>0.35</v>
      </c>
      <c r="AI75" s="172">
        <v>2.5</v>
      </c>
      <c r="AJ75" s="172">
        <v>0.35</v>
      </c>
      <c r="AK75" s="1"/>
      <c r="AL75" s="1"/>
      <c r="AM75" s="98">
        <v>0</v>
      </c>
    </row>
    <row r="76" spans="1:39" x14ac:dyDescent="0.25">
      <c r="A76" s="183" t="s">
        <v>50</v>
      </c>
      <c r="B76" s="1">
        <v>2</v>
      </c>
      <c r="C76" s="1" t="s">
        <v>418</v>
      </c>
      <c r="D76" s="13">
        <v>39833</v>
      </c>
      <c r="E76" s="174">
        <f t="shared" si="26"/>
        <v>2211</v>
      </c>
      <c r="F76" s="201"/>
      <c r="G76" s="13">
        <v>40862</v>
      </c>
      <c r="H76" s="13">
        <v>39833</v>
      </c>
      <c r="I76" s="13">
        <v>42044</v>
      </c>
      <c r="J76" s="13"/>
      <c r="K76" s="1">
        <f t="shared" si="27"/>
        <v>1029</v>
      </c>
      <c r="L76" s="1">
        <f t="shared" si="28"/>
        <v>1029</v>
      </c>
      <c r="M76" s="1">
        <f t="shared" si="29"/>
        <v>1182</v>
      </c>
      <c r="N76" s="1"/>
      <c r="O76" s="1" t="s">
        <v>417</v>
      </c>
      <c r="P76" s="1">
        <v>5.66</v>
      </c>
      <c r="Q76" s="1">
        <f t="shared" si="20"/>
        <v>1</v>
      </c>
      <c r="R76" s="1">
        <f t="shared" si="21"/>
        <v>1</v>
      </c>
      <c r="S76" s="1">
        <f t="shared" si="22"/>
        <v>1</v>
      </c>
      <c r="T76" s="1">
        <f t="shared" si="23"/>
        <v>1</v>
      </c>
      <c r="U76" s="1" t="s">
        <v>437</v>
      </c>
      <c r="V76" s="1"/>
      <c r="W76" s="1"/>
      <c r="X76" s="1"/>
      <c r="Y76" s="1"/>
      <c r="Z76" s="1">
        <v>100</v>
      </c>
      <c r="AA76" s="1">
        <v>98</v>
      </c>
      <c r="AB76" s="1"/>
      <c r="AC76" s="1">
        <v>0</v>
      </c>
      <c r="AD76" s="1">
        <v>0</v>
      </c>
      <c r="AE76" s="172">
        <v>55</v>
      </c>
      <c r="AF76" s="1" t="s">
        <v>434</v>
      </c>
      <c r="AG76" s="1">
        <v>2.5</v>
      </c>
      <c r="AH76" s="1">
        <v>0.35</v>
      </c>
      <c r="AI76" s="1">
        <v>3.5</v>
      </c>
      <c r="AJ76" s="1">
        <v>0.5</v>
      </c>
      <c r="AK76" s="1"/>
      <c r="AL76" s="1"/>
      <c r="AM76" s="1">
        <v>0</v>
      </c>
    </row>
    <row r="77" spans="1:39" x14ac:dyDescent="0.25">
      <c r="A77" s="183" t="s">
        <v>50</v>
      </c>
      <c r="B77" s="1">
        <v>2</v>
      </c>
      <c r="C77" s="1" t="s">
        <v>418</v>
      </c>
      <c r="D77" s="13">
        <v>39833</v>
      </c>
      <c r="E77" s="174">
        <f t="shared" si="26"/>
        <v>2211</v>
      </c>
      <c r="F77" s="201"/>
      <c r="G77" s="13">
        <v>41051</v>
      </c>
      <c r="H77" s="13">
        <f>G76</f>
        <v>40862</v>
      </c>
      <c r="I77" s="13">
        <v>42044</v>
      </c>
      <c r="J77" s="13"/>
      <c r="K77" s="1">
        <f t="shared" si="27"/>
        <v>1218</v>
      </c>
      <c r="L77" s="1">
        <f t="shared" si="28"/>
        <v>189</v>
      </c>
      <c r="M77" s="1">
        <f t="shared" si="29"/>
        <v>993</v>
      </c>
      <c r="N77" s="1"/>
      <c r="O77" s="1" t="s">
        <v>417</v>
      </c>
      <c r="P77" s="1">
        <v>5.29</v>
      </c>
      <c r="Q77" s="1">
        <f t="shared" si="20"/>
        <v>1</v>
      </c>
      <c r="R77" s="1">
        <f t="shared" si="21"/>
        <v>1</v>
      </c>
      <c r="S77" s="1">
        <f t="shared" si="22"/>
        <v>1</v>
      </c>
      <c r="T77" s="1">
        <f t="shared" si="23"/>
        <v>1</v>
      </c>
      <c r="U77" s="1" t="s">
        <v>437</v>
      </c>
      <c r="V77" s="1"/>
      <c r="W77" s="1"/>
      <c r="X77" s="1"/>
      <c r="Y77" s="1"/>
      <c r="Z77" s="1">
        <v>100</v>
      </c>
      <c r="AA77" s="1">
        <v>99</v>
      </c>
      <c r="AB77" s="1"/>
      <c r="AC77" s="1">
        <v>0</v>
      </c>
      <c r="AD77" s="1">
        <v>0</v>
      </c>
      <c r="AE77" s="172">
        <v>55</v>
      </c>
      <c r="AF77" s="1" t="s">
        <v>434</v>
      </c>
      <c r="AG77" s="1">
        <v>2.5</v>
      </c>
      <c r="AH77" s="1">
        <v>0.35</v>
      </c>
      <c r="AI77" s="1">
        <v>3.5</v>
      </c>
      <c r="AJ77" s="1">
        <v>0.5</v>
      </c>
      <c r="AK77" s="1"/>
      <c r="AL77" s="1"/>
      <c r="AM77" s="1">
        <v>0</v>
      </c>
    </row>
    <row r="78" spans="1:39" x14ac:dyDescent="0.25">
      <c r="A78" s="183" t="s">
        <v>50</v>
      </c>
      <c r="B78" s="1">
        <v>2</v>
      </c>
      <c r="C78" s="1" t="s">
        <v>418</v>
      </c>
      <c r="D78" s="13">
        <v>39833</v>
      </c>
      <c r="E78" s="174">
        <f t="shared" si="26"/>
        <v>2211</v>
      </c>
      <c r="F78" s="201"/>
      <c r="G78" s="13">
        <v>41193</v>
      </c>
      <c r="H78" s="13">
        <f t="shared" ref="H78:H86" si="31">G77</f>
        <v>41051</v>
      </c>
      <c r="I78" s="13">
        <v>42044</v>
      </c>
      <c r="J78" s="13"/>
      <c r="K78" s="1">
        <f t="shared" si="27"/>
        <v>1360</v>
      </c>
      <c r="L78" s="1">
        <f t="shared" si="28"/>
        <v>142</v>
      </c>
      <c r="M78" s="1">
        <f t="shared" si="29"/>
        <v>851</v>
      </c>
      <c r="N78" s="1"/>
      <c r="O78" s="1" t="s">
        <v>417</v>
      </c>
      <c r="P78" s="1">
        <v>5.19</v>
      </c>
      <c r="Q78" s="1">
        <f t="shared" si="20"/>
        <v>1</v>
      </c>
      <c r="R78" s="1">
        <f t="shared" si="21"/>
        <v>1</v>
      </c>
      <c r="S78" s="1">
        <f t="shared" si="22"/>
        <v>1</v>
      </c>
      <c r="T78" s="1">
        <f t="shared" si="23"/>
        <v>1</v>
      </c>
      <c r="U78" s="1" t="s">
        <v>437</v>
      </c>
      <c r="V78" s="1"/>
      <c r="W78" s="1"/>
      <c r="X78" s="1"/>
      <c r="Y78" s="1"/>
      <c r="Z78" s="1">
        <v>99</v>
      </c>
      <c r="AA78" s="1">
        <v>98</v>
      </c>
      <c r="AB78" s="1"/>
      <c r="AC78" s="1">
        <v>0</v>
      </c>
      <c r="AD78" s="1">
        <v>0</v>
      </c>
      <c r="AE78" s="172">
        <v>55</v>
      </c>
      <c r="AF78" s="1" t="s">
        <v>434</v>
      </c>
      <c r="AG78" s="1">
        <v>2.5</v>
      </c>
      <c r="AH78" s="1">
        <v>0.35</v>
      </c>
      <c r="AI78" s="1">
        <v>3.5</v>
      </c>
      <c r="AJ78" s="1">
        <v>0.5</v>
      </c>
      <c r="AK78" s="1"/>
      <c r="AL78" s="1"/>
      <c r="AM78" s="1">
        <v>0</v>
      </c>
    </row>
    <row r="79" spans="1:39" x14ac:dyDescent="0.25">
      <c r="A79" s="183" t="s">
        <v>50</v>
      </c>
      <c r="B79" s="1">
        <v>2</v>
      </c>
      <c r="C79" s="1" t="s">
        <v>418</v>
      </c>
      <c r="D79" s="13">
        <v>39833</v>
      </c>
      <c r="E79" s="174">
        <f t="shared" si="26"/>
        <v>2211</v>
      </c>
      <c r="F79" s="201"/>
      <c r="G79" s="13">
        <v>41240</v>
      </c>
      <c r="H79" s="13">
        <f t="shared" si="31"/>
        <v>41193</v>
      </c>
      <c r="I79" s="13">
        <v>42044</v>
      </c>
      <c r="J79" s="13"/>
      <c r="K79" s="1">
        <f t="shared" si="27"/>
        <v>1407</v>
      </c>
      <c r="L79" s="1">
        <f t="shared" si="28"/>
        <v>47</v>
      </c>
      <c r="M79" s="1">
        <f t="shared" si="29"/>
        <v>804</v>
      </c>
      <c r="N79" s="1"/>
      <c r="O79" s="1" t="s">
        <v>417</v>
      </c>
      <c r="P79" s="1">
        <v>5.17</v>
      </c>
      <c r="Q79" s="1">
        <f t="shared" si="20"/>
        <v>1</v>
      </c>
      <c r="R79" s="1">
        <f t="shared" si="21"/>
        <v>1</v>
      </c>
      <c r="S79" s="1">
        <f t="shared" si="22"/>
        <v>1</v>
      </c>
      <c r="T79" s="1">
        <f t="shared" si="23"/>
        <v>1</v>
      </c>
      <c r="U79" s="1" t="s">
        <v>437</v>
      </c>
      <c r="V79" s="1"/>
      <c r="W79" s="1"/>
      <c r="X79" s="1"/>
      <c r="Y79" s="1"/>
      <c r="Z79" s="1">
        <v>100</v>
      </c>
      <c r="AA79" s="1">
        <v>95</v>
      </c>
      <c r="AB79" s="1"/>
      <c r="AC79" s="1">
        <v>0</v>
      </c>
      <c r="AD79" s="1">
        <v>0</v>
      </c>
      <c r="AE79" s="172">
        <v>55</v>
      </c>
      <c r="AF79" s="1" t="s">
        <v>434</v>
      </c>
      <c r="AG79" s="1">
        <v>2.5</v>
      </c>
      <c r="AH79" s="1">
        <v>0.35</v>
      </c>
      <c r="AI79" s="1">
        <v>3.5</v>
      </c>
      <c r="AJ79" s="1">
        <v>0.5</v>
      </c>
      <c r="AK79" s="1"/>
      <c r="AL79" s="1"/>
      <c r="AM79" s="1">
        <v>0</v>
      </c>
    </row>
    <row r="80" spans="1:39" x14ac:dyDescent="0.25">
      <c r="A80" s="183" t="s">
        <v>50</v>
      </c>
      <c r="B80" s="1">
        <v>2</v>
      </c>
      <c r="C80" s="1" t="s">
        <v>418</v>
      </c>
      <c r="D80" s="13">
        <v>39833</v>
      </c>
      <c r="E80" s="174">
        <f t="shared" si="26"/>
        <v>2211</v>
      </c>
      <c r="F80" s="201"/>
      <c r="G80" s="13">
        <v>41394</v>
      </c>
      <c r="H80" s="13">
        <f t="shared" si="31"/>
        <v>41240</v>
      </c>
      <c r="I80" s="13">
        <v>42044</v>
      </c>
      <c r="J80" s="13"/>
      <c r="K80" s="1">
        <f t="shared" si="27"/>
        <v>1561</v>
      </c>
      <c r="L80" s="1">
        <f t="shared" si="28"/>
        <v>154</v>
      </c>
      <c r="M80" s="1">
        <f t="shared" si="29"/>
        <v>650</v>
      </c>
      <c r="N80" s="1"/>
      <c r="O80" s="1" t="s">
        <v>417</v>
      </c>
      <c r="P80" s="1">
        <v>5.16</v>
      </c>
      <c r="Q80" s="1">
        <f t="shared" si="20"/>
        <v>1</v>
      </c>
      <c r="R80" s="1">
        <f t="shared" si="21"/>
        <v>1</v>
      </c>
      <c r="S80" s="1">
        <f t="shared" si="22"/>
        <v>1</v>
      </c>
      <c r="T80" s="1">
        <f t="shared" si="23"/>
        <v>1</v>
      </c>
      <c r="U80" s="1" t="s">
        <v>437</v>
      </c>
      <c r="V80" s="1"/>
      <c r="W80" s="1"/>
      <c r="X80" s="1"/>
      <c r="Y80" s="1"/>
      <c r="Z80" s="1">
        <v>99</v>
      </c>
      <c r="AA80" s="1">
        <v>99</v>
      </c>
      <c r="AB80" s="1"/>
      <c r="AC80" s="1">
        <v>0</v>
      </c>
      <c r="AD80" s="1">
        <v>0</v>
      </c>
      <c r="AE80" s="172">
        <v>55</v>
      </c>
      <c r="AF80" s="1" t="s">
        <v>434</v>
      </c>
      <c r="AG80" s="1">
        <v>2.5</v>
      </c>
      <c r="AH80" s="1">
        <v>0.35</v>
      </c>
      <c r="AI80" s="1">
        <v>3.5</v>
      </c>
      <c r="AJ80" s="1">
        <v>0.5</v>
      </c>
      <c r="AK80" s="1"/>
      <c r="AL80" s="1"/>
      <c r="AM80" s="1">
        <v>0</v>
      </c>
    </row>
    <row r="81" spans="1:39" x14ac:dyDescent="0.25">
      <c r="A81" s="183" t="s">
        <v>50</v>
      </c>
      <c r="B81" s="1">
        <v>2</v>
      </c>
      <c r="C81" s="1" t="s">
        <v>418</v>
      </c>
      <c r="D81" s="13">
        <v>39833</v>
      </c>
      <c r="E81" s="174">
        <f t="shared" si="26"/>
        <v>2211</v>
      </c>
      <c r="F81" s="201"/>
      <c r="G81" s="13">
        <v>41486</v>
      </c>
      <c r="H81" s="13">
        <f t="shared" si="31"/>
        <v>41394</v>
      </c>
      <c r="I81" s="13">
        <v>42044</v>
      </c>
      <c r="J81" s="13"/>
      <c r="K81" s="1">
        <f t="shared" si="27"/>
        <v>1653</v>
      </c>
      <c r="L81" s="1">
        <f t="shared" si="28"/>
        <v>92</v>
      </c>
      <c r="M81" s="1">
        <f t="shared" si="29"/>
        <v>558</v>
      </c>
      <c r="N81" s="1"/>
      <c r="O81" s="1" t="s">
        <v>417</v>
      </c>
      <c r="P81" s="1">
        <v>5.16</v>
      </c>
      <c r="Q81" s="1">
        <f t="shared" si="20"/>
        <v>1</v>
      </c>
      <c r="R81" s="1">
        <f t="shared" si="21"/>
        <v>1</v>
      </c>
      <c r="S81" s="1">
        <f t="shared" si="22"/>
        <v>1</v>
      </c>
      <c r="T81" s="1">
        <f t="shared" si="23"/>
        <v>1</v>
      </c>
      <c r="U81" s="1" t="s">
        <v>437</v>
      </c>
      <c r="V81" s="1"/>
      <c r="W81" s="1"/>
      <c r="X81" s="1"/>
      <c r="Y81" s="1"/>
      <c r="Z81" s="1">
        <v>100</v>
      </c>
      <c r="AA81" s="1">
        <v>100</v>
      </c>
      <c r="AB81" s="1"/>
      <c r="AC81" s="1">
        <v>0</v>
      </c>
      <c r="AD81" s="1">
        <v>0</v>
      </c>
      <c r="AE81" s="172">
        <v>55</v>
      </c>
      <c r="AF81" s="1" t="s">
        <v>434</v>
      </c>
      <c r="AG81" s="1">
        <v>2</v>
      </c>
      <c r="AH81" s="1">
        <v>0.35</v>
      </c>
      <c r="AI81" s="1">
        <v>3</v>
      </c>
      <c r="AJ81" s="1">
        <v>0.5</v>
      </c>
      <c r="AK81" s="1"/>
      <c r="AL81" s="1"/>
      <c r="AM81" s="1">
        <v>0</v>
      </c>
    </row>
    <row r="82" spans="1:39" x14ac:dyDescent="0.25">
      <c r="A82" s="183" t="s">
        <v>50</v>
      </c>
      <c r="B82" s="1">
        <v>2</v>
      </c>
      <c r="C82" s="1" t="s">
        <v>418</v>
      </c>
      <c r="D82" s="13">
        <v>39833</v>
      </c>
      <c r="E82" s="174">
        <f t="shared" si="26"/>
        <v>2211</v>
      </c>
      <c r="F82" s="201"/>
      <c r="G82" s="13">
        <v>41568</v>
      </c>
      <c r="H82" s="13">
        <f t="shared" si="31"/>
        <v>41486</v>
      </c>
      <c r="I82" s="13">
        <v>42044</v>
      </c>
      <c r="J82" s="13"/>
      <c r="K82" s="1">
        <f t="shared" si="27"/>
        <v>1735</v>
      </c>
      <c r="L82" s="1">
        <f t="shared" si="28"/>
        <v>82</v>
      </c>
      <c r="M82" s="1">
        <f t="shared" si="29"/>
        <v>476</v>
      </c>
      <c r="N82" s="1"/>
      <c r="O82" s="1" t="s">
        <v>417</v>
      </c>
      <c r="P82" s="1">
        <v>5.14</v>
      </c>
      <c r="Q82" s="1"/>
      <c r="R82" s="1">
        <f t="shared" si="21"/>
        <v>1</v>
      </c>
      <c r="S82" s="1">
        <f t="shared" si="22"/>
        <v>1</v>
      </c>
      <c r="T82" s="1">
        <f t="shared" si="23"/>
        <v>1</v>
      </c>
      <c r="U82" s="1"/>
      <c r="V82" s="1"/>
      <c r="W82" s="1"/>
      <c r="X82" s="1"/>
      <c r="Y82" s="1"/>
      <c r="Z82" s="1">
        <v>99</v>
      </c>
      <c r="AA82" s="1">
        <v>99</v>
      </c>
      <c r="AB82" s="1"/>
      <c r="AC82" s="1">
        <v>0</v>
      </c>
      <c r="AD82" s="1">
        <v>0</v>
      </c>
      <c r="AE82" s="172">
        <v>55</v>
      </c>
      <c r="AF82" s="1" t="s">
        <v>434</v>
      </c>
      <c r="AG82" s="1">
        <v>2</v>
      </c>
      <c r="AH82" s="1">
        <v>0.35</v>
      </c>
      <c r="AI82" s="1">
        <v>3</v>
      </c>
      <c r="AJ82" s="1">
        <v>0.5</v>
      </c>
      <c r="AK82" s="1"/>
      <c r="AL82" s="1"/>
      <c r="AM82" s="1">
        <v>0</v>
      </c>
    </row>
    <row r="83" spans="1:39" x14ac:dyDescent="0.25">
      <c r="A83" s="183" t="s">
        <v>50</v>
      </c>
      <c r="B83" s="1">
        <v>2</v>
      </c>
      <c r="C83" s="1" t="s">
        <v>418</v>
      </c>
      <c r="D83" s="13">
        <v>39833</v>
      </c>
      <c r="E83" s="174">
        <f t="shared" si="26"/>
        <v>2211</v>
      </c>
      <c r="F83" s="201"/>
      <c r="G83" s="13">
        <v>41730</v>
      </c>
      <c r="H83" s="13">
        <f t="shared" si="31"/>
        <v>41568</v>
      </c>
      <c r="I83" s="13">
        <v>42044</v>
      </c>
      <c r="J83" s="13"/>
      <c r="K83" s="1">
        <f t="shared" si="27"/>
        <v>1897</v>
      </c>
      <c r="L83" s="1">
        <f t="shared" si="28"/>
        <v>162</v>
      </c>
      <c r="M83" s="1">
        <f t="shared" si="29"/>
        <v>314</v>
      </c>
      <c r="N83" s="1"/>
      <c r="O83" s="1" t="s">
        <v>417</v>
      </c>
      <c r="P83" s="1">
        <v>5.0999999999999996</v>
      </c>
      <c r="Q83" s="1"/>
      <c r="R83" s="1"/>
      <c r="S83" s="1">
        <f t="shared" si="22"/>
        <v>1</v>
      </c>
      <c r="T83" s="1">
        <f t="shared" si="23"/>
        <v>1</v>
      </c>
      <c r="U83" s="1"/>
      <c r="V83" s="1"/>
      <c r="W83" s="1"/>
      <c r="X83" s="1"/>
      <c r="Y83" s="1"/>
      <c r="Z83" s="1">
        <v>99</v>
      </c>
      <c r="AA83" s="1">
        <v>99</v>
      </c>
      <c r="AB83" s="1"/>
      <c r="AC83" s="1">
        <v>0</v>
      </c>
      <c r="AD83" s="1">
        <v>0</v>
      </c>
      <c r="AE83" s="172">
        <v>55</v>
      </c>
      <c r="AF83" s="1" t="s">
        <v>434</v>
      </c>
      <c r="AG83" s="1">
        <v>2</v>
      </c>
      <c r="AH83" s="1">
        <v>0.35</v>
      </c>
      <c r="AI83" s="1">
        <v>3</v>
      </c>
      <c r="AJ83" s="1">
        <v>0.5</v>
      </c>
      <c r="AK83" s="1"/>
      <c r="AL83" s="1"/>
      <c r="AM83" s="1">
        <v>0</v>
      </c>
    </row>
    <row r="84" spans="1:39" x14ac:dyDescent="0.25">
      <c r="A84" s="183" t="s">
        <v>50</v>
      </c>
      <c r="B84" s="1">
        <v>2</v>
      </c>
      <c r="C84" s="1" t="s">
        <v>418</v>
      </c>
      <c r="D84" s="13">
        <v>39833</v>
      </c>
      <c r="E84" s="174">
        <f t="shared" si="26"/>
        <v>2211</v>
      </c>
      <c r="F84" s="201"/>
      <c r="G84" s="13">
        <v>41912</v>
      </c>
      <c r="H84" s="13">
        <f t="shared" si="31"/>
        <v>41730</v>
      </c>
      <c r="I84" s="13">
        <v>42044</v>
      </c>
      <c r="J84" s="13"/>
      <c r="K84" s="1">
        <f t="shared" si="27"/>
        <v>2079</v>
      </c>
      <c r="L84" s="1">
        <f t="shared" si="28"/>
        <v>182</v>
      </c>
      <c r="M84" s="1">
        <f t="shared" si="29"/>
        <v>132</v>
      </c>
      <c r="N84" s="1"/>
      <c r="O84" s="1" t="s">
        <v>417</v>
      </c>
      <c r="P84" s="1">
        <v>4.8899999999999997</v>
      </c>
      <c r="Q84" s="1"/>
      <c r="R84" s="1"/>
      <c r="S84" s="1"/>
      <c r="T84" s="1">
        <f t="shared" si="23"/>
        <v>1</v>
      </c>
      <c r="U84" s="1"/>
      <c r="V84" s="1"/>
      <c r="W84" s="1"/>
      <c r="X84" s="1"/>
      <c r="Y84" s="1"/>
      <c r="Z84" s="1">
        <v>100</v>
      </c>
      <c r="AA84" s="1">
        <v>100</v>
      </c>
      <c r="AB84" s="1"/>
      <c r="AC84" s="1">
        <v>0</v>
      </c>
      <c r="AD84" s="1">
        <v>0</v>
      </c>
      <c r="AE84" s="172">
        <v>55</v>
      </c>
      <c r="AF84" s="1" t="s">
        <v>434</v>
      </c>
      <c r="AG84" s="1">
        <v>2</v>
      </c>
      <c r="AH84" s="1">
        <v>0.35</v>
      </c>
      <c r="AI84" s="1">
        <v>3</v>
      </c>
      <c r="AJ84" s="1">
        <v>0.5</v>
      </c>
      <c r="AK84" s="1"/>
      <c r="AL84" s="1"/>
      <c r="AM84" s="1">
        <v>0</v>
      </c>
    </row>
    <row r="85" spans="1:39" x14ac:dyDescent="0.25">
      <c r="A85" s="183" t="s">
        <v>50</v>
      </c>
      <c r="B85" s="1">
        <v>2</v>
      </c>
      <c r="C85" s="1" t="s">
        <v>418</v>
      </c>
      <c r="D85" s="13">
        <v>39833</v>
      </c>
      <c r="E85" s="174">
        <f t="shared" si="26"/>
        <v>2211</v>
      </c>
      <c r="F85" s="201"/>
      <c r="G85" s="13">
        <v>42020</v>
      </c>
      <c r="H85" s="13">
        <f t="shared" si="31"/>
        <v>41912</v>
      </c>
      <c r="I85" s="13">
        <v>42044</v>
      </c>
      <c r="J85" s="13"/>
      <c r="K85" s="1">
        <f t="shared" si="27"/>
        <v>2187</v>
      </c>
      <c r="L85" s="1">
        <f t="shared" si="28"/>
        <v>108</v>
      </c>
      <c r="M85" s="1">
        <f t="shared" si="29"/>
        <v>24</v>
      </c>
      <c r="N85" s="1"/>
      <c r="O85" s="1" t="s">
        <v>434</v>
      </c>
      <c r="P85" s="1">
        <v>4.53</v>
      </c>
      <c r="Q85" s="1"/>
      <c r="R85" s="1"/>
      <c r="S85" s="1"/>
      <c r="T85" s="1"/>
      <c r="U85" s="1"/>
      <c r="V85" s="1">
        <v>0</v>
      </c>
      <c r="W85" s="1">
        <v>0</v>
      </c>
      <c r="X85" s="1">
        <v>0</v>
      </c>
      <c r="Y85" s="1">
        <v>1</v>
      </c>
      <c r="Z85" s="1">
        <v>99</v>
      </c>
      <c r="AA85" s="1">
        <v>99</v>
      </c>
      <c r="AB85" s="1"/>
      <c r="AC85" s="1">
        <v>0</v>
      </c>
      <c r="AD85" s="1">
        <v>0</v>
      </c>
      <c r="AE85" s="172">
        <v>55</v>
      </c>
      <c r="AF85" s="1" t="s">
        <v>434</v>
      </c>
      <c r="AG85" s="1">
        <v>2</v>
      </c>
      <c r="AH85" s="1">
        <v>0.35</v>
      </c>
      <c r="AI85" s="1">
        <v>3</v>
      </c>
      <c r="AJ85" s="1">
        <v>0.5</v>
      </c>
      <c r="AK85" s="1"/>
      <c r="AL85" s="1"/>
      <c r="AM85" s="1">
        <v>0</v>
      </c>
    </row>
    <row r="86" spans="1:39" x14ac:dyDescent="0.25">
      <c r="A86" s="183" t="s">
        <v>50</v>
      </c>
      <c r="B86" s="1">
        <v>2</v>
      </c>
      <c r="C86" s="1" t="s">
        <v>418</v>
      </c>
      <c r="D86" s="13">
        <v>39833</v>
      </c>
      <c r="E86" s="174">
        <f t="shared" si="26"/>
        <v>2211</v>
      </c>
      <c r="F86" s="201"/>
      <c r="G86" s="13">
        <v>42044</v>
      </c>
      <c r="H86" s="13">
        <f t="shared" si="31"/>
        <v>42020</v>
      </c>
      <c r="I86" s="13">
        <v>42044</v>
      </c>
      <c r="J86" s="13"/>
      <c r="K86" s="1">
        <f t="shared" si="27"/>
        <v>2211</v>
      </c>
      <c r="L86" s="1">
        <f t="shared" si="28"/>
        <v>24</v>
      </c>
      <c r="M86" s="1">
        <f t="shared" si="29"/>
        <v>0</v>
      </c>
      <c r="N86" s="1"/>
      <c r="O86" s="1" t="s">
        <v>434</v>
      </c>
      <c r="P86" s="1">
        <v>4.5</v>
      </c>
      <c r="Q86" s="1"/>
      <c r="R86" s="1"/>
      <c r="S86" s="1"/>
      <c r="T86" s="1"/>
      <c r="U86" s="1"/>
      <c r="V86" s="1"/>
      <c r="W86" s="1"/>
      <c r="X86" s="1"/>
      <c r="Y86" s="1"/>
      <c r="Z86" s="1">
        <v>98</v>
      </c>
      <c r="AA86" s="1">
        <v>99</v>
      </c>
      <c r="AB86" s="1"/>
      <c r="AC86" s="1">
        <v>0</v>
      </c>
      <c r="AD86" s="1">
        <v>0</v>
      </c>
      <c r="AE86" s="172">
        <v>55</v>
      </c>
      <c r="AF86" s="1" t="s">
        <v>434</v>
      </c>
      <c r="AG86" s="1">
        <v>2</v>
      </c>
      <c r="AH86" s="1">
        <v>0.35</v>
      </c>
      <c r="AI86" s="1">
        <v>3</v>
      </c>
      <c r="AJ86" s="1">
        <v>0.5</v>
      </c>
      <c r="AK86" s="1"/>
      <c r="AL86" s="1"/>
      <c r="AM86" s="1">
        <v>0</v>
      </c>
    </row>
    <row r="87" spans="1:39" x14ac:dyDescent="0.25">
      <c r="A87" s="191" t="s">
        <v>420</v>
      </c>
      <c r="B87" s="1">
        <v>2</v>
      </c>
      <c r="C87" s="1" t="s">
        <v>418</v>
      </c>
      <c r="D87" s="13">
        <v>39735</v>
      </c>
      <c r="E87" s="174">
        <f t="shared" ref="E87:E94" si="32">I87-D87</f>
        <v>2472</v>
      </c>
      <c r="F87" s="201"/>
      <c r="G87" s="13">
        <v>40995</v>
      </c>
      <c r="H87" s="13">
        <v>39735</v>
      </c>
      <c r="I87" s="13">
        <v>42207</v>
      </c>
      <c r="J87" s="13"/>
      <c r="K87" s="1">
        <f t="shared" ref="K87:K94" si="33">G87-D87</f>
        <v>1260</v>
      </c>
      <c r="L87" s="1">
        <f t="shared" ref="L87:L94" si="34">G87-H87</f>
        <v>1260</v>
      </c>
      <c r="M87" s="1">
        <f t="shared" ref="M87:M94" si="35">I87-G87</f>
        <v>1212</v>
      </c>
      <c r="N87" s="1"/>
      <c r="O87" s="1" t="s">
        <v>417</v>
      </c>
      <c r="P87" s="1">
        <v>5.65</v>
      </c>
      <c r="Q87" s="1">
        <f>IF(M87&gt;=540,1,"nulo")</f>
        <v>1</v>
      </c>
      <c r="R87" s="1">
        <f>IF(M87&gt;=360,1,"nulo")</f>
        <v>1</v>
      </c>
      <c r="S87" s="1">
        <f>IF(M87&gt;=180,1,"nulo")</f>
        <v>1</v>
      </c>
      <c r="T87" s="1">
        <f>IF(M87&gt;=90,1,"nulo")</f>
        <v>1</v>
      </c>
      <c r="U87" s="1" t="s">
        <v>437</v>
      </c>
      <c r="V87" s="1"/>
      <c r="W87" s="1"/>
      <c r="X87" s="1"/>
      <c r="Y87" s="1"/>
      <c r="Z87" s="1">
        <v>0</v>
      </c>
      <c r="AA87" s="1">
        <v>0</v>
      </c>
      <c r="AB87" s="1"/>
      <c r="AC87" s="1">
        <v>0</v>
      </c>
      <c r="AD87" s="98">
        <v>0</v>
      </c>
      <c r="AE87" s="172">
        <v>60</v>
      </c>
      <c r="AF87" s="1" t="s">
        <v>434</v>
      </c>
      <c r="AG87" s="1">
        <v>2.5</v>
      </c>
      <c r="AH87" s="1">
        <v>0.35</v>
      </c>
      <c r="AI87" s="1">
        <v>2.5</v>
      </c>
      <c r="AJ87" s="1">
        <v>0.35</v>
      </c>
      <c r="AK87" s="1"/>
      <c r="AL87" s="1"/>
      <c r="AM87" s="1">
        <v>0</v>
      </c>
    </row>
    <row r="88" spans="1:39" x14ac:dyDescent="0.25">
      <c r="A88" s="191" t="s">
        <v>420</v>
      </c>
      <c r="B88" s="1">
        <v>2</v>
      </c>
      <c r="C88" s="1" t="s">
        <v>418</v>
      </c>
      <c r="D88" s="13">
        <v>39735</v>
      </c>
      <c r="E88" s="174">
        <f t="shared" si="32"/>
        <v>2472</v>
      </c>
      <c r="F88" s="201"/>
      <c r="G88" s="13">
        <v>41184</v>
      </c>
      <c r="H88" s="13">
        <f>G87</f>
        <v>40995</v>
      </c>
      <c r="I88" s="13">
        <v>42207</v>
      </c>
      <c r="J88" s="13"/>
      <c r="K88" s="1">
        <f t="shared" si="33"/>
        <v>1449</v>
      </c>
      <c r="L88" s="1">
        <f t="shared" si="34"/>
        <v>189</v>
      </c>
      <c r="M88" s="1">
        <f t="shared" si="35"/>
        <v>1023</v>
      </c>
      <c r="N88" s="1"/>
      <c r="O88" s="1" t="s">
        <v>417</v>
      </c>
      <c r="P88" s="1">
        <v>5.32</v>
      </c>
      <c r="Q88" s="1">
        <f t="shared" ref="Q88:Q151" si="36">IF(M88&gt;=540,1,"nulo")</f>
        <v>1</v>
      </c>
      <c r="R88" s="1">
        <f t="shared" ref="R88:R151" si="37">IF(M88&gt;=360,1,"nulo")</f>
        <v>1</v>
      </c>
      <c r="S88" s="1">
        <f t="shared" ref="S88:S151" si="38">IF(M88&gt;=180,1,"nulo")</f>
        <v>1</v>
      </c>
      <c r="T88" s="1">
        <f t="shared" ref="T88:T151" si="39">IF(M88&gt;=90,1,"nulo")</f>
        <v>1</v>
      </c>
      <c r="U88" s="1" t="s">
        <v>437</v>
      </c>
      <c r="V88" s="1"/>
      <c r="W88" s="1"/>
      <c r="X88" s="1"/>
      <c r="Y88" s="1"/>
      <c r="Z88" s="1">
        <v>90</v>
      </c>
      <c r="AA88" s="1">
        <v>100</v>
      </c>
      <c r="AB88" s="1"/>
      <c r="AC88" s="1">
        <v>0</v>
      </c>
      <c r="AD88" s="98">
        <v>0</v>
      </c>
      <c r="AE88" s="172">
        <v>60</v>
      </c>
      <c r="AF88" s="1" t="s">
        <v>434</v>
      </c>
      <c r="AG88" s="1">
        <v>2.5</v>
      </c>
      <c r="AH88" s="1">
        <v>0.35</v>
      </c>
      <c r="AI88" s="1">
        <v>2.5</v>
      </c>
      <c r="AJ88" s="1">
        <v>0.35</v>
      </c>
      <c r="AK88" s="1"/>
      <c r="AL88" s="1"/>
      <c r="AM88" s="1">
        <v>0</v>
      </c>
    </row>
    <row r="89" spans="1:39" x14ac:dyDescent="0.25">
      <c r="A89" s="191" t="s">
        <v>420</v>
      </c>
      <c r="B89" s="1">
        <v>2</v>
      </c>
      <c r="C89" s="1" t="s">
        <v>418</v>
      </c>
      <c r="D89" s="13">
        <v>39735</v>
      </c>
      <c r="E89" s="174">
        <f t="shared" si="32"/>
        <v>2472</v>
      </c>
      <c r="F89" s="201"/>
      <c r="G89" s="13">
        <v>41309</v>
      </c>
      <c r="H89" s="13">
        <f t="shared" ref="H89:H94" si="40">G88</f>
        <v>41184</v>
      </c>
      <c r="I89" s="13">
        <v>42207</v>
      </c>
      <c r="J89" s="13"/>
      <c r="K89" s="1">
        <f t="shared" si="33"/>
        <v>1574</v>
      </c>
      <c r="L89" s="1">
        <f t="shared" si="34"/>
        <v>125</v>
      </c>
      <c r="M89" s="1">
        <f t="shared" si="35"/>
        <v>898</v>
      </c>
      <c r="N89" s="1"/>
      <c r="O89" s="1" t="s">
        <v>417</v>
      </c>
      <c r="P89" s="1">
        <v>5.24</v>
      </c>
      <c r="Q89" s="1">
        <f t="shared" si="36"/>
        <v>1</v>
      </c>
      <c r="R89" s="1">
        <f t="shared" si="37"/>
        <v>1</v>
      </c>
      <c r="S89" s="1">
        <f t="shared" si="38"/>
        <v>1</v>
      </c>
      <c r="T89" s="1">
        <f t="shared" si="39"/>
        <v>1</v>
      </c>
      <c r="U89" s="1" t="s">
        <v>437</v>
      </c>
      <c r="V89" s="1"/>
      <c r="W89" s="1"/>
      <c r="X89" s="1"/>
      <c r="Y89" s="1"/>
      <c r="Z89" s="1">
        <v>82</v>
      </c>
      <c r="AA89" s="1">
        <v>100</v>
      </c>
      <c r="AB89" s="1"/>
      <c r="AC89" s="1">
        <v>0</v>
      </c>
      <c r="AD89" s="98">
        <v>0</v>
      </c>
      <c r="AE89" s="172">
        <v>60</v>
      </c>
      <c r="AF89" s="1" t="s">
        <v>434</v>
      </c>
      <c r="AG89" s="1">
        <v>2.5</v>
      </c>
      <c r="AH89" s="1">
        <v>0.35</v>
      </c>
      <c r="AI89" s="1">
        <v>2.5</v>
      </c>
      <c r="AJ89" s="1">
        <v>0.35</v>
      </c>
      <c r="AK89" s="1"/>
      <c r="AL89" s="1"/>
      <c r="AM89" s="1">
        <v>0</v>
      </c>
    </row>
    <row r="90" spans="1:39" x14ac:dyDescent="0.25">
      <c r="A90" s="191" t="s">
        <v>420</v>
      </c>
      <c r="B90" s="1">
        <v>2</v>
      </c>
      <c r="C90" s="1" t="s">
        <v>418</v>
      </c>
      <c r="D90" s="13">
        <v>39735</v>
      </c>
      <c r="E90" s="174">
        <f t="shared" si="32"/>
        <v>2472</v>
      </c>
      <c r="F90" s="201"/>
      <c r="G90" s="13">
        <v>41429</v>
      </c>
      <c r="H90" s="13">
        <f t="shared" si="40"/>
        <v>41309</v>
      </c>
      <c r="I90" s="13">
        <v>42207</v>
      </c>
      <c r="J90" s="13"/>
      <c r="K90" s="1">
        <f t="shared" si="33"/>
        <v>1694</v>
      </c>
      <c r="L90" s="1">
        <f t="shared" si="34"/>
        <v>120</v>
      </c>
      <c r="M90" s="1">
        <f t="shared" si="35"/>
        <v>778</v>
      </c>
      <c r="N90" s="1"/>
      <c r="O90" s="1" t="s">
        <v>417</v>
      </c>
      <c r="P90" s="1">
        <v>5.18</v>
      </c>
      <c r="Q90" s="1">
        <f t="shared" si="36"/>
        <v>1</v>
      </c>
      <c r="R90" s="1">
        <f t="shared" si="37"/>
        <v>1</v>
      </c>
      <c r="S90" s="1">
        <f t="shared" si="38"/>
        <v>1</v>
      </c>
      <c r="T90" s="1">
        <f t="shared" si="39"/>
        <v>1</v>
      </c>
      <c r="U90" s="1" t="s">
        <v>437</v>
      </c>
      <c r="V90" s="1"/>
      <c r="W90" s="1"/>
      <c r="X90" s="1"/>
      <c r="Y90" s="1"/>
      <c r="Z90" s="1">
        <v>87</v>
      </c>
      <c r="AA90" s="1">
        <v>100</v>
      </c>
      <c r="AB90" s="1"/>
      <c r="AC90" s="1">
        <v>0</v>
      </c>
      <c r="AD90" s="98">
        <v>0</v>
      </c>
      <c r="AE90" s="172">
        <v>60</v>
      </c>
      <c r="AF90" s="1" t="s">
        <v>434</v>
      </c>
      <c r="AG90" s="1">
        <v>2.5</v>
      </c>
      <c r="AH90" s="1">
        <v>0.35</v>
      </c>
      <c r="AI90" s="1">
        <v>2.5</v>
      </c>
      <c r="AJ90" s="1">
        <v>0.35</v>
      </c>
      <c r="AK90" s="1"/>
      <c r="AL90" s="1"/>
      <c r="AM90" s="1">
        <v>0</v>
      </c>
    </row>
    <row r="91" spans="1:39" x14ac:dyDescent="0.25">
      <c r="A91" s="191" t="s">
        <v>420</v>
      </c>
      <c r="B91" s="1">
        <v>2</v>
      </c>
      <c r="C91" s="1" t="s">
        <v>418</v>
      </c>
      <c r="D91" s="13">
        <v>39735</v>
      </c>
      <c r="E91" s="174">
        <f t="shared" si="32"/>
        <v>2472</v>
      </c>
      <c r="F91" s="201"/>
      <c r="G91" s="13">
        <v>41568</v>
      </c>
      <c r="H91" s="13">
        <f t="shared" si="40"/>
        <v>41429</v>
      </c>
      <c r="I91" s="13">
        <v>42207</v>
      </c>
      <c r="J91" s="13"/>
      <c r="K91" s="1">
        <f t="shared" si="33"/>
        <v>1833</v>
      </c>
      <c r="L91" s="1">
        <f t="shared" si="34"/>
        <v>139</v>
      </c>
      <c r="M91" s="1">
        <f t="shared" si="35"/>
        <v>639</v>
      </c>
      <c r="N91" s="1"/>
      <c r="O91" s="1" t="s">
        <v>417</v>
      </c>
      <c r="P91" s="1">
        <v>5.17</v>
      </c>
      <c r="Q91" s="1">
        <f t="shared" si="36"/>
        <v>1</v>
      </c>
      <c r="R91" s="1">
        <f t="shared" si="37"/>
        <v>1</v>
      </c>
      <c r="S91" s="1">
        <f t="shared" si="38"/>
        <v>1</v>
      </c>
      <c r="T91" s="1">
        <f t="shared" si="39"/>
        <v>1</v>
      </c>
      <c r="U91" s="1" t="s">
        <v>437</v>
      </c>
      <c r="V91" s="1"/>
      <c r="W91" s="1"/>
      <c r="X91" s="1"/>
      <c r="Y91" s="1"/>
      <c r="Z91" s="1">
        <v>90</v>
      </c>
      <c r="AA91" s="1">
        <v>100</v>
      </c>
      <c r="AB91" s="1"/>
      <c r="AC91" s="1">
        <v>0</v>
      </c>
      <c r="AD91" s="98">
        <v>0</v>
      </c>
      <c r="AE91" s="172">
        <v>60</v>
      </c>
      <c r="AF91" s="1" t="s">
        <v>434</v>
      </c>
      <c r="AG91" s="1">
        <v>2.5</v>
      </c>
      <c r="AH91" s="1">
        <v>0.35</v>
      </c>
      <c r="AI91" s="1">
        <v>2.5</v>
      </c>
      <c r="AJ91" s="1">
        <v>0.35</v>
      </c>
      <c r="AK91" s="1"/>
      <c r="AL91" s="1"/>
      <c r="AM91" s="1">
        <v>0</v>
      </c>
    </row>
    <row r="92" spans="1:39" x14ac:dyDescent="0.25">
      <c r="A92" s="191" t="s">
        <v>420</v>
      </c>
      <c r="B92" s="1">
        <v>2</v>
      </c>
      <c r="C92" s="1" t="s">
        <v>418</v>
      </c>
      <c r="D92" s="13">
        <v>39735</v>
      </c>
      <c r="E92" s="174">
        <f t="shared" si="32"/>
        <v>2472</v>
      </c>
      <c r="F92" s="201"/>
      <c r="G92" s="13">
        <v>41751</v>
      </c>
      <c r="H92" s="13">
        <f t="shared" si="40"/>
        <v>41568</v>
      </c>
      <c r="I92" s="13">
        <v>42207</v>
      </c>
      <c r="J92" s="13"/>
      <c r="K92" s="1">
        <f t="shared" si="33"/>
        <v>2016</v>
      </c>
      <c r="L92" s="1">
        <f t="shared" si="34"/>
        <v>183</v>
      </c>
      <c r="M92" s="1">
        <f t="shared" si="35"/>
        <v>456</v>
      </c>
      <c r="N92" s="1"/>
      <c r="O92" s="1" t="s">
        <v>417</v>
      </c>
      <c r="P92" s="1">
        <v>5.15</v>
      </c>
      <c r="Q92" s="1"/>
      <c r="R92" s="1">
        <f t="shared" si="37"/>
        <v>1</v>
      </c>
      <c r="S92" s="1">
        <f t="shared" si="38"/>
        <v>1</v>
      </c>
      <c r="T92" s="1">
        <f t="shared" si="39"/>
        <v>1</v>
      </c>
      <c r="U92" s="1"/>
      <c r="V92" s="1"/>
      <c r="W92" s="1"/>
      <c r="X92" s="1"/>
      <c r="Y92" s="1"/>
      <c r="Z92" s="1">
        <v>84</v>
      </c>
      <c r="AA92" s="1">
        <v>100</v>
      </c>
      <c r="AB92" s="1"/>
      <c r="AC92" s="1">
        <v>0</v>
      </c>
      <c r="AD92" s="98">
        <v>0</v>
      </c>
      <c r="AE92" s="172">
        <v>60</v>
      </c>
      <c r="AF92" s="1" t="s">
        <v>434</v>
      </c>
      <c r="AG92" s="1">
        <v>2.5</v>
      </c>
      <c r="AH92" s="1">
        <v>0.35</v>
      </c>
      <c r="AI92" s="1">
        <v>2.5</v>
      </c>
      <c r="AJ92" s="1">
        <v>0.35</v>
      </c>
      <c r="AK92" s="1"/>
      <c r="AL92" s="1"/>
      <c r="AM92" s="1">
        <v>0</v>
      </c>
    </row>
    <row r="93" spans="1:39" x14ac:dyDescent="0.25">
      <c r="A93" s="191" t="s">
        <v>420</v>
      </c>
      <c r="B93" s="1">
        <v>2</v>
      </c>
      <c r="C93" s="1" t="s">
        <v>418</v>
      </c>
      <c r="D93" s="13">
        <v>39735</v>
      </c>
      <c r="E93" s="174">
        <f t="shared" si="32"/>
        <v>2472</v>
      </c>
      <c r="F93" s="201"/>
      <c r="G93" s="13">
        <v>41940</v>
      </c>
      <c r="H93" s="13">
        <f t="shared" si="40"/>
        <v>41751</v>
      </c>
      <c r="I93" s="13">
        <v>42207</v>
      </c>
      <c r="J93" s="13"/>
      <c r="K93" s="1">
        <f t="shared" si="33"/>
        <v>2205</v>
      </c>
      <c r="L93" s="1">
        <f t="shared" si="34"/>
        <v>189</v>
      </c>
      <c r="M93" s="1">
        <f t="shared" si="35"/>
        <v>267</v>
      </c>
      <c r="N93" s="1"/>
      <c r="O93" s="1" t="s">
        <v>417</v>
      </c>
      <c r="P93" s="1">
        <v>5.1100000000000003</v>
      </c>
      <c r="Q93" s="1"/>
      <c r="R93" s="1"/>
      <c r="S93" s="1">
        <f t="shared" si="38"/>
        <v>1</v>
      </c>
      <c r="T93" s="1">
        <f t="shared" si="39"/>
        <v>1</v>
      </c>
      <c r="U93" s="1"/>
      <c r="V93" s="1"/>
      <c r="W93" s="1"/>
      <c r="X93" s="1"/>
      <c r="Y93" s="1"/>
      <c r="Z93" s="1">
        <v>86</v>
      </c>
      <c r="AA93" s="1">
        <v>100</v>
      </c>
      <c r="AB93" s="1"/>
      <c r="AC93" s="1">
        <v>0</v>
      </c>
      <c r="AD93" s="98">
        <v>0</v>
      </c>
      <c r="AE93" s="172">
        <v>60</v>
      </c>
      <c r="AF93" s="1" t="s">
        <v>434</v>
      </c>
      <c r="AG93" s="1">
        <v>2.5</v>
      </c>
      <c r="AH93" s="1">
        <v>0.35</v>
      </c>
      <c r="AI93" s="1">
        <v>2.5</v>
      </c>
      <c r="AJ93" s="1">
        <v>0.35</v>
      </c>
      <c r="AK93" s="1"/>
      <c r="AL93" s="1"/>
      <c r="AM93" s="1">
        <v>0</v>
      </c>
    </row>
    <row r="94" spans="1:39" x14ac:dyDescent="0.25">
      <c r="A94" s="191" t="s">
        <v>420</v>
      </c>
      <c r="B94" s="1">
        <v>2</v>
      </c>
      <c r="C94" s="1" t="s">
        <v>418</v>
      </c>
      <c r="D94" s="13">
        <v>39735</v>
      </c>
      <c r="E94" s="174">
        <f t="shared" si="32"/>
        <v>2472</v>
      </c>
      <c r="F94" s="201"/>
      <c r="G94" s="13">
        <v>42207</v>
      </c>
      <c r="H94" s="13">
        <f t="shared" si="40"/>
        <v>41940</v>
      </c>
      <c r="I94" s="13">
        <v>42207</v>
      </c>
      <c r="J94" s="13"/>
      <c r="K94" s="1">
        <f t="shared" si="33"/>
        <v>2472</v>
      </c>
      <c r="L94" s="1">
        <f t="shared" si="34"/>
        <v>267</v>
      </c>
      <c r="M94" s="1">
        <f t="shared" si="35"/>
        <v>0</v>
      </c>
      <c r="N94" s="1"/>
      <c r="O94" s="1" t="s">
        <v>434</v>
      </c>
      <c r="P94" s="1">
        <v>4.8</v>
      </c>
      <c r="Q94" s="1"/>
      <c r="R94" s="1"/>
      <c r="S94" s="1"/>
      <c r="T94" s="1"/>
      <c r="U94" s="1"/>
      <c r="V94" s="1">
        <v>0</v>
      </c>
      <c r="W94" s="1">
        <v>0</v>
      </c>
      <c r="X94" s="1">
        <v>1</v>
      </c>
      <c r="Y94" s="1">
        <v>1</v>
      </c>
      <c r="Z94" s="1">
        <v>80</v>
      </c>
      <c r="AA94" s="1">
        <v>100</v>
      </c>
      <c r="AB94" s="1"/>
      <c r="AC94" s="1">
        <v>0</v>
      </c>
      <c r="AD94" s="98">
        <v>0</v>
      </c>
      <c r="AE94" s="172">
        <v>60</v>
      </c>
      <c r="AF94" s="1" t="s">
        <v>434</v>
      </c>
      <c r="AG94" s="1">
        <v>2.5</v>
      </c>
      <c r="AH94" s="1">
        <v>0.35</v>
      </c>
      <c r="AI94" s="1">
        <v>2.5</v>
      </c>
      <c r="AJ94" s="1">
        <v>0.35</v>
      </c>
      <c r="AK94" s="1"/>
      <c r="AL94" s="1"/>
      <c r="AM94" s="1">
        <v>0</v>
      </c>
    </row>
    <row r="95" spans="1:39" x14ac:dyDescent="0.25">
      <c r="A95" s="197" t="s">
        <v>421</v>
      </c>
      <c r="B95" s="1">
        <v>2</v>
      </c>
      <c r="C95" s="1" t="s">
        <v>418</v>
      </c>
      <c r="D95" s="13">
        <v>40141</v>
      </c>
      <c r="E95" s="1">
        <f t="shared" ref="E95:E116" si="41">I95-D95</f>
        <v>1617</v>
      </c>
      <c r="F95" s="1"/>
      <c r="G95" s="13">
        <v>40816</v>
      </c>
      <c r="H95" s="13">
        <v>40141</v>
      </c>
      <c r="I95" s="13">
        <v>41758</v>
      </c>
      <c r="J95" s="13"/>
      <c r="K95" s="1">
        <f t="shared" ref="K95:K116" si="42">G95-D95</f>
        <v>675</v>
      </c>
      <c r="L95" s="1">
        <f t="shared" ref="L95:L116" si="43">G95-H95</f>
        <v>675</v>
      </c>
      <c r="M95" s="1">
        <f t="shared" ref="M95:M116" si="44">I95-G95</f>
        <v>942</v>
      </c>
      <c r="N95" s="1"/>
      <c r="O95" s="1" t="s">
        <v>417</v>
      </c>
      <c r="P95" s="1">
        <v>6.36</v>
      </c>
      <c r="Q95" s="1">
        <f t="shared" si="36"/>
        <v>1</v>
      </c>
      <c r="R95" s="1">
        <f t="shared" si="37"/>
        <v>1</v>
      </c>
      <c r="S95" s="1">
        <f t="shared" si="38"/>
        <v>1</v>
      </c>
      <c r="T95" s="1">
        <f t="shared" si="39"/>
        <v>1</v>
      </c>
      <c r="U95" s="1" t="s">
        <v>437</v>
      </c>
      <c r="V95" s="1"/>
      <c r="W95" s="1"/>
      <c r="X95" s="1"/>
      <c r="Y95" s="1"/>
      <c r="Z95" s="1">
        <v>22</v>
      </c>
      <c r="AA95" s="1">
        <v>50</v>
      </c>
      <c r="AB95" s="1"/>
      <c r="AC95" s="1">
        <v>0</v>
      </c>
      <c r="AD95" s="98">
        <v>0</v>
      </c>
      <c r="AE95" s="172">
        <v>50</v>
      </c>
      <c r="AF95" s="1" t="s">
        <v>417</v>
      </c>
      <c r="AG95" s="1">
        <v>2.5</v>
      </c>
      <c r="AH95" s="1">
        <v>0.35</v>
      </c>
      <c r="AI95" s="1">
        <v>2.5</v>
      </c>
      <c r="AJ95" s="1">
        <v>0.5</v>
      </c>
      <c r="AK95" s="1"/>
      <c r="AL95" s="1"/>
      <c r="AM95" s="1">
        <v>0</v>
      </c>
    </row>
    <row r="96" spans="1:39" x14ac:dyDescent="0.25">
      <c r="A96" s="197" t="s">
        <v>421</v>
      </c>
      <c r="B96" s="1">
        <v>2</v>
      </c>
      <c r="C96" s="1" t="s">
        <v>418</v>
      </c>
      <c r="D96" s="13">
        <v>40141</v>
      </c>
      <c r="E96" s="1">
        <f t="shared" si="41"/>
        <v>1617</v>
      </c>
      <c r="F96" s="1"/>
      <c r="G96" s="13">
        <v>40872</v>
      </c>
      <c r="H96" s="13">
        <f>G95</f>
        <v>40816</v>
      </c>
      <c r="I96" s="13">
        <v>41758</v>
      </c>
      <c r="J96" s="13"/>
      <c r="K96" s="1">
        <f t="shared" si="42"/>
        <v>731</v>
      </c>
      <c r="L96" s="1">
        <f t="shared" si="43"/>
        <v>56</v>
      </c>
      <c r="M96" s="1">
        <f t="shared" si="44"/>
        <v>886</v>
      </c>
      <c r="N96" s="1"/>
      <c r="O96" s="1" t="s">
        <v>417</v>
      </c>
      <c r="P96" s="1">
        <v>6.32</v>
      </c>
      <c r="Q96" s="1">
        <f t="shared" si="36"/>
        <v>1</v>
      </c>
      <c r="R96" s="1">
        <f t="shared" si="37"/>
        <v>1</v>
      </c>
      <c r="S96" s="1">
        <f t="shared" si="38"/>
        <v>1</v>
      </c>
      <c r="T96" s="1">
        <f t="shared" si="39"/>
        <v>1</v>
      </c>
      <c r="U96" s="1" t="s">
        <v>437</v>
      </c>
      <c r="V96" s="1"/>
      <c r="W96" s="1"/>
      <c r="X96" s="1"/>
      <c r="Y96" s="1"/>
      <c r="Z96" s="1">
        <v>0</v>
      </c>
      <c r="AA96" s="1">
        <v>52</v>
      </c>
      <c r="AB96" s="1"/>
      <c r="AC96" s="1">
        <v>0</v>
      </c>
      <c r="AD96" s="98">
        <v>0</v>
      </c>
      <c r="AE96" s="172">
        <v>50</v>
      </c>
      <c r="AF96" s="1" t="s">
        <v>417</v>
      </c>
      <c r="AG96" s="1">
        <v>2.5</v>
      </c>
      <c r="AH96" s="1">
        <v>0.35</v>
      </c>
      <c r="AI96" s="1">
        <v>2.5</v>
      </c>
      <c r="AJ96" s="1">
        <v>0.5</v>
      </c>
      <c r="AK96" s="1"/>
      <c r="AL96" s="1"/>
      <c r="AM96" s="1">
        <v>0</v>
      </c>
    </row>
    <row r="97" spans="1:39" x14ac:dyDescent="0.25">
      <c r="A97" s="197" t="s">
        <v>421</v>
      </c>
      <c r="B97" s="1">
        <v>2</v>
      </c>
      <c r="C97" s="1" t="s">
        <v>418</v>
      </c>
      <c r="D97" s="13">
        <v>40141</v>
      </c>
      <c r="E97" s="1">
        <f t="shared" si="41"/>
        <v>1617</v>
      </c>
      <c r="F97" s="1"/>
      <c r="G97" s="13">
        <v>40926</v>
      </c>
      <c r="H97" s="13">
        <f t="shared" ref="H97:H101" si="45">G96</f>
        <v>40872</v>
      </c>
      <c r="I97" s="13">
        <v>41758</v>
      </c>
      <c r="J97" s="13"/>
      <c r="K97" s="1">
        <f t="shared" si="42"/>
        <v>785</v>
      </c>
      <c r="L97" s="1">
        <f t="shared" si="43"/>
        <v>54</v>
      </c>
      <c r="M97" s="1">
        <f t="shared" si="44"/>
        <v>832</v>
      </c>
      <c r="N97" s="1"/>
      <c r="O97" s="1" t="s">
        <v>417</v>
      </c>
      <c r="P97" s="1">
        <v>6.29</v>
      </c>
      <c r="Q97" s="1">
        <f t="shared" si="36"/>
        <v>1</v>
      </c>
      <c r="R97" s="1">
        <f t="shared" si="37"/>
        <v>1</v>
      </c>
      <c r="S97" s="1">
        <f t="shared" si="38"/>
        <v>1</v>
      </c>
      <c r="T97" s="1">
        <f t="shared" si="39"/>
        <v>1</v>
      </c>
      <c r="U97" s="1" t="s">
        <v>437</v>
      </c>
      <c r="V97" s="1"/>
      <c r="W97" s="1"/>
      <c r="X97" s="1"/>
      <c r="Y97" s="1"/>
      <c r="Z97" s="1">
        <v>10</v>
      </c>
      <c r="AA97" s="1">
        <v>97</v>
      </c>
      <c r="AB97" s="1"/>
      <c r="AC97" s="1">
        <v>0</v>
      </c>
      <c r="AD97" s="98">
        <v>0</v>
      </c>
      <c r="AE97" s="172">
        <v>50</v>
      </c>
      <c r="AF97" s="1" t="s">
        <v>417</v>
      </c>
      <c r="AG97" s="1">
        <v>2.5</v>
      </c>
      <c r="AH97" s="1">
        <v>0.35</v>
      </c>
      <c r="AI97" s="1">
        <v>2.5</v>
      </c>
      <c r="AJ97" s="1">
        <v>0.5</v>
      </c>
      <c r="AK97" s="1"/>
      <c r="AL97" s="1"/>
      <c r="AM97" s="1">
        <v>0</v>
      </c>
    </row>
    <row r="98" spans="1:39" x14ac:dyDescent="0.25">
      <c r="A98" s="197" t="s">
        <v>421</v>
      </c>
      <c r="B98" s="1">
        <v>2</v>
      </c>
      <c r="C98" s="1" t="s">
        <v>418</v>
      </c>
      <c r="D98" s="13">
        <v>40141</v>
      </c>
      <c r="E98" s="1">
        <f t="shared" si="41"/>
        <v>1617</v>
      </c>
      <c r="F98" s="1"/>
      <c r="G98" s="13">
        <v>41156</v>
      </c>
      <c r="H98" s="13">
        <f t="shared" si="45"/>
        <v>40926</v>
      </c>
      <c r="I98" s="13">
        <v>41758</v>
      </c>
      <c r="J98" s="13"/>
      <c r="K98" s="1">
        <f t="shared" si="42"/>
        <v>1015</v>
      </c>
      <c r="L98" s="1">
        <f t="shared" si="43"/>
        <v>230</v>
      </c>
      <c r="M98" s="1">
        <f t="shared" si="44"/>
        <v>602</v>
      </c>
      <c r="N98" s="1"/>
      <c r="O98" s="1" t="s">
        <v>417</v>
      </c>
      <c r="P98" s="1">
        <v>6.03</v>
      </c>
      <c r="Q98" s="1">
        <f t="shared" si="36"/>
        <v>1</v>
      </c>
      <c r="R98" s="1">
        <f t="shared" si="37"/>
        <v>1</v>
      </c>
      <c r="S98" s="1">
        <f t="shared" si="38"/>
        <v>1</v>
      </c>
      <c r="T98" s="1">
        <f t="shared" si="39"/>
        <v>1</v>
      </c>
      <c r="U98" s="1" t="s">
        <v>437</v>
      </c>
      <c r="V98" s="1"/>
      <c r="W98" s="1"/>
      <c r="X98" s="1"/>
      <c r="Y98" s="1"/>
      <c r="Z98" s="1">
        <v>83</v>
      </c>
      <c r="AA98" s="1">
        <v>99</v>
      </c>
      <c r="AB98" s="1"/>
      <c r="AC98" s="1">
        <v>0</v>
      </c>
      <c r="AD98" s="98">
        <v>0</v>
      </c>
      <c r="AE98" s="172">
        <v>50</v>
      </c>
      <c r="AF98" s="1" t="s">
        <v>434</v>
      </c>
      <c r="AG98" s="1">
        <v>2.5</v>
      </c>
      <c r="AH98" s="1">
        <v>0.35</v>
      </c>
      <c r="AI98" s="1">
        <v>2.5</v>
      </c>
      <c r="AJ98" s="1">
        <v>0.5</v>
      </c>
      <c r="AK98" s="1"/>
      <c r="AL98" s="1"/>
      <c r="AM98" s="1">
        <v>0</v>
      </c>
    </row>
    <row r="99" spans="1:39" x14ac:dyDescent="0.25">
      <c r="A99" s="197" t="s">
        <v>421</v>
      </c>
      <c r="B99" s="1">
        <v>2</v>
      </c>
      <c r="C99" s="1" t="s">
        <v>418</v>
      </c>
      <c r="D99" s="13">
        <v>40141</v>
      </c>
      <c r="E99" s="1">
        <f t="shared" si="41"/>
        <v>1617</v>
      </c>
      <c r="F99" s="1"/>
      <c r="G99" s="13">
        <v>41443</v>
      </c>
      <c r="H99" s="13">
        <f t="shared" si="45"/>
        <v>41156</v>
      </c>
      <c r="I99" s="13">
        <v>41758</v>
      </c>
      <c r="J99" s="13"/>
      <c r="K99" s="1">
        <f t="shared" si="42"/>
        <v>1302</v>
      </c>
      <c r="L99" s="1">
        <f t="shared" si="43"/>
        <v>287</v>
      </c>
      <c r="M99" s="1">
        <f t="shared" si="44"/>
        <v>315</v>
      </c>
      <c r="N99" s="1"/>
      <c r="O99" s="1" t="s">
        <v>417</v>
      </c>
      <c r="P99" s="1">
        <v>5.58</v>
      </c>
      <c r="Q99" s="1"/>
      <c r="R99" s="1"/>
      <c r="S99" s="1">
        <f t="shared" si="38"/>
        <v>1</v>
      </c>
      <c r="T99" s="1">
        <f t="shared" si="39"/>
        <v>1</v>
      </c>
      <c r="U99" s="1"/>
      <c r="V99" s="1"/>
      <c r="W99" s="1"/>
      <c r="X99" s="1"/>
      <c r="Y99" s="1"/>
      <c r="Z99" s="1">
        <v>80</v>
      </c>
      <c r="AA99" s="1">
        <v>100</v>
      </c>
      <c r="AB99" s="1"/>
      <c r="AC99" s="1">
        <v>0</v>
      </c>
      <c r="AD99" s="98">
        <v>0</v>
      </c>
      <c r="AE99" s="172">
        <v>50</v>
      </c>
      <c r="AF99" s="1" t="s">
        <v>434</v>
      </c>
      <c r="AG99" s="1">
        <v>2.5</v>
      </c>
      <c r="AH99" s="1">
        <v>0.35</v>
      </c>
      <c r="AI99" s="1">
        <v>2.5</v>
      </c>
      <c r="AJ99" s="1">
        <v>0.5</v>
      </c>
      <c r="AK99" s="1"/>
      <c r="AL99" s="1"/>
      <c r="AM99" s="1">
        <v>0</v>
      </c>
    </row>
    <row r="100" spans="1:39" x14ac:dyDescent="0.25">
      <c r="A100" s="197" t="s">
        <v>421</v>
      </c>
      <c r="B100" s="1">
        <v>2</v>
      </c>
      <c r="C100" s="1" t="s">
        <v>418</v>
      </c>
      <c r="D100" s="13">
        <v>40141</v>
      </c>
      <c r="E100" s="1">
        <f t="shared" si="41"/>
        <v>1617</v>
      </c>
      <c r="F100" s="1"/>
      <c r="G100" s="13">
        <v>41604</v>
      </c>
      <c r="H100" s="13">
        <f t="shared" si="45"/>
        <v>41443</v>
      </c>
      <c r="I100" s="13">
        <v>41758</v>
      </c>
      <c r="J100" s="13"/>
      <c r="K100" s="1">
        <f t="shared" si="42"/>
        <v>1463</v>
      </c>
      <c r="L100" s="1">
        <f t="shared" si="43"/>
        <v>161</v>
      </c>
      <c r="M100" s="1">
        <f t="shared" si="44"/>
        <v>154</v>
      </c>
      <c r="N100" s="1"/>
      <c r="O100" s="1" t="s">
        <v>417</v>
      </c>
      <c r="P100" s="1">
        <v>5.3</v>
      </c>
      <c r="Q100" s="1"/>
      <c r="R100" s="1"/>
      <c r="S100" s="1"/>
      <c r="T100" s="1">
        <f t="shared" si="39"/>
        <v>1</v>
      </c>
      <c r="U100" s="1"/>
      <c r="V100" s="1"/>
      <c r="W100" s="1"/>
      <c r="X100" s="1"/>
      <c r="Y100" s="1"/>
      <c r="Z100" s="1">
        <v>83</v>
      </c>
      <c r="AA100" s="1">
        <v>99</v>
      </c>
      <c r="AB100" s="1"/>
      <c r="AC100" s="1">
        <v>0</v>
      </c>
      <c r="AD100" s="98">
        <v>0</v>
      </c>
      <c r="AE100" s="172">
        <v>50</v>
      </c>
      <c r="AF100" s="1" t="s">
        <v>434</v>
      </c>
      <c r="AG100" s="1">
        <v>2.5</v>
      </c>
      <c r="AH100" s="1">
        <v>0.35</v>
      </c>
      <c r="AI100" s="1">
        <v>2.5</v>
      </c>
      <c r="AJ100" s="1">
        <v>0.5</v>
      </c>
      <c r="AK100" s="1"/>
      <c r="AL100" s="1"/>
      <c r="AM100" s="1">
        <v>0</v>
      </c>
    </row>
    <row r="101" spans="1:39" x14ac:dyDescent="0.25">
      <c r="A101" s="197" t="s">
        <v>421</v>
      </c>
      <c r="B101" s="1">
        <v>2</v>
      </c>
      <c r="C101" s="1" t="s">
        <v>418</v>
      </c>
      <c r="D101" s="13">
        <v>40141</v>
      </c>
      <c r="E101" s="1">
        <f t="shared" si="41"/>
        <v>1617</v>
      </c>
      <c r="F101" s="1"/>
      <c r="G101" s="13">
        <v>41758</v>
      </c>
      <c r="H101" s="13">
        <f t="shared" si="45"/>
        <v>41604</v>
      </c>
      <c r="I101" s="13">
        <v>41758</v>
      </c>
      <c r="J101" s="13"/>
      <c r="K101" s="1">
        <f t="shared" si="42"/>
        <v>1617</v>
      </c>
      <c r="L101" s="1">
        <f t="shared" si="43"/>
        <v>154</v>
      </c>
      <c r="M101" s="1">
        <f t="shared" si="44"/>
        <v>0</v>
      </c>
      <c r="N101" s="1"/>
      <c r="O101" s="1" t="s">
        <v>417</v>
      </c>
      <c r="P101" s="1">
        <v>5.2</v>
      </c>
      <c r="Q101" s="1"/>
      <c r="R101" s="1"/>
      <c r="S101" s="1"/>
      <c r="T101" s="1"/>
      <c r="U101" s="1"/>
      <c r="V101" s="1"/>
      <c r="W101" s="1"/>
      <c r="X101" s="1"/>
      <c r="Y101" s="1"/>
      <c r="Z101" s="1">
        <v>86</v>
      </c>
      <c r="AA101" s="1">
        <v>99</v>
      </c>
      <c r="AB101" s="1"/>
      <c r="AC101" s="1">
        <v>0</v>
      </c>
      <c r="AD101" s="98">
        <v>0</v>
      </c>
      <c r="AE101" s="172">
        <v>50</v>
      </c>
      <c r="AF101" s="1" t="s">
        <v>434</v>
      </c>
      <c r="AG101" s="1">
        <v>2.5</v>
      </c>
      <c r="AH101" s="1">
        <v>0.35</v>
      </c>
      <c r="AI101" s="1">
        <v>2.5</v>
      </c>
      <c r="AJ101" s="1">
        <v>0.5</v>
      </c>
      <c r="AK101" s="1"/>
      <c r="AL101" s="1"/>
      <c r="AM101" s="1">
        <v>0</v>
      </c>
    </row>
    <row r="102" spans="1:39" x14ac:dyDescent="0.25">
      <c r="A102" s="198" t="s">
        <v>422</v>
      </c>
      <c r="B102" s="1">
        <v>1</v>
      </c>
      <c r="C102" s="1" t="s">
        <v>418</v>
      </c>
      <c r="D102" s="13">
        <v>40085</v>
      </c>
      <c r="E102" s="1">
        <f t="shared" si="41"/>
        <v>1799</v>
      </c>
      <c r="F102" s="1"/>
      <c r="G102" s="13">
        <v>40687</v>
      </c>
      <c r="H102" s="13">
        <v>40085</v>
      </c>
      <c r="I102" s="13">
        <v>41884</v>
      </c>
      <c r="J102" s="13"/>
      <c r="K102" s="1">
        <f t="shared" si="42"/>
        <v>602</v>
      </c>
      <c r="L102" s="1">
        <f t="shared" si="43"/>
        <v>602</v>
      </c>
      <c r="M102" s="1">
        <f t="shared" si="44"/>
        <v>1197</v>
      </c>
      <c r="N102" s="1"/>
      <c r="O102" s="1" t="s">
        <v>417</v>
      </c>
      <c r="P102" s="1">
        <v>6.41</v>
      </c>
      <c r="Q102" s="1">
        <f t="shared" si="36"/>
        <v>1</v>
      </c>
      <c r="R102" s="1">
        <f t="shared" si="37"/>
        <v>1</v>
      </c>
      <c r="S102" s="1">
        <f t="shared" si="38"/>
        <v>1</v>
      </c>
      <c r="T102" s="1">
        <f t="shared" si="39"/>
        <v>1</v>
      </c>
      <c r="U102" s="1" t="s">
        <v>437</v>
      </c>
      <c r="V102" s="1"/>
      <c r="W102" s="1"/>
      <c r="X102" s="1"/>
      <c r="Y102" s="1"/>
      <c r="Z102" s="1"/>
      <c r="AA102" s="1">
        <v>1</v>
      </c>
      <c r="AB102" s="1"/>
      <c r="AC102" s="1">
        <v>0</v>
      </c>
      <c r="AD102" s="98">
        <v>0</v>
      </c>
      <c r="AE102" s="172">
        <v>50</v>
      </c>
      <c r="AF102" s="1" t="s">
        <v>417</v>
      </c>
      <c r="AG102" s="1"/>
      <c r="AH102" s="1"/>
      <c r="AI102" s="1">
        <v>2.5</v>
      </c>
      <c r="AJ102" s="1">
        <v>0.5</v>
      </c>
      <c r="AK102" s="1"/>
      <c r="AL102" s="1"/>
      <c r="AM102" s="1">
        <v>0</v>
      </c>
    </row>
    <row r="103" spans="1:39" x14ac:dyDescent="0.25">
      <c r="A103" s="198" t="s">
        <v>422</v>
      </c>
      <c r="B103" s="1">
        <v>1</v>
      </c>
      <c r="C103" s="1" t="s">
        <v>418</v>
      </c>
      <c r="D103" s="13">
        <v>40085</v>
      </c>
      <c r="E103" s="1">
        <f t="shared" si="41"/>
        <v>1799</v>
      </c>
      <c r="F103" s="1"/>
      <c r="G103" s="13">
        <v>40876</v>
      </c>
      <c r="H103" s="13">
        <f>G102</f>
        <v>40687</v>
      </c>
      <c r="I103" s="13">
        <v>41884</v>
      </c>
      <c r="J103" s="13"/>
      <c r="K103" s="1">
        <f t="shared" si="42"/>
        <v>791</v>
      </c>
      <c r="L103" s="1">
        <f t="shared" si="43"/>
        <v>189</v>
      </c>
      <c r="M103" s="1">
        <f t="shared" si="44"/>
        <v>1008</v>
      </c>
      <c r="N103" s="1"/>
      <c r="O103" s="1" t="s">
        <v>417</v>
      </c>
      <c r="P103" s="1">
        <v>6.37</v>
      </c>
      <c r="Q103" s="1">
        <f t="shared" si="36"/>
        <v>1</v>
      </c>
      <c r="R103" s="1">
        <f t="shared" si="37"/>
        <v>1</v>
      </c>
      <c r="S103" s="1">
        <f t="shared" si="38"/>
        <v>1</v>
      </c>
      <c r="T103" s="1">
        <f t="shared" si="39"/>
        <v>1</v>
      </c>
      <c r="U103" s="1" t="s">
        <v>437</v>
      </c>
      <c r="V103" s="1"/>
      <c r="W103" s="1"/>
      <c r="X103" s="1"/>
      <c r="Y103" s="1"/>
      <c r="Z103" s="1"/>
      <c r="AA103" s="1">
        <v>1</v>
      </c>
      <c r="AB103" s="1"/>
      <c r="AC103" s="1">
        <v>0</v>
      </c>
      <c r="AD103" s="98">
        <v>0</v>
      </c>
      <c r="AE103" s="172">
        <v>50</v>
      </c>
      <c r="AF103" s="1" t="s">
        <v>417</v>
      </c>
      <c r="AG103" s="1"/>
      <c r="AH103" s="1"/>
      <c r="AI103" s="1">
        <v>2.5</v>
      </c>
      <c r="AJ103" s="1">
        <v>0.5</v>
      </c>
      <c r="AK103" s="1"/>
      <c r="AL103" s="1"/>
      <c r="AM103" s="1">
        <v>0</v>
      </c>
    </row>
    <row r="104" spans="1:39" x14ac:dyDescent="0.25">
      <c r="A104" s="198" t="s">
        <v>422</v>
      </c>
      <c r="B104" s="1">
        <v>1</v>
      </c>
      <c r="C104" s="1" t="s">
        <v>418</v>
      </c>
      <c r="D104" s="13">
        <v>40085</v>
      </c>
      <c r="E104" s="1">
        <f t="shared" si="41"/>
        <v>1799</v>
      </c>
      <c r="F104" s="1"/>
      <c r="G104" s="13">
        <v>41072</v>
      </c>
      <c r="H104" s="13">
        <f t="shared" ref="H104:H108" si="46">G103</f>
        <v>40876</v>
      </c>
      <c r="I104" s="13">
        <v>41884</v>
      </c>
      <c r="J104" s="13"/>
      <c r="K104" s="1">
        <f t="shared" si="42"/>
        <v>987</v>
      </c>
      <c r="L104" s="1">
        <f t="shared" si="43"/>
        <v>196</v>
      </c>
      <c r="M104" s="1">
        <f t="shared" si="44"/>
        <v>812</v>
      </c>
      <c r="N104" s="1"/>
      <c r="O104" s="1" t="s">
        <v>417</v>
      </c>
      <c r="P104" s="1">
        <v>6.3</v>
      </c>
      <c r="Q104" s="1">
        <f t="shared" si="36"/>
        <v>1</v>
      </c>
      <c r="R104" s="1">
        <f t="shared" si="37"/>
        <v>1</v>
      </c>
      <c r="S104" s="1">
        <f t="shared" si="38"/>
        <v>1</v>
      </c>
      <c r="T104" s="1">
        <f t="shared" si="39"/>
        <v>1</v>
      </c>
      <c r="U104" s="1" t="s">
        <v>437</v>
      </c>
      <c r="V104" s="1"/>
      <c r="W104" s="1"/>
      <c r="X104" s="1"/>
      <c r="Y104" s="1"/>
      <c r="Z104" s="1"/>
      <c r="AA104" s="1">
        <v>0</v>
      </c>
      <c r="AB104" s="1"/>
      <c r="AC104" s="1">
        <v>0</v>
      </c>
      <c r="AD104" s="98">
        <v>0</v>
      </c>
      <c r="AE104" s="172">
        <v>50</v>
      </c>
      <c r="AF104" s="1" t="s">
        <v>417</v>
      </c>
      <c r="AG104" s="1"/>
      <c r="AH104" s="1"/>
      <c r="AI104" s="1">
        <v>2.5</v>
      </c>
      <c r="AJ104" s="1">
        <v>0.5</v>
      </c>
      <c r="AK104" s="1"/>
      <c r="AL104" s="1"/>
      <c r="AM104" s="1">
        <v>0</v>
      </c>
    </row>
    <row r="105" spans="1:39" x14ac:dyDescent="0.25">
      <c r="A105" s="198" t="s">
        <v>422</v>
      </c>
      <c r="B105" s="1">
        <v>1</v>
      </c>
      <c r="C105" s="1" t="s">
        <v>418</v>
      </c>
      <c r="D105" s="13">
        <v>40085</v>
      </c>
      <c r="E105" s="1">
        <f t="shared" si="41"/>
        <v>1799</v>
      </c>
      <c r="F105" s="1"/>
      <c r="G105" s="13">
        <v>41254</v>
      </c>
      <c r="H105" s="13">
        <f t="shared" si="46"/>
        <v>41072</v>
      </c>
      <c r="I105" s="13">
        <v>41884</v>
      </c>
      <c r="J105" s="13"/>
      <c r="K105" s="1">
        <f t="shared" si="42"/>
        <v>1169</v>
      </c>
      <c r="L105" s="1">
        <f t="shared" si="43"/>
        <v>182</v>
      </c>
      <c r="M105" s="1">
        <f t="shared" si="44"/>
        <v>630</v>
      </c>
      <c r="N105" s="1"/>
      <c r="O105" s="1" t="s">
        <v>417</v>
      </c>
      <c r="P105" s="1">
        <v>6.13</v>
      </c>
      <c r="Q105" s="1">
        <f t="shared" si="36"/>
        <v>1</v>
      </c>
      <c r="R105" s="1">
        <f t="shared" si="37"/>
        <v>1</v>
      </c>
      <c r="S105" s="1">
        <f t="shared" si="38"/>
        <v>1</v>
      </c>
      <c r="T105" s="1">
        <f t="shared" si="39"/>
        <v>1</v>
      </c>
      <c r="U105" s="1" t="s">
        <v>437</v>
      </c>
      <c r="V105" s="1"/>
      <c r="W105" s="1"/>
      <c r="X105" s="1"/>
      <c r="Y105" s="1"/>
      <c r="Z105" s="1"/>
      <c r="AA105" s="1">
        <v>0</v>
      </c>
      <c r="AB105" s="1"/>
      <c r="AC105" s="1">
        <v>0</v>
      </c>
      <c r="AD105" s="98">
        <v>0</v>
      </c>
      <c r="AE105" s="172">
        <v>50</v>
      </c>
      <c r="AF105" s="1" t="s">
        <v>417</v>
      </c>
      <c r="AG105" s="1"/>
      <c r="AH105" s="1"/>
      <c r="AI105" s="1">
        <v>2.5</v>
      </c>
      <c r="AJ105" s="1">
        <v>0.5</v>
      </c>
      <c r="AK105" s="1"/>
      <c r="AL105" s="1"/>
      <c r="AM105" s="1">
        <v>0</v>
      </c>
    </row>
    <row r="106" spans="1:39" x14ac:dyDescent="0.25">
      <c r="A106" s="198" t="s">
        <v>422</v>
      </c>
      <c r="B106" s="1">
        <v>1</v>
      </c>
      <c r="C106" s="1" t="s">
        <v>418</v>
      </c>
      <c r="D106" s="13">
        <v>40085</v>
      </c>
      <c r="E106" s="1">
        <f t="shared" si="41"/>
        <v>1799</v>
      </c>
      <c r="F106" s="1"/>
      <c r="G106" s="13">
        <v>41436</v>
      </c>
      <c r="H106" s="13">
        <f t="shared" si="46"/>
        <v>41254</v>
      </c>
      <c r="I106" s="13">
        <v>41884</v>
      </c>
      <c r="J106" s="13"/>
      <c r="K106" s="1">
        <f t="shared" si="42"/>
        <v>1351</v>
      </c>
      <c r="L106" s="1">
        <f t="shared" si="43"/>
        <v>182</v>
      </c>
      <c r="M106" s="1">
        <f t="shared" si="44"/>
        <v>448</v>
      </c>
      <c r="N106" s="1"/>
      <c r="O106" s="1" t="s">
        <v>417</v>
      </c>
      <c r="P106" s="1">
        <v>5.92</v>
      </c>
      <c r="Q106" s="1"/>
      <c r="R106" s="1">
        <f t="shared" si="37"/>
        <v>1</v>
      </c>
      <c r="S106" s="1">
        <f t="shared" si="38"/>
        <v>1</v>
      </c>
      <c r="T106" s="1">
        <f t="shared" si="39"/>
        <v>1</v>
      </c>
      <c r="U106" s="1"/>
      <c r="V106" s="1"/>
      <c r="W106" s="1"/>
      <c r="X106" s="1"/>
      <c r="Y106" s="1"/>
      <c r="Z106" s="1"/>
      <c r="AA106" s="1">
        <v>0</v>
      </c>
      <c r="AB106" s="1"/>
      <c r="AC106" s="1">
        <v>0</v>
      </c>
      <c r="AD106" s="98">
        <v>0</v>
      </c>
      <c r="AE106" s="172">
        <v>50</v>
      </c>
      <c r="AF106" s="1" t="s">
        <v>417</v>
      </c>
      <c r="AG106" s="1"/>
      <c r="AH106" s="1"/>
      <c r="AI106" s="1">
        <v>2.5</v>
      </c>
      <c r="AJ106" s="1">
        <v>0.5</v>
      </c>
      <c r="AK106" s="1"/>
      <c r="AL106" s="1"/>
      <c r="AM106" s="1">
        <v>0</v>
      </c>
    </row>
    <row r="107" spans="1:39" x14ac:dyDescent="0.25">
      <c r="A107" s="198" t="s">
        <v>422</v>
      </c>
      <c r="B107" s="1">
        <v>1</v>
      </c>
      <c r="C107" s="1" t="s">
        <v>418</v>
      </c>
      <c r="D107" s="13">
        <v>40085</v>
      </c>
      <c r="E107" s="1">
        <f t="shared" si="41"/>
        <v>1799</v>
      </c>
      <c r="F107" s="1"/>
      <c r="G107" s="13">
        <v>41674</v>
      </c>
      <c r="H107" s="13">
        <f t="shared" si="46"/>
        <v>41436</v>
      </c>
      <c r="I107" s="13">
        <v>41884</v>
      </c>
      <c r="J107" s="13"/>
      <c r="K107" s="1">
        <f t="shared" si="42"/>
        <v>1589</v>
      </c>
      <c r="L107" s="1">
        <f t="shared" si="43"/>
        <v>238</v>
      </c>
      <c r="M107" s="1">
        <f t="shared" si="44"/>
        <v>210</v>
      </c>
      <c r="N107" s="1"/>
      <c r="O107" s="1" t="s">
        <v>417</v>
      </c>
      <c r="P107" s="1">
        <v>5.51</v>
      </c>
      <c r="Q107" s="1"/>
      <c r="R107" s="1"/>
      <c r="S107" s="1">
        <f t="shared" si="38"/>
        <v>1</v>
      </c>
      <c r="T107" s="1">
        <f t="shared" si="39"/>
        <v>1</v>
      </c>
      <c r="U107" s="1"/>
      <c r="V107" s="1"/>
      <c r="W107" s="1"/>
      <c r="X107" s="1"/>
      <c r="Y107" s="1"/>
      <c r="Z107" s="1"/>
      <c r="AA107" s="1">
        <v>0</v>
      </c>
      <c r="AB107" s="1"/>
      <c r="AC107" s="1">
        <v>0</v>
      </c>
      <c r="AD107" s="98">
        <v>0</v>
      </c>
      <c r="AE107" s="172">
        <v>50</v>
      </c>
      <c r="AF107" s="1" t="s">
        <v>417</v>
      </c>
      <c r="AG107" s="1"/>
      <c r="AH107" s="1"/>
      <c r="AI107" s="1">
        <v>2.5</v>
      </c>
      <c r="AJ107" s="1">
        <v>0.5</v>
      </c>
      <c r="AK107" s="1"/>
      <c r="AL107" s="1"/>
      <c r="AM107" s="1">
        <v>0</v>
      </c>
    </row>
    <row r="108" spans="1:39" x14ac:dyDescent="0.25">
      <c r="A108" s="198" t="s">
        <v>422</v>
      </c>
      <c r="B108" s="1">
        <v>1</v>
      </c>
      <c r="C108" s="1" t="s">
        <v>418</v>
      </c>
      <c r="D108" s="13">
        <v>40085</v>
      </c>
      <c r="E108" s="1">
        <f t="shared" si="41"/>
        <v>1799</v>
      </c>
      <c r="F108" s="1"/>
      <c r="G108" s="13">
        <v>41884</v>
      </c>
      <c r="H108" s="13">
        <f t="shared" si="46"/>
        <v>41674</v>
      </c>
      <c r="I108" s="13">
        <v>41884</v>
      </c>
      <c r="J108" s="13"/>
      <c r="K108" s="1">
        <f t="shared" si="42"/>
        <v>1799</v>
      </c>
      <c r="L108" s="1">
        <f t="shared" si="43"/>
        <v>210</v>
      </c>
      <c r="M108" s="1">
        <f t="shared" si="44"/>
        <v>0</v>
      </c>
      <c r="N108" s="1"/>
      <c r="O108" s="1" t="s">
        <v>417</v>
      </c>
      <c r="P108" s="1">
        <v>5.27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>
        <v>0</v>
      </c>
      <c r="AB108" s="1"/>
      <c r="AC108" s="1">
        <v>0</v>
      </c>
      <c r="AD108" s="98">
        <v>0</v>
      </c>
      <c r="AE108" s="172">
        <v>50</v>
      </c>
      <c r="AF108" s="1" t="s">
        <v>417</v>
      </c>
      <c r="AG108" s="1"/>
      <c r="AH108" s="1"/>
      <c r="AI108" s="1">
        <v>2.5</v>
      </c>
      <c r="AJ108" s="1">
        <v>0.5</v>
      </c>
      <c r="AK108" s="1"/>
      <c r="AL108" s="1"/>
      <c r="AM108" s="1">
        <v>0</v>
      </c>
    </row>
    <row r="109" spans="1:39" x14ac:dyDescent="0.25">
      <c r="A109" s="199" t="s">
        <v>423</v>
      </c>
      <c r="B109" s="1">
        <v>2</v>
      </c>
      <c r="C109" s="1" t="s">
        <v>418</v>
      </c>
      <c r="D109" s="13">
        <v>39045</v>
      </c>
      <c r="E109" s="1">
        <f t="shared" si="41"/>
        <v>3043</v>
      </c>
      <c r="F109" s="1"/>
      <c r="G109" s="13">
        <v>40567</v>
      </c>
      <c r="H109" s="13">
        <v>39045</v>
      </c>
      <c r="I109" s="13">
        <v>42088</v>
      </c>
      <c r="J109" s="13"/>
      <c r="K109" s="1">
        <f t="shared" si="42"/>
        <v>1522</v>
      </c>
      <c r="L109" s="1">
        <f t="shared" si="43"/>
        <v>1522</v>
      </c>
      <c r="M109" s="1">
        <f t="shared" si="44"/>
        <v>1521</v>
      </c>
      <c r="N109" s="1"/>
      <c r="O109" s="1" t="s">
        <v>417</v>
      </c>
      <c r="P109" s="1">
        <v>5.27</v>
      </c>
      <c r="Q109" s="1">
        <f t="shared" si="36"/>
        <v>1</v>
      </c>
      <c r="R109" s="1">
        <f t="shared" si="37"/>
        <v>1</v>
      </c>
      <c r="S109" s="1">
        <f t="shared" si="38"/>
        <v>1</v>
      </c>
      <c r="T109" s="1">
        <f t="shared" si="39"/>
        <v>1</v>
      </c>
      <c r="U109" s="1" t="s">
        <v>437</v>
      </c>
      <c r="V109" s="1"/>
      <c r="W109" s="1"/>
      <c r="X109" s="1"/>
      <c r="Y109" s="1"/>
      <c r="Z109" s="1">
        <v>0</v>
      </c>
      <c r="AA109" s="1">
        <v>0</v>
      </c>
      <c r="AB109" s="1"/>
      <c r="AC109" s="1">
        <v>0</v>
      </c>
      <c r="AD109" s="98">
        <v>0</v>
      </c>
      <c r="AE109" s="172">
        <v>50</v>
      </c>
      <c r="AF109" s="1" t="s">
        <v>417</v>
      </c>
      <c r="AG109" s="98">
        <v>2.5</v>
      </c>
      <c r="AH109" s="98">
        <v>0.35</v>
      </c>
      <c r="AI109" s="1">
        <v>2.5</v>
      </c>
      <c r="AJ109" s="1">
        <v>0.35</v>
      </c>
      <c r="AK109" s="1"/>
      <c r="AL109" s="1"/>
      <c r="AM109" s="1">
        <v>0</v>
      </c>
    </row>
    <row r="110" spans="1:39" x14ac:dyDescent="0.25">
      <c r="A110" s="199" t="s">
        <v>423</v>
      </c>
      <c r="B110" s="1">
        <v>2</v>
      </c>
      <c r="C110" s="1" t="s">
        <v>418</v>
      </c>
      <c r="D110" s="13">
        <v>39045</v>
      </c>
      <c r="E110" s="1">
        <f t="shared" si="41"/>
        <v>3043</v>
      </c>
      <c r="F110" s="1"/>
      <c r="G110" s="13">
        <v>40708</v>
      </c>
      <c r="H110" s="13">
        <f>G109</f>
        <v>40567</v>
      </c>
      <c r="I110" s="13">
        <v>42088</v>
      </c>
      <c r="J110" s="13"/>
      <c r="K110" s="1">
        <f t="shared" si="42"/>
        <v>1663</v>
      </c>
      <c r="L110" s="1">
        <f t="shared" si="43"/>
        <v>141</v>
      </c>
      <c r="M110" s="1">
        <f t="shared" si="44"/>
        <v>1380</v>
      </c>
      <c r="N110" s="1"/>
      <c r="O110" s="1" t="s">
        <v>417</v>
      </c>
      <c r="P110" s="1">
        <v>5.51</v>
      </c>
      <c r="Q110" s="1">
        <f t="shared" si="36"/>
        <v>1</v>
      </c>
      <c r="R110" s="1">
        <f t="shared" si="37"/>
        <v>1</v>
      </c>
      <c r="S110" s="1">
        <f t="shared" si="38"/>
        <v>1</v>
      </c>
      <c r="T110" s="1">
        <f t="shared" si="39"/>
        <v>1</v>
      </c>
      <c r="U110" s="1" t="s">
        <v>437</v>
      </c>
      <c r="V110" s="1"/>
      <c r="W110" s="1"/>
      <c r="X110" s="1"/>
      <c r="Y110" s="1"/>
      <c r="Z110" s="1">
        <v>0</v>
      </c>
      <c r="AA110" s="1">
        <v>0</v>
      </c>
      <c r="AB110" s="1"/>
      <c r="AC110" s="1">
        <v>0</v>
      </c>
      <c r="AD110" s="98">
        <v>1</v>
      </c>
      <c r="AE110" s="172">
        <v>50</v>
      </c>
      <c r="AF110" s="1" t="s">
        <v>417</v>
      </c>
      <c r="AG110" s="98">
        <v>2.5</v>
      </c>
      <c r="AH110" s="98">
        <v>0.35</v>
      </c>
      <c r="AI110" s="1">
        <v>2.5</v>
      </c>
      <c r="AJ110" s="1">
        <v>0.35</v>
      </c>
      <c r="AK110" s="1"/>
      <c r="AL110" s="1"/>
      <c r="AM110" s="1">
        <v>0</v>
      </c>
    </row>
    <row r="111" spans="1:39" x14ac:dyDescent="0.25">
      <c r="A111" s="199" t="s">
        <v>423</v>
      </c>
      <c r="B111" s="1">
        <v>2</v>
      </c>
      <c r="C111" s="1" t="s">
        <v>418</v>
      </c>
      <c r="D111" s="13">
        <v>39045</v>
      </c>
      <c r="E111" s="1">
        <f t="shared" si="41"/>
        <v>3043</v>
      </c>
      <c r="F111" s="1"/>
      <c r="G111" s="13">
        <v>41093</v>
      </c>
      <c r="H111" s="13">
        <f t="shared" ref="H111:H119" si="47">G110</f>
        <v>40708</v>
      </c>
      <c r="I111" s="13">
        <v>42088</v>
      </c>
      <c r="J111" s="13"/>
      <c r="K111" s="1">
        <f t="shared" si="42"/>
        <v>2048</v>
      </c>
      <c r="L111" s="1">
        <f t="shared" si="43"/>
        <v>385</v>
      </c>
      <c r="M111" s="1">
        <f t="shared" si="44"/>
        <v>995</v>
      </c>
      <c r="N111" s="1"/>
      <c r="O111" s="1" t="s">
        <v>417</v>
      </c>
      <c r="P111" s="1">
        <v>5.18</v>
      </c>
      <c r="Q111" s="1">
        <f t="shared" si="36"/>
        <v>1</v>
      </c>
      <c r="R111" s="1">
        <f t="shared" si="37"/>
        <v>1</v>
      </c>
      <c r="S111" s="1">
        <f t="shared" si="38"/>
        <v>1</v>
      </c>
      <c r="T111" s="1">
        <f t="shared" si="39"/>
        <v>1</v>
      </c>
      <c r="U111" s="1" t="s">
        <v>437</v>
      </c>
      <c r="V111" s="1"/>
      <c r="W111" s="1"/>
      <c r="X111" s="1"/>
      <c r="Y111" s="1"/>
      <c r="Z111" s="1">
        <v>1</v>
      </c>
      <c r="AA111" s="1">
        <v>0</v>
      </c>
      <c r="AB111" s="1"/>
      <c r="AC111" s="1">
        <v>0</v>
      </c>
      <c r="AD111" s="98">
        <v>1</v>
      </c>
      <c r="AE111" s="172">
        <v>50</v>
      </c>
      <c r="AF111" s="1" t="s">
        <v>417</v>
      </c>
      <c r="AG111" s="98">
        <v>2.5</v>
      </c>
      <c r="AH111" s="98">
        <v>0.35</v>
      </c>
      <c r="AI111" s="1">
        <v>2.5</v>
      </c>
      <c r="AJ111" s="1">
        <v>0.35</v>
      </c>
      <c r="AK111" s="1"/>
      <c r="AL111" s="1"/>
      <c r="AM111" s="1">
        <v>0</v>
      </c>
    </row>
    <row r="112" spans="1:39" x14ac:dyDescent="0.25">
      <c r="A112" s="199" t="s">
        <v>423</v>
      </c>
      <c r="B112" s="1">
        <v>2</v>
      </c>
      <c r="C112" s="1" t="s">
        <v>418</v>
      </c>
      <c r="D112" s="13">
        <v>39045</v>
      </c>
      <c r="E112" s="1">
        <f t="shared" si="41"/>
        <v>3043</v>
      </c>
      <c r="F112" s="1"/>
      <c r="G112" s="13">
        <v>41311</v>
      </c>
      <c r="H112" s="13">
        <f t="shared" si="47"/>
        <v>41093</v>
      </c>
      <c r="I112" s="13">
        <v>42088</v>
      </c>
      <c r="J112" s="13"/>
      <c r="K112" s="1">
        <f t="shared" si="42"/>
        <v>2266</v>
      </c>
      <c r="L112" s="1">
        <f t="shared" si="43"/>
        <v>218</v>
      </c>
      <c r="M112" s="1">
        <f t="shared" si="44"/>
        <v>777</v>
      </c>
      <c r="N112" s="1"/>
      <c r="O112" s="1" t="s">
        <v>417</v>
      </c>
      <c r="P112" s="1">
        <v>5.15</v>
      </c>
      <c r="Q112" s="1">
        <f t="shared" si="36"/>
        <v>1</v>
      </c>
      <c r="R112" s="1">
        <f t="shared" si="37"/>
        <v>1</v>
      </c>
      <c r="S112" s="1">
        <f t="shared" si="38"/>
        <v>1</v>
      </c>
      <c r="T112" s="1">
        <f t="shared" si="39"/>
        <v>1</v>
      </c>
      <c r="U112" s="1" t="s">
        <v>437</v>
      </c>
      <c r="V112" s="1"/>
      <c r="W112" s="1"/>
      <c r="X112" s="1"/>
      <c r="Y112" s="1"/>
      <c r="Z112" s="1">
        <v>1</v>
      </c>
      <c r="AA112" s="1">
        <v>0</v>
      </c>
      <c r="AB112" s="1"/>
      <c r="AC112" s="1">
        <v>0</v>
      </c>
      <c r="AD112" s="98">
        <v>0</v>
      </c>
      <c r="AE112" s="172">
        <v>50</v>
      </c>
      <c r="AF112" s="1" t="s">
        <v>417</v>
      </c>
      <c r="AG112" s="98">
        <v>2.5</v>
      </c>
      <c r="AH112" s="98">
        <v>0.35</v>
      </c>
      <c r="AI112" s="1">
        <v>2.5</v>
      </c>
      <c r="AJ112" s="1">
        <v>0.35</v>
      </c>
      <c r="AK112" s="1"/>
      <c r="AL112" s="1"/>
      <c r="AM112" s="1">
        <v>0</v>
      </c>
    </row>
    <row r="113" spans="1:39" x14ac:dyDescent="0.25">
      <c r="A113" s="199" t="s">
        <v>423</v>
      </c>
      <c r="B113" s="1">
        <v>2</v>
      </c>
      <c r="C113" s="1" t="s">
        <v>418</v>
      </c>
      <c r="D113" s="13">
        <v>39045</v>
      </c>
      <c r="E113" s="1">
        <f t="shared" si="41"/>
        <v>3043</v>
      </c>
      <c r="F113" s="1"/>
      <c r="G113" s="13">
        <v>41422</v>
      </c>
      <c r="H113" s="13">
        <f t="shared" si="47"/>
        <v>41311</v>
      </c>
      <c r="I113" s="13">
        <v>42088</v>
      </c>
      <c r="J113" s="13"/>
      <c r="K113" s="1">
        <f t="shared" si="42"/>
        <v>2377</v>
      </c>
      <c r="L113" s="1">
        <f t="shared" si="43"/>
        <v>111</v>
      </c>
      <c r="M113" s="1">
        <f t="shared" si="44"/>
        <v>666</v>
      </c>
      <c r="N113" s="1"/>
      <c r="O113" s="1" t="s">
        <v>417</v>
      </c>
      <c r="P113" s="1">
        <v>5.15</v>
      </c>
      <c r="Q113" s="1">
        <f t="shared" si="36"/>
        <v>1</v>
      </c>
      <c r="R113" s="1">
        <f t="shared" si="37"/>
        <v>1</v>
      </c>
      <c r="S113" s="1">
        <f t="shared" si="38"/>
        <v>1</v>
      </c>
      <c r="T113" s="1">
        <f t="shared" si="39"/>
        <v>1</v>
      </c>
      <c r="U113" s="1" t="s">
        <v>437</v>
      </c>
      <c r="V113" s="1"/>
      <c r="W113" s="1"/>
      <c r="X113" s="1"/>
      <c r="Y113" s="1"/>
      <c r="Z113" s="1">
        <v>1</v>
      </c>
      <c r="AA113" s="1">
        <v>0</v>
      </c>
      <c r="AB113" s="1"/>
      <c r="AC113" s="1">
        <v>0</v>
      </c>
      <c r="AD113" s="98">
        <v>0</v>
      </c>
      <c r="AE113" s="172">
        <v>50</v>
      </c>
      <c r="AF113" s="1" t="s">
        <v>417</v>
      </c>
      <c r="AG113" s="98">
        <v>2.5</v>
      </c>
      <c r="AH113" s="98">
        <v>0.35</v>
      </c>
      <c r="AI113" s="1">
        <v>2.5</v>
      </c>
      <c r="AJ113" s="1">
        <v>0.35</v>
      </c>
      <c r="AK113" s="1"/>
      <c r="AL113" s="1"/>
      <c r="AM113" s="1">
        <v>0</v>
      </c>
    </row>
    <row r="114" spans="1:39" x14ac:dyDescent="0.25">
      <c r="A114" s="199" t="s">
        <v>423</v>
      </c>
      <c r="B114" s="1">
        <v>2</v>
      </c>
      <c r="C114" s="1" t="s">
        <v>418</v>
      </c>
      <c r="D114" s="13">
        <v>39045</v>
      </c>
      <c r="E114" s="1">
        <f t="shared" si="41"/>
        <v>3043</v>
      </c>
      <c r="F114" s="1"/>
      <c r="G114" s="13">
        <v>41528</v>
      </c>
      <c r="H114" s="13">
        <f t="shared" si="47"/>
        <v>41422</v>
      </c>
      <c r="I114" s="13">
        <v>42088</v>
      </c>
      <c r="J114" s="13"/>
      <c r="K114" s="1">
        <f t="shared" si="42"/>
        <v>2483</v>
      </c>
      <c r="L114" s="1">
        <f t="shared" si="43"/>
        <v>106</v>
      </c>
      <c r="M114" s="1">
        <f t="shared" si="44"/>
        <v>560</v>
      </c>
      <c r="N114" s="1"/>
      <c r="O114" s="1" t="s">
        <v>417</v>
      </c>
      <c r="P114" s="1">
        <v>5.14</v>
      </c>
      <c r="Q114" s="1">
        <f t="shared" si="36"/>
        <v>1</v>
      </c>
      <c r="R114" s="1">
        <f t="shared" si="37"/>
        <v>1</v>
      </c>
      <c r="S114" s="1">
        <f t="shared" si="38"/>
        <v>1</v>
      </c>
      <c r="T114" s="1">
        <f t="shared" si="39"/>
        <v>1</v>
      </c>
      <c r="U114" s="1" t="s">
        <v>437</v>
      </c>
      <c r="V114" s="1"/>
      <c r="W114" s="1"/>
      <c r="X114" s="1"/>
      <c r="Y114" s="1"/>
      <c r="Z114" s="1">
        <v>1</v>
      </c>
      <c r="AA114" s="1">
        <v>0</v>
      </c>
      <c r="AB114" s="1"/>
      <c r="AC114" s="1">
        <v>0</v>
      </c>
      <c r="AD114" s="98">
        <v>0</v>
      </c>
      <c r="AE114" s="172">
        <v>50</v>
      </c>
      <c r="AF114" s="1" t="s">
        <v>417</v>
      </c>
      <c r="AG114" s="98">
        <v>2.5</v>
      </c>
      <c r="AH114" s="98">
        <v>0.35</v>
      </c>
      <c r="AI114" s="1">
        <v>2.5</v>
      </c>
      <c r="AJ114" s="1">
        <v>0.35</v>
      </c>
      <c r="AK114" s="1"/>
      <c r="AL114" s="1"/>
      <c r="AM114" s="1">
        <v>0</v>
      </c>
    </row>
    <row r="115" spans="1:39" x14ac:dyDescent="0.25">
      <c r="A115" s="199" t="s">
        <v>423</v>
      </c>
      <c r="B115" s="1">
        <v>2</v>
      </c>
      <c r="C115" s="1" t="s">
        <v>418</v>
      </c>
      <c r="D115" s="13">
        <v>39045</v>
      </c>
      <c r="E115" s="1">
        <f t="shared" si="41"/>
        <v>3043</v>
      </c>
      <c r="F115" s="1"/>
      <c r="G115" s="13">
        <v>41709</v>
      </c>
      <c r="H115" s="13">
        <f t="shared" si="47"/>
        <v>41528</v>
      </c>
      <c r="I115" s="13">
        <v>42088</v>
      </c>
      <c r="J115" s="13"/>
      <c r="K115" s="1">
        <f t="shared" si="42"/>
        <v>2664</v>
      </c>
      <c r="L115" s="1">
        <f t="shared" si="43"/>
        <v>181</v>
      </c>
      <c r="M115" s="1">
        <f t="shared" si="44"/>
        <v>379</v>
      </c>
      <c r="N115" s="1"/>
      <c r="O115" s="1" t="s">
        <v>417</v>
      </c>
      <c r="P115" s="1">
        <v>5.13</v>
      </c>
      <c r="Q115" s="1"/>
      <c r="R115" s="1">
        <f t="shared" si="37"/>
        <v>1</v>
      </c>
      <c r="S115" s="1">
        <f t="shared" si="38"/>
        <v>1</v>
      </c>
      <c r="T115" s="1">
        <f t="shared" si="39"/>
        <v>1</v>
      </c>
      <c r="U115" s="1"/>
      <c r="V115" s="1"/>
      <c r="W115" s="1"/>
      <c r="X115" s="1"/>
      <c r="Y115" s="1"/>
      <c r="Z115" s="1">
        <v>1</v>
      </c>
      <c r="AA115" s="1">
        <v>0</v>
      </c>
      <c r="AB115" s="1"/>
      <c r="AC115" s="1">
        <v>1</v>
      </c>
      <c r="AD115" s="98">
        <v>0</v>
      </c>
      <c r="AE115" s="172">
        <v>50</v>
      </c>
      <c r="AF115" s="1" t="s">
        <v>417</v>
      </c>
      <c r="AG115" s="98">
        <v>2.5</v>
      </c>
      <c r="AH115" s="98">
        <v>0.35</v>
      </c>
      <c r="AI115" s="1">
        <v>2.5</v>
      </c>
      <c r="AJ115" s="1">
        <v>0.35</v>
      </c>
      <c r="AK115" s="1"/>
      <c r="AL115" s="1"/>
      <c r="AM115" s="1">
        <v>0</v>
      </c>
    </row>
    <row r="116" spans="1:39" x14ac:dyDescent="0.25">
      <c r="A116" s="199" t="s">
        <v>423</v>
      </c>
      <c r="B116" s="1">
        <v>2</v>
      </c>
      <c r="C116" s="1" t="s">
        <v>418</v>
      </c>
      <c r="D116" s="13">
        <v>39045</v>
      </c>
      <c r="E116" s="1">
        <f t="shared" si="41"/>
        <v>3043</v>
      </c>
      <c r="F116" s="1"/>
      <c r="G116" s="13">
        <v>41857</v>
      </c>
      <c r="H116" s="13">
        <f t="shared" si="47"/>
        <v>41709</v>
      </c>
      <c r="I116" s="13">
        <v>42088</v>
      </c>
      <c r="J116" s="13"/>
      <c r="K116" s="1">
        <f t="shared" si="42"/>
        <v>2812</v>
      </c>
      <c r="L116" s="1">
        <f t="shared" si="43"/>
        <v>148</v>
      </c>
      <c r="M116" s="1">
        <f t="shared" si="44"/>
        <v>231</v>
      </c>
      <c r="N116" s="1"/>
      <c r="O116" s="1" t="s">
        <v>417</v>
      </c>
      <c r="P116" s="1">
        <v>5.07</v>
      </c>
      <c r="Q116" s="1"/>
      <c r="R116" s="1"/>
      <c r="S116" s="1">
        <f t="shared" si="38"/>
        <v>1</v>
      </c>
      <c r="T116" s="1">
        <f t="shared" si="39"/>
        <v>1</v>
      </c>
      <c r="U116" s="1"/>
      <c r="V116" s="1"/>
      <c r="W116" s="1"/>
      <c r="X116" s="1"/>
      <c r="Y116" s="1"/>
      <c r="Z116" s="1">
        <v>3</v>
      </c>
      <c r="AA116" s="1">
        <v>0</v>
      </c>
      <c r="AB116" s="1"/>
      <c r="AC116" s="1">
        <v>1</v>
      </c>
      <c r="AD116" s="98">
        <v>0</v>
      </c>
      <c r="AE116" s="172">
        <v>50</v>
      </c>
      <c r="AF116" s="1" t="s">
        <v>417</v>
      </c>
      <c r="AG116" s="98">
        <v>2.5</v>
      </c>
      <c r="AH116" s="98">
        <v>0.35</v>
      </c>
      <c r="AI116" s="1">
        <v>2.5</v>
      </c>
      <c r="AJ116" s="1">
        <v>0.35</v>
      </c>
      <c r="AK116" s="1"/>
      <c r="AL116" s="1"/>
      <c r="AM116" s="1">
        <v>0</v>
      </c>
    </row>
    <row r="117" spans="1:39" x14ac:dyDescent="0.25">
      <c r="A117" s="199" t="s">
        <v>423</v>
      </c>
      <c r="B117" s="1">
        <v>2</v>
      </c>
      <c r="C117" s="1" t="s">
        <v>418</v>
      </c>
      <c r="D117" s="13">
        <v>39045</v>
      </c>
      <c r="E117" s="1">
        <f t="shared" ref="E117:E136" si="48">I117-D117</f>
        <v>3043</v>
      </c>
      <c r="F117" s="1"/>
      <c r="G117" s="13">
        <v>41897</v>
      </c>
      <c r="H117" s="13">
        <f t="shared" si="47"/>
        <v>41857</v>
      </c>
      <c r="I117" s="13">
        <v>42088</v>
      </c>
      <c r="J117" s="13"/>
      <c r="K117" s="1">
        <f t="shared" ref="K117:K234" si="49">G117-D117</f>
        <v>2852</v>
      </c>
      <c r="L117" s="1">
        <f t="shared" ref="L117:L180" si="50">G117-H117</f>
        <v>40</v>
      </c>
      <c r="M117" s="1">
        <f t="shared" ref="M117:M234" si="51">I117-G117</f>
        <v>191</v>
      </c>
      <c r="N117" s="1"/>
      <c r="O117" s="1" t="s">
        <v>417</v>
      </c>
      <c r="P117" s="1">
        <v>5.05</v>
      </c>
      <c r="Q117" s="1"/>
      <c r="R117" s="1"/>
      <c r="S117" s="1">
        <f t="shared" si="38"/>
        <v>1</v>
      </c>
      <c r="T117" s="1">
        <f t="shared" si="39"/>
        <v>1</v>
      </c>
      <c r="U117" s="1"/>
      <c r="V117" s="1"/>
      <c r="W117" s="1"/>
      <c r="X117" s="1"/>
      <c r="Y117" s="1"/>
      <c r="Z117" s="1">
        <v>4</v>
      </c>
      <c r="AA117" s="1">
        <v>0</v>
      </c>
      <c r="AB117" s="1"/>
      <c r="AC117" s="1">
        <v>2</v>
      </c>
      <c r="AD117" s="98">
        <v>0</v>
      </c>
      <c r="AE117" s="172">
        <v>50</v>
      </c>
      <c r="AF117" s="1" t="s">
        <v>417</v>
      </c>
      <c r="AG117" s="98">
        <v>2.5</v>
      </c>
      <c r="AH117" s="98">
        <v>0.35</v>
      </c>
      <c r="AI117" s="1">
        <v>2.5</v>
      </c>
      <c r="AJ117" s="1">
        <v>0.35</v>
      </c>
      <c r="AK117" s="1"/>
      <c r="AL117" s="1"/>
      <c r="AM117" s="1">
        <v>0</v>
      </c>
    </row>
    <row r="118" spans="1:39" x14ac:dyDescent="0.25">
      <c r="A118" s="199" t="s">
        <v>423</v>
      </c>
      <c r="B118" s="1">
        <v>2</v>
      </c>
      <c r="C118" s="1" t="s">
        <v>418</v>
      </c>
      <c r="D118" s="13">
        <v>39045</v>
      </c>
      <c r="E118" s="1">
        <f t="shared" si="48"/>
        <v>3043</v>
      </c>
      <c r="F118" s="1"/>
      <c r="G118" s="13">
        <v>41982</v>
      </c>
      <c r="H118" s="13">
        <f t="shared" si="47"/>
        <v>41897</v>
      </c>
      <c r="I118" s="13">
        <v>42088</v>
      </c>
      <c r="J118" s="13"/>
      <c r="K118" s="1">
        <f t="shared" si="49"/>
        <v>2937</v>
      </c>
      <c r="L118" s="1">
        <f t="shared" si="50"/>
        <v>85</v>
      </c>
      <c r="M118" s="1">
        <f t="shared" si="51"/>
        <v>106</v>
      </c>
      <c r="N118" s="1"/>
      <c r="O118" s="1" t="s">
        <v>417</v>
      </c>
      <c r="P118" s="1">
        <v>4.9400000000000004</v>
      </c>
      <c r="Q118" s="1"/>
      <c r="R118" s="1"/>
      <c r="S118" s="1"/>
      <c r="T118" s="1">
        <f t="shared" si="39"/>
        <v>1</v>
      </c>
      <c r="U118" s="1"/>
      <c r="V118" s="1"/>
      <c r="W118" s="1"/>
      <c r="X118" s="1"/>
      <c r="Y118" s="1"/>
      <c r="Z118" s="1">
        <v>3</v>
      </c>
      <c r="AA118" s="1">
        <v>0</v>
      </c>
      <c r="AB118" s="1"/>
      <c r="AC118" s="1">
        <v>0</v>
      </c>
      <c r="AD118" s="98">
        <v>0</v>
      </c>
      <c r="AE118" s="172">
        <v>50</v>
      </c>
      <c r="AF118" s="1" t="s">
        <v>417</v>
      </c>
      <c r="AG118" s="98">
        <v>2.5</v>
      </c>
      <c r="AH118" s="98">
        <v>0.35</v>
      </c>
      <c r="AI118" s="1">
        <v>2.5</v>
      </c>
      <c r="AJ118" s="1">
        <v>0.35</v>
      </c>
      <c r="AK118" s="1"/>
      <c r="AL118" s="1"/>
      <c r="AM118" s="1">
        <v>0</v>
      </c>
    </row>
    <row r="119" spans="1:39" x14ac:dyDescent="0.25">
      <c r="A119" s="199" t="s">
        <v>423</v>
      </c>
      <c r="B119" s="1">
        <v>2</v>
      </c>
      <c r="C119" s="1" t="s">
        <v>418</v>
      </c>
      <c r="D119" s="13">
        <v>39045</v>
      </c>
      <c r="E119" s="1">
        <f t="shared" si="48"/>
        <v>3043</v>
      </c>
      <c r="F119" s="1"/>
      <c r="G119" s="13">
        <v>42088</v>
      </c>
      <c r="H119" s="13">
        <f t="shared" si="47"/>
        <v>41982</v>
      </c>
      <c r="I119" s="13">
        <v>42088</v>
      </c>
      <c r="J119" s="13"/>
      <c r="K119" s="1">
        <f t="shared" si="49"/>
        <v>3043</v>
      </c>
      <c r="L119" s="1">
        <f t="shared" si="50"/>
        <v>106</v>
      </c>
      <c r="M119" s="1">
        <f t="shared" si="51"/>
        <v>0</v>
      </c>
      <c r="N119" s="1"/>
      <c r="O119" s="1" t="s">
        <v>434</v>
      </c>
      <c r="P119" s="1">
        <v>4.7</v>
      </c>
      <c r="Q119" s="1"/>
      <c r="R119" s="1"/>
      <c r="S119" s="1"/>
      <c r="T119" s="1"/>
      <c r="U119" s="1"/>
      <c r="V119" s="1">
        <v>0</v>
      </c>
      <c r="W119" s="1">
        <v>0</v>
      </c>
      <c r="X119" s="1">
        <v>0</v>
      </c>
      <c r="Y119" s="1">
        <v>1</v>
      </c>
      <c r="Z119" s="1">
        <v>2</v>
      </c>
      <c r="AA119" s="1">
        <v>0</v>
      </c>
      <c r="AB119" s="1"/>
      <c r="AC119" s="1">
        <v>1</v>
      </c>
      <c r="AD119" s="98">
        <v>0</v>
      </c>
      <c r="AE119" s="172">
        <v>50</v>
      </c>
      <c r="AF119" s="1" t="s">
        <v>417</v>
      </c>
      <c r="AG119" s="98">
        <v>2.5</v>
      </c>
      <c r="AH119" s="98">
        <v>0.35</v>
      </c>
      <c r="AI119" s="1">
        <v>2.5</v>
      </c>
      <c r="AJ119" s="1">
        <v>0.35</v>
      </c>
      <c r="AK119" s="1"/>
      <c r="AL119" s="1"/>
      <c r="AM119" s="1">
        <v>0</v>
      </c>
    </row>
    <row r="120" spans="1:39" x14ac:dyDescent="0.25">
      <c r="A120" s="200" t="s">
        <v>173</v>
      </c>
      <c r="B120" s="1">
        <v>2</v>
      </c>
      <c r="C120" s="1" t="s">
        <v>418</v>
      </c>
      <c r="D120" s="13">
        <v>39161</v>
      </c>
      <c r="E120" s="1">
        <f t="shared" si="48"/>
        <v>3040</v>
      </c>
      <c r="F120" s="1"/>
      <c r="G120" s="13">
        <v>40834</v>
      </c>
      <c r="H120" s="13">
        <v>39161</v>
      </c>
      <c r="I120" s="13">
        <v>42201</v>
      </c>
      <c r="J120" s="13"/>
      <c r="K120" s="1">
        <f t="shared" si="49"/>
        <v>1673</v>
      </c>
      <c r="L120" s="1">
        <f t="shared" si="50"/>
        <v>1673</v>
      </c>
      <c r="M120" s="1">
        <f t="shared" si="51"/>
        <v>1367</v>
      </c>
      <c r="N120" s="1"/>
      <c r="O120" s="1" t="s">
        <v>417</v>
      </c>
      <c r="P120" s="1">
        <v>5.47</v>
      </c>
      <c r="Q120" s="1">
        <f t="shared" si="36"/>
        <v>1</v>
      </c>
      <c r="R120" s="1">
        <f t="shared" si="37"/>
        <v>1</v>
      </c>
      <c r="S120" s="1">
        <f t="shared" si="38"/>
        <v>1</v>
      </c>
      <c r="T120" s="1">
        <f t="shared" si="39"/>
        <v>1</v>
      </c>
      <c r="U120" s="1" t="s">
        <v>437</v>
      </c>
      <c r="V120" s="1"/>
      <c r="W120" s="1"/>
      <c r="X120" s="1"/>
      <c r="Y120" s="1"/>
      <c r="Z120" s="1">
        <v>1</v>
      </c>
      <c r="AA120" s="1">
        <v>0</v>
      </c>
      <c r="AB120" s="1"/>
      <c r="AC120" s="1">
        <v>0</v>
      </c>
      <c r="AD120" s="98">
        <v>0</v>
      </c>
      <c r="AE120" s="172">
        <v>50</v>
      </c>
      <c r="AF120" s="1" t="s">
        <v>417</v>
      </c>
      <c r="AG120" s="98">
        <v>2.5</v>
      </c>
      <c r="AH120" s="98">
        <v>0.35</v>
      </c>
      <c r="AI120" s="1">
        <v>3</v>
      </c>
      <c r="AJ120" s="1">
        <v>0.35</v>
      </c>
      <c r="AK120" s="1"/>
      <c r="AL120" s="1"/>
      <c r="AM120" s="1">
        <v>0</v>
      </c>
    </row>
    <row r="121" spans="1:39" x14ac:dyDescent="0.25">
      <c r="A121" s="200" t="s">
        <v>173</v>
      </c>
      <c r="B121" s="1">
        <v>2</v>
      </c>
      <c r="C121" s="1" t="s">
        <v>418</v>
      </c>
      <c r="D121" s="13">
        <v>39161</v>
      </c>
      <c r="E121" s="1">
        <f t="shared" si="48"/>
        <v>3040</v>
      </c>
      <c r="F121" s="1"/>
      <c r="G121" s="13">
        <v>41016</v>
      </c>
      <c r="H121" s="13">
        <f>G120</f>
        <v>40834</v>
      </c>
      <c r="I121" s="13">
        <v>42201</v>
      </c>
      <c r="J121" s="13"/>
      <c r="K121" s="1">
        <f t="shared" si="49"/>
        <v>1855</v>
      </c>
      <c r="L121" s="1">
        <f t="shared" si="50"/>
        <v>182</v>
      </c>
      <c r="M121" s="1">
        <f t="shared" si="51"/>
        <v>1185</v>
      </c>
      <c r="N121" s="1"/>
      <c r="O121" s="1" t="s">
        <v>417</v>
      </c>
      <c r="P121" s="1">
        <v>5.29</v>
      </c>
      <c r="Q121" s="1">
        <f t="shared" si="36"/>
        <v>1</v>
      </c>
      <c r="R121" s="1">
        <f t="shared" si="37"/>
        <v>1</v>
      </c>
      <c r="S121" s="1">
        <f t="shared" si="38"/>
        <v>1</v>
      </c>
      <c r="T121" s="1">
        <f t="shared" si="39"/>
        <v>1</v>
      </c>
      <c r="U121" s="1" t="s">
        <v>437</v>
      </c>
      <c r="V121" s="1"/>
      <c r="W121" s="1"/>
      <c r="X121" s="1"/>
      <c r="Y121" s="1"/>
      <c r="Z121" s="1">
        <v>0</v>
      </c>
      <c r="AA121" s="1">
        <v>0</v>
      </c>
      <c r="AB121" s="1"/>
      <c r="AC121" s="1">
        <v>0</v>
      </c>
      <c r="AD121" s="98">
        <v>1</v>
      </c>
      <c r="AE121" s="172">
        <v>50</v>
      </c>
      <c r="AF121" s="1" t="s">
        <v>417</v>
      </c>
      <c r="AG121" s="98">
        <v>2.5</v>
      </c>
      <c r="AH121" s="98">
        <v>0.35</v>
      </c>
      <c r="AI121" s="1">
        <v>3</v>
      </c>
      <c r="AJ121" s="1">
        <v>0.35</v>
      </c>
      <c r="AK121" s="1"/>
      <c r="AL121" s="1"/>
      <c r="AM121" s="1">
        <v>0</v>
      </c>
    </row>
    <row r="122" spans="1:39" x14ac:dyDescent="0.25">
      <c r="A122" s="200" t="s">
        <v>173</v>
      </c>
      <c r="B122" s="1">
        <v>2</v>
      </c>
      <c r="C122" s="1" t="s">
        <v>418</v>
      </c>
      <c r="D122" s="13">
        <v>39161</v>
      </c>
      <c r="E122" s="1">
        <f t="shared" si="48"/>
        <v>3040</v>
      </c>
      <c r="F122" s="1"/>
      <c r="G122" s="13">
        <v>41128</v>
      </c>
      <c r="H122" s="13">
        <f t="shared" ref="H122:H128" si="52">G121</f>
        <v>41016</v>
      </c>
      <c r="I122" s="13">
        <v>42201</v>
      </c>
      <c r="J122" s="13"/>
      <c r="K122" s="1">
        <f t="shared" si="49"/>
        <v>1967</v>
      </c>
      <c r="L122" s="1">
        <f t="shared" si="50"/>
        <v>112</v>
      </c>
      <c r="M122" s="1">
        <f t="shared" si="51"/>
        <v>1073</v>
      </c>
      <c r="N122" s="1"/>
      <c r="O122" s="1" t="s">
        <v>417</v>
      </c>
      <c r="P122" s="1">
        <v>5.23</v>
      </c>
      <c r="Q122" s="1">
        <f t="shared" si="36"/>
        <v>1</v>
      </c>
      <c r="R122" s="1">
        <f t="shared" si="37"/>
        <v>1</v>
      </c>
      <c r="S122" s="1">
        <f t="shared" si="38"/>
        <v>1</v>
      </c>
      <c r="T122" s="1">
        <f t="shared" si="39"/>
        <v>1</v>
      </c>
      <c r="U122" s="1" t="s">
        <v>437</v>
      </c>
      <c r="V122" s="1"/>
      <c r="W122" s="1"/>
      <c r="X122" s="1"/>
      <c r="Y122" s="1"/>
      <c r="Z122" s="1">
        <v>0</v>
      </c>
      <c r="AA122" s="1">
        <v>0</v>
      </c>
      <c r="AB122" s="1"/>
      <c r="AC122" s="1">
        <v>0</v>
      </c>
      <c r="AD122" s="98">
        <v>0</v>
      </c>
      <c r="AE122" s="172">
        <v>50</v>
      </c>
      <c r="AF122" s="1" t="s">
        <v>417</v>
      </c>
      <c r="AG122" s="98">
        <v>2.5</v>
      </c>
      <c r="AH122" s="98">
        <v>0.35</v>
      </c>
      <c r="AI122" s="1">
        <v>3</v>
      </c>
      <c r="AJ122" s="1">
        <v>0.35</v>
      </c>
      <c r="AK122" s="1"/>
      <c r="AL122" s="1"/>
      <c r="AM122" s="1">
        <v>0</v>
      </c>
    </row>
    <row r="123" spans="1:39" x14ac:dyDescent="0.25">
      <c r="A123" s="200" t="s">
        <v>173</v>
      </c>
      <c r="B123" s="1">
        <v>2</v>
      </c>
      <c r="C123" s="1" t="s">
        <v>418</v>
      </c>
      <c r="D123" s="13">
        <v>39161</v>
      </c>
      <c r="E123" s="1">
        <f t="shared" si="48"/>
        <v>3040</v>
      </c>
      <c r="F123" s="1"/>
      <c r="G123" s="13">
        <v>41331</v>
      </c>
      <c r="H123" s="13">
        <f t="shared" si="52"/>
        <v>41128</v>
      </c>
      <c r="I123" s="13">
        <v>42201</v>
      </c>
      <c r="J123" s="13"/>
      <c r="K123" s="1">
        <f t="shared" si="49"/>
        <v>2170</v>
      </c>
      <c r="L123" s="1">
        <f t="shared" si="50"/>
        <v>203</v>
      </c>
      <c r="M123" s="1">
        <f t="shared" si="51"/>
        <v>870</v>
      </c>
      <c r="N123" s="1"/>
      <c r="O123" s="1" t="s">
        <v>417</v>
      </c>
      <c r="P123" s="1">
        <v>5.17</v>
      </c>
      <c r="Q123" s="1">
        <f t="shared" si="36"/>
        <v>1</v>
      </c>
      <c r="R123" s="1">
        <f t="shared" si="37"/>
        <v>1</v>
      </c>
      <c r="S123" s="1">
        <f t="shared" si="38"/>
        <v>1</v>
      </c>
      <c r="T123" s="1">
        <f t="shared" si="39"/>
        <v>1</v>
      </c>
      <c r="U123" s="1" t="s">
        <v>437</v>
      </c>
      <c r="V123" s="1"/>
      <c r="W123" s="1"/>
      <c r="X123" s="1"/>
      <c r="Y123" s="1"/>
      <c r="Z123" s="1">
        <v>0</v>
      </c>
      <c r="AA123" s="1">
        <v>0</v>
      </c>
      <c r="AB123" s="1"/>
      <c r="AC123" s="1">
        <v>0</v>
      </c>
      <c r="AD123" s="98">
        <v>0</v>
      </c>
      <c r="AE123" s="172">
        <v>50</v>
      </c>
      <c r="AF123" s="1" t="s">
        <v>417</v>
      </c>
      <c r="AG123" s="98">
        <v>2.5</v>
      </c>
      <c r="AH123" s="98">
        <v>0.35</v>
      </c>
      <c r="AI123" s="1">
        <v>3</v>
      </c>
      <c r="AJ123" s="1">
        <v>0.35</v>
      </c>
      <c r="AK123" s="1"/>
      <c r="AL123" s="1"/>
      <c r="AM123" s="1">
        <v>0</v>
      </c>
    </row>
    <row r="124" spans="1:39" x14ac:dyDescent="0.25">
      <c r="A124" s="200" t="s">
        <v>173</v>
      </c>
      <c r="B124" s="1">
        <v>2</v>
      </c>
      <c r="C124" s="1" t="s">
        <v>418</v>
      </c>
      <c r="D124" s="13">
        <v>39161</v>
      </c>
      <c r="E124" s="1">
        <f t="shared" si="48"/>
        <v>3040</v>
      </c>
      <c r="F124" s="1"/>
      <c r="G124" s="13">
        <v>41528</v>
      </c>
      <c r="H124" s="13">
        <f t="shared" si="52"/>
        <v>41331</v>
      </c>
      <c r="I124" s="13">
        <v>42201</v>
      </c>
      <c r="J124" s="13"/>
      <c r="K124" s="1">
        <f t="shared" si="49"/>
        <v>2367</v>
      </c>
      <c r="L124" s="1">
        <f t="shared" si="50"/>
        <v>197</v>
      </c>
      <c r="M124" s="1">
        <f t="shared" si="51"/>
        <v>673</v>
      </c>
      <c r="N124" s="1"/>
      <c r="O124" s="1" t="s">
        <v>417</v>
      </c>
      <c r="P124" s="1">
        <v>5.16</v>
      </c>
      <c r="Q124" s="1">
        <f t="shared" si="36"/>
        <v>1</v>
      </c>
      <c r="R124" s="1">
        <f t="shared" si="37"/>
        <v>1</v>
      </c>
      <c r="S124" s="1">
        <f t="shared" si="38"/>
        <v>1</v>
      </c>
      <c r="T124" s="1">
        <f t="shared" si="39"/>
        <v>1</v>
      </c>
      <c r="U124" s="1" t="s">
        <v>437</v>
      </c>
      <c r="V124" s="1"/>
      <c r="W124" s="1"/>
      <c r="X124" s="1"/>
      <c r="Y124" s="1"/>
      <c r="Z124" s="1">
        <v>0</v>
      </c>
      <c r="AA124" s="1">
        <v>0</v>
      </c>
      <c r="AB124" s="1"/>
      <c r="AC124" s="1">
        <v>0</v>
      </c>
      <c r="AD124" s="98">
        <v>0</v>
      </c>
      <c r="AE124" s="172">
        <v>40</v>
      </c>
      <c r="AF124" s="1" t="s">
        <v>417</v>
      </c>
      <c r="AG124" s="98">
        <v>2.5</v>
      </c>
      <c r="AH124" s="98">
        <v>0.35</v>
      </c>
      <c r="AI124" s="1">
        <v>3</v>
      </c>
      <c r="AJ124" s="1">
        <v>0.35</v>
      </c>
      <c r="AK124" s="1"/>
      <c r="AL124" s="1"/>
      <c r="AM124" s="1">
        <v>0</v>
      </c>
    </row>
    <row r="125" spans="1:39" x14ac:dyDescent="0.25">
      <c r="A125" s="200" t="s">
        <v>173</v>
      </c>
      <c r="B125" s="1">
        <v>2</v>
      </c>
      <c r="C125" s="1" t="s">
        <v>418</v>
      </c>
      <c r="D125" s="13">
        <v>39161</v>
      </c>
      <c r="E125" s="1">
        <f t="shared" si="48"/>
        <v>3040</v>
      </c>
      <c r="F125" s="1"/>
      <c r="G125" s="13">
        <v>41532</v>
      </c>
      <c r="H125" s="13">
        <f t="shared" si="52"/>
        <v>41528</v>
      </c>
      <c r="I125" s="13">
        <v>42201</v>
      </c>
      <c r="J125" s="13"/>
      <c r="K125" s="1">
        <f t="shared" si="49"/>
        <v>2371</v>
      </c>
      <c r="L125" s="1">
        <f t="shared" si="50"/>
        <v>4</v>
      </c>
      <c r="M125" s="1">
        <f t="shared" si="51"/>
        <v>669</v>
      </c>
      <c r="N125" s="1"/>
      <c r="O125" s="1" t="s">
        <v>417</v>
      </c>
      <c r="P125" s="1">
        <v>5.15</v>
      </c>
      <c r="Q125" s="1">
        <f t="shared" si="36"/>
        <v>1</v>
      </c>
      <c r="R125" s="1">
        <f t="shared" si="37"/>
        <v>1</v>
      </c>
      <c r="S125" s="1">
        <f t="shared" si="38"/>
        <v>1</v>
      </c>
      <c r="T125" s="1">
        <f t="shared" si="39"/>
        <v>1</v>
      </c>
      <c r="U125" s="1" t="s">
        <v>437</v>
      </c>
      <c r="V125" s="1"/>
      <c r="W125" s="1"/>
      <c r="X125" s="1"/>
      <c r="Y125" s="1"/>
      <c r="Z125" s="1">
        <v>0</v>
      </c>
      <c r="AA125" s="1">
        <v>0</v>
      </c>
      <c r="AB125" s="1"/>
      <c r="AC125" s="1">
        <v>0</v>
      </c>
      <c r="AD125" s="98">
        <v>0</v>
      </c>
      <c r="AE125" s="172">
        <v>40</v>
      </c>
      <c r="AF125" s="1" t="s">
        <v>417</v>
      </c>
      <c r="AG125" s="98">
        <v>2.5</v>
      </c>
      <c r="AH125" s="98">
        <v>0.35</v>
      </c>
      <c r="AI125" s="1">
        <v>3</v>
      </c>
      <c r="AJ125" s="1">
        <v>0.35</v>
      </c>
      <c r="AK125" s="1"/>
      <c r="AL125" s="1"/>
      <c r="AM125" s="1">
        <v>0</v>
      </c>
    </row>
    <row r="126" spans="1:39" x14ac:dyDescent="0.25">
      <c r="A126" s="200" t="s">
        <v>173</v>
      </c>
      <c r="B126" s="1">
        <v>2</v>
      </c>
      <c r="C126" s="1" t="s">
        <v>418</v>
      </c>
      <c r="D126" s="13">
        <v>39161</v>
      </c>
      <c r="E126" s="1">
        <f t="shared" si="48"/>
        <v>3040</v>
      </c>
      <c r="F126" s="1"/>
      <c r="G126" s="13">
        <v>41709</v>
      </c>
      <c r="H126" s="13">
        <f t="shared" si="52"/>
        <v>41532</v>
      </c>
      <c r="I126" s="13">
        <v>42201</v>
      </c>
      <c r="J126" s="13"/>
      <c r="K126" s="1">
        <f t="shared" si="49"/>
        <v>2548</v>
      </c>
      <c r="L126" s="1">
        <f t="shared" si="50"/>
        <v>177</v>
      </c>
      <c r="M126" s="1">
        <f t="shared" si="51"/>
        <v>492</v>
      </c>
      <c r="N126" s="1"/>
      <c r="O126" s="1" t="s">
        <v>417</v>
      </c>
      <c r="P126" s="1">
        <v>5.14</v>
      </c>
      <c r="Q126" s="1"/>
      <c r="R126" s="1">
        <f t="shared" si="37"/>
        <v>1</v>
      </c>
      <c r="S126" s="1">
        <f t="shared" si="38"/>
        <v>1</v>
      </c>
      <c r="T126" s="1">
        <f t="shared" si="39"/>
        <v>1</v>
      </c>
      <c r="U126" s="1"/>
      <c r="V126" s="1"/>
      <c r="W126" s="1"/>
      <c r="X126" s="1"/>
      <c r="Y126" s="1"/>
      <c r="Z126" s="1">
        <v>0</v>
      </c>
      <c r="AA126" s="1">
        <v>0</v>
      </c>
      <c r="AB126" s="1"/>
      <c r="AC126" s="1">
        <v>0</v>
      </c>
      <c r="AD126" s="98">
        <v>0</v>
      </c>
      <c r="AE126" s="172">
        <v>40</v>
      </c>
      <c r="AF126" s="1" t="s">
        <v>417</v>
      </c>
      <c r="AG126" s="98">
        <v>2.5</v>
      </c>
      <c r="AH126" s="98">
        <v>0.35</v>
      </c>
      <c r="AI126" s="1">
        <v>3</v>
      </c>
      <c r="AJ126" s="1">
        <v>0.35</v>
      </c>
      <c r="AK126" s="1"/>
      <c r="AL126" s="1"/>
      <c r="AM126" s="1">
        <v>0</v>
      </c>
    </row>
    <row r="127" spans="1:39" x14ac:dyDescent="0.25">
      <c r="A127" s="200" t="s">
        <v>173</v>
      </c>
      <c r="B127" s="1">
        <v>2</v>
      </c>
      <c r="C127" s="1" t="s">
        <v>418</v>
      </c>
      <c r="D127" s="13">
        <v>39161</v>
      </c>
      <c r="E127" s="1">
        <f t="shared" si="48"/>
        <v>3040</v>
      </c>
      <c r="F127" s="1"/>
      <c r="G127" s="13">
        <v>42131</v>
      </c>
      <c r="H127" s="13">
        <f t="shared" si="52"/>
        <v>41709</v>
      </c>
      <c r="I127" s="13">
        <v>42201</v>
      </c>
      <c r="J127" s="13"/>
      <c r="K127" s="1">
        <f t="shared" si="49"/>
        <v>2970</v>
      </c>
      <c r="L127" s="1">
        <f t="shared" si="50"/>
        <v>422</v>
      </c>
      <c r="M127" s="1">
        <f t="shared" si="51"/>
        <v>70</v>
      </c>
      <c r="N127" s="1"/>
      <c r="O127" s="1" t="s">
        <v>417</v>
      </c>
      <c r="P127" s="1">
        <v>4.8099999999999996</v>
      </c>
      <c r="Q127" s="1"/>
      <c r="R127" s="1"/>
      <c r="S127" s="1"/>
      <c r="T127" s="1"/>
      <c r="U127" s="1"/>
      <c r="V127" s="1"/>
      <c r="W127" s="1"/>
      <c r="X127" s="1"/>
      <c r="Y127" s="1"/>
      <c r="Z127" s="1">
        <v>0</v>
      </c>
      <c r="AA127" s="1">
        <v>0</v>
      </c>
      <c r="AB127" s="1"/>
      <c r="AC127" s="1">
        <v>0</v>
      </c>
      <c r="AD127" s="98">
        <v>2</v>
      </c>
      <c r="AE127" s="172">
        <v>40</v>
      </c>
      <c r="AF127" s="1" t="s">
        <v>417</v>
      </c>
      <c r="AG127" s="98">
        <v>2.5</v>
      </c>
      <c r="AH127" s="98">
        <v>0.35</v>
      </c>
      <c r="AI127" s="1">
        <v>3</v>
      </c>
      <c r="AJ127" s="1">
        <v>0.35</v>
      </c>
      <c r="AK127" s="1"/>
      <c r="AL127" s="1"/>
      <c r="AM127" s="1">
        <v>0</v>
      </c>
    </row>
    <row r="128" spans="1:39" x14ac:dyDescent="0.25">
      <c r="A128" s="200" t="s">
        <v>173</v>
      </c>
      <c r="B128" s="1">
        <v>2</v>
      </c>
      <c r="C128" s="1" t="s">
        <v>418</v>
      </c>
      <c r="D128" s="13">
        <v>39161</v>
      </c>
      <c r="E128" s="1">
        <f t="shared" si="48"/>
        <v>3040</v>
      </c>
      <c r="F128" s="1"/>
      <c r="G128" s="13">
        <v>42201</v>
      </c>
      <c r="H128" s="13">
        <f t="shared" si="52"/>
        <v>42131</v>
      </c>
      <c r="I128" s="13">
        <v>42201</v>
      </c>
      <c r="J128" s="13"/>
      <c r="K128" s="1">
        <f t="shared" si="49"/>
        <v>3040</v>
      </c>
      <c r="L128" s="1">
        <f t="shared" si="50"/>
        <v>70</v>
      </c>
      <c r="M128" s="1">
        <f t="shared" si="51"/>
        <v>0</v>
      </c>
      <c r="N128" s="1"/>
      <c r="O128" s="1" t="s">
        <v>434</v>
      </c>
      <c r="P128" s="1">
        <v>4.66</v>
      </c>
      <c r="Q128" s="1"/>
      <c r="R128" s="1"/>
      <c r="S128" s="1"/>
      <c r="T128" s="1"/>
      <c r="U128" s="1"/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/>
      <c r="AC128" s="1">
        <v>0</v>
      </c>
      <c r="AD128" s="98">
        <v>2</v>
      </c>
      <c r="AE128" s="172">
        <v>40</v>
      </c>
      <c r="AF128" s="1" t="s">
        <v>417</v>
      </c>
      <c r="AG128" s="98">
        <v>2.5</v>
      </c>
      <c r="AH128" s="98">
        <v>0.35</v>
      </c>
      <c r="AI128" s="1">
        <v>3</v>
      </c>
      <c r="AJ128" s="1">
        <v>0.35</v>
      </c>
      <c r="AK128" s="1"/>
      <c r="AL128" s="1"/>
      <c r="AM128" s="1">
        <v>0</v>
      </c>
    </row>
    <row r="129" spans="1:39" x14ac:dyDescent="0.25">
      <c r="A129" s="202" t="s">
        <v>174</v>
      </c>
      <c r="B129" s="1">
        <v>2</v>
      </c>
      <c r="C129" s="1" t="s">
        <v>418</v>
      </c>
      <c r="D129" s="13">
        <v>39730</v>
      </c>
      <c r="E129" s="1">
        <f t="shared" si="48"/>
        <v>2378</v>
      </c>
      <c r="F129" s="1"/>
      <c r="G129" s="13">
        <v>40744</v>
      </c>
      <c r="H129" s="13">
        <v>39730</v>
      </c>
      <c r="I129" s="13">
        <v>42108</v>
      </c>
      <c r="J129" s="13"/>
      <c r="K129" s="1">
        <f t="shared" si="49"/>
        <v>1014</v>
      </c>
      <c r="L129" s="1">
        <f t="shared" si="50"/>
        <v>1014</v>
      </c>
      <c r="M129" s="1">
        <f t="shared" si="51"/>
        <v>1364</v>
      </c>
      <c r="N129" s="1"/>
      <c r="O129" s="1" t="s">
        <v>417</v>
      </c>
      <c r="P129" s="1">
        <v>6.09</v>
      </c>
      <c r="Q129" s="1">
        <f t="shared" si="36"/>
        <v>1</v>
      </c>
      <c r="R129" s="1">
        <f t="shared" si="37"/>
        <v>1</v>
      </c>
      <c r="S129" s="1">
        <f t="shared" si="38"/>
        <v>1</v>
      </c>
      <c r="T129" s="1">
        <f t="shared" si="39"/>
        <v>1</v>
      </c>
      <c r="U129" s="1" t="s">
        <v>437</v>
      </c>
      <c r="V129" s="1"/>
      <c r="W129" s="1"/>
      <c r="X129" s="1"/>
      <c r="Y129" s="1"/>
      <c r="Z129" s="1">
        <v>5</v>
      </c>
      <c r="AA129" s="1">
        <v>0</v>
      </c>
      <c r="AB129" s="1"/>
      <c r="AC129" s="1">
        <v>0</v>
      </c>
      <c r="AD129" s="98">
        <v>0</v>
      </c>
      <c r="AE129" s="172">
        <v>50</v>
      </c>
      <c r="AF129" s="1" t="s">
        <v>417</v>
      </c>
      <c r="AG129" s="98">
        <v>2.5</v>
      </c>
      <c r="AH129" s="98">
        <v>0.35</v>
      </c>
      <c r="AI129" s="1">
        <v>2.5</v>
      </c>
      <c r="AJ129" s="1">
        <v>0.35</v>
      </c>
      <c r="AK129" s="1"/>
      <c r="AL129" s="1"/>
      <c r="AM129" s="1">
        <v>0</v>
      </c>
    </row>
    <row r="130" spans="1:39" x14ac:dyDescent="0.25">
      <c r="A130" s="202" t="s">
        <v>174</v>
      </c>
      <c r="B130" s="1">
        <v>2</v>
      </c>
      <c r="C130" s="1" t="s">
        <v>418</v>
      </c>
      <c r="D130" s="13">
        <v>39730</v>
      </c>
      <c r="E130" s="1">
        <f t="shared" si="48"/>
        <v>2378</v>
      </c>
      <c r="F130" s="1"/>
      <c r="G130" s="13">
        <v>40952</v>
      </c>
      <c r="H130" s="13">
        <f>G129</f>
        <v>40744</v>
      </c>
      <c r="I130" s="13">
        <v>42108</v>
      </c>
      <c r="J130" s="13"/>
      <c r="K130" s="1">
        <f t="shared" si="49"/>
        <v>1222</v>
      </c>
      <c r="L130" s="1">
        <f t="shared" si="50"/>
        <v>208</v>
      </c>
      <c r="M130" s="1">
        <f t="shared" si="51"/>
        <v>1156</v>
      </c>
      <c r="N130" s="1"/>
      <c r="O130" s="1" t="s">
        <v>417</v>
      </c>
      <c r="P130" s="1">
        <v>5.89</v>
      </c>
      <c r="Q130" s="1">
        <f t="shared" si="36"/>
        <v>1</v>
      </c>
      <c r="R130" s="1">
        <f t="shared" si="37"/>
        <v>1</v>
      </c>
      <c r="S130" s="1">
        <f t="shared" si="38"/>
        <v>1</v>
      </c>
      <c r="T130" s="1">
        <f t="shared" si="39"/>
        <v>1</v>
      </c>
      <c r="U130" s="1" t="s">
        <v>437</v>
      </c>
      <c r="V130" s="1"/>
      <c r="W130" s="1"/>
      <c r="X130" s="1"/>
      <c r="Y130" s="1"/>
      <c r="Z130" s="1">
        <v>5</v>
      </c>
      <c r="AA130" s="1">
        <v>0</v>
      </c>
      <c r="AB130" s="1"/>
      <c r="AC130" s="1">
        <v>0</v>
      </c>
      <c r="AD130" s="98">
        <v>0</v>
      </c>
      <c r="AE130" s="172">
        <v>50</v>
      </c>
      <c r="AF130" s="1" t="s">
        <v>417</v>
      </c>
      <c r="AG130" s="98">
        <v>2.5</v>
      </c>
      <c r="AH130" s="98">
        <v>0.35</v>
      </c>
      <c r="AI130" s="1">
        <v>2.5</v>
      </c>
      <c r="AJ130" s="1">
        <v>0.35</v>
      </c>
      <c r="AK130" s="1"/>
      <c r="AL130" s="1"/>
      <c r="AM130" s="1">
        <v>0</v>
      </c>
    </row>
    <row r="131" spans="1:39" x14ac:dyDescent="0.25">
      <c r="A131" s="202" t="s">
        <v>174</v>
      </c>
      <c r="B131" s="1">
        <v>2</v>
      </c>
      <c r="C131" s="1" t="s">
        <v>418</v>
      </c>
      <c r="D131" s="13">
        <v>39730</v>
      </c>
      <c r="E131" s="1">
        <f t="shared" si="48"/>
        <v>2378</v>
      </c>
      <c r="F131" s="1"/>
      <c r="G131" s="13">
        <v>41345</v>
      </c>
      <c r="H131" s="13">
        <f t="shared" ref="H131:H136" si="53">G130</f>
        <v>40952</v>
      </c>
      <c r="I131" s="13">
        <v>42108</v>
      </c>
      <c r="J131" s="13"/>
      <c r="K131" s="1">
        <f t="shared" si="49"/>
        <v>1615</v>
      </c>
      <c r="L131" s="1">
        <f t="shared" si="50"/>
        <v>393</v>
      </c>
      <c r="M131" s="1">
        <f t="shared" si="51"/>
        <v>763</v>
      </c>
      <c r="N131" s="1"/>
      <c r="O131" s="1" t="s">
        <v>417</v>
      </c>
      <c r="P131" s="1">
        <v>5.3</v>
      </c>
      <c r="Q131" s="1">
        <f t="shared" si="36"/>
        <v>1</v>
      </c>
      <c r="R131" s="1">
        <f t="shared" si="37"/>
        <v>1</v>
      </c>
      <c r="S131" s="1">
        <f t="shared" si="38"/>
        <v>1</v>
      </c>
      <c r="T131" s="1">
        <f t="shared" si="39"/>
        <v>1</v>
      </c>
      <c r="U131" s="1" t="s">
        <v>437</v>
      </c>
      <c r="V131" s="1"/>
      <c r="W131" s="1"/>
      <c r="X131" s="1"/>
      <c r="Y131" s="1"/>
      <c r="Z131" s="1">
        <v>0</v>
      </c>
      <c r="AA131" s="1">
        <v>0</v>
      </c>
      <c r="AB131" s="1"/>
      <c r="AC131" s="1">
        <v>0</v>
      </c>
      <c r="AD131" s="98">
        <v>0</v>
      </c>
      <c r="AE131" s="172">
        <v>50</v>
      </c>
      <c r="AF131" s="1" t="s">
        <v>417</v>
      </c>
      <c r="AG131" s="98">
        <v>2.5</v>
      </c>
      <c r="AH131" s="98">
        <v>0.35</v>
      </c>
      <c r="AI131" s="1">
        <v>2.5</v>
      </c>
      <c r="AJ131" s="1">
        <v>0.35</v>
      </c>
      <c r="AK131" s="1"/>
      <c r="AL131" s="1"/>
      <c r="AM131" s="1">
        <v>0</v>
      </c>
    </row>
    <row r="132" spans="1:39" x14ac:dyDescent="0.25">
      <c r="A132" s="202" t="s">
        <v>174</v>
      </c>
      <c r="B132" s="1">
        <v>2</v>
      </c>
      <c r="C132" s="1" t="s">
        <v>418</v>
      </c>
      <c r="D132" s="13">
        <v>39730</v>
      </c>
      <c r="E132" s="1">
        <f t="shared" si="48"/>
        <v>2378</v>
      </c>
      <c r="F132" s="1"/>
      <c r="G132" s="13">
        <v>41541</v>
      </c>
      <c r="H132" s="13">
        <f t="shared" si="53"/>
        <v>41345</v>
      </c>
      <c r="I132" s="13">
        <v>42108</v>
      </c>
      <c r="J132" s="13"/>
      <c r="K132" s="1">
        <f t="shared" si="49"/>
        <v>1811</v>
      </c>
      <c r="L132" s="1">
        <f t="shared" si="50"/>
        <v>196</v>
      </c>
      <c r="M132" s="1">
        <f t="shared" si="51"/>
        <v>567</v>
      </c>
      <c r="N132" s="1"/>
      <c r="O132" s="1" t="s">
        <v>417</v>
      </c>
      <c r="P132" s="1">
        <v>5.2</v>
      </c>
      <c r="Q132" s="1">
        <f t="shared" si="36"/>
        <v>1</v>
      </c>
      <c r="R132" s="1">
        <f t="shared" si="37"/>
        <v>1</v>
      </c>
      <c r="S132" s="1">
        <f t="shared" si="38"/>
        <v>1</v>
      </c>
      <c r="T132" s="1">
        <f t="shared" si="39"/>
        <v>1</v>
      </c>
      <c r="U132" s="1" t="s">
        <v>437</v>
      </c>
      <c r="V132" s="1"/>
      <c r="W132" s="1"/>
      <c r="X132" s="1"/>
      <c r="Y132" s="1"/>
      <c r="Z132" s="1">
        <v>0</v>
      </c>
      <c r="AA132" s="1">
        <v>0</v>
      </c>
      <c r="AB132" s="1"/>
      <c r="AC132" s="1">
        <v>0</v>
      </c>
      <c r="AD132" s="98">
        <v>0</v>
      </c>
      <c r="AE132" s="172">
        <v>50</v>
      </c>
      <c r="AF132" s="1" t="s">
        <v>417</v>
      </c>
      <c r="AG132" s="98">
        <v>2.5</v>
      </c>
      <c r="AH132" s="98">
        <v>0.35</v>
      </c>
      <c r="AI132" s="1">
        <v>2.5</v>
      </c>
      <c r="AJ132" s="1">
        <v>0.35</v>
      </c>
      <c r="AK132" s="1"/>
      <c r="AL132" s="1"/>
      <c r="AM132" s="1">
        <v>0</v>
      </c>
    </row>
    <row r="133" spans="1:39" x14ac:dyDescent="0.25">
      <c r="A133" s="202"/>
      <c r="B133" s="1">
        <v>2</v>
      </c>
      <c r="C133" s="1" t="s">
        <v>418</v>
      </c>
      <c r="D133" s="13">
        <v>39730</v>
      </c>
      <c r="E133" s="1">
        <f t="shared" si="48"/>
        <v>2378</v>
      </c>
      <c r="F133" s="1"/>
      <c r="G133" s="13">
        <v>41659</v>
      </c>
      <c r="H133" s="13">
        <f t="shared" si="53"/>
        <v>41541</v>
      </c>
      <c r="I133" s="13">
        <v>42108</v>
      </c>
      <c r="J133" s="13"/>
      <c r="K133" s="1">
        <f t="shared" si="49"/>
        <v>1929</v>
      </c>
      <c r="L133" s="1">
        <f t="shared" si="50"/>
        <v>118</v>
      </c>
      <c r="M133" s="1">
        <f t="shared" si="51"/>
        <v>449</v>
      </c>
      <c r="N133" s="1"/>
      <c r="O133" s="1" t="s">
        <v>417</v>
      </c>
      <c r="P133" s="1">
        <v>5.17</v>
      </c>
      <c r="Q133" s="1"/>
      <c r="R133" s="1">
        <f t="shared" si="37"/>
        <v>1</v>
      </c>
      <c r="S133" s="1">
        <f t="shared" si="38"/>
        <v>1</v>
      </c>
      <c r="T133" s="1">
        <f t="shared" si="39"/>
        <v>1</v>
      </c>
      <c r="U133" s="1"/>
      <c r="V133" s="1"/>
      <c r="W133" s="1"/>
      <c r="X133" s="1"/>
      <c r="Y133" s="1"/>
      <c r="Z133" s="1">
        <v>2</v>
      </c>
      <c r="AA133" s="1">
        <v>0</v>
      </c>
      <c r="AB133" s="1"/>
      <c r="AC133" s="1">
        <v>0</v>
      </c>
      <c r="AD133" s="98">
        <v>0</v>
      </c>
      <c r="AE133" s="172">
        <v>50</v>
      </c>
      <c r="AF133" s="1" t="s">
        <v>417</v>
      </c>
      <c r="AG133" s="98">
        <v>2.5</v>
      </c>
      <c r="AH133" s="98">
        <v>0.35</v>
      </c>
      <c r="AI133" s="1">
        <v>2.5</v>
      </c>
      <c r="AJ133" s="1">
        <v>0.35</v>
      </c>
      <c r="AK133" s="1"/>
      <c r="AL133" s="1"/>
      <c r="AM133" s="1">
        <v>0</v>
      </c>
    </row>
    <row r="134" spans="1:39" x14ac:dyDescent="0.25">
      <c r="A134" s="202" t="s">
        <v>174</v>
      </c>
      <c r="B134" s="1">
        <v>2</v>
      </c>
      <c r="C134" s="1" t="s">
        <v>418</v>
      </c>
      <c r="D134" s="13">
        <v>39730</v>
      </c>
      <c r="E134" s="1">
        <f t="shared" si="48"/>
        <v>2378</v>
      </c>
      <c r="F134" s="1"/>
      <c r="G134" s="13">
        <v>41799</v>
      </c>
      <c r="H134" s="13">
        <f t="shared" si="53"/>
        <v>41659</v>
      </c>
      <c r="I134" s="13">
        <v>42108</v>
      </c>
      <c r="J134" s="13"/>
      <c r="K134" s="1">
        <f t="shared" si="49"/>
        <v>2069</v>
      </c>
      <c r="L134" s="1">
        <f t="shared" si="50"/>
        <v>140</v>
      </c>
      <c r="M134" s="1">
        <f t="shared" si="51"/>
        <v>309</v>
      </c>
      <c r="N134" s="1"/>
      <c r="O134" s="1" t="s">
        <v>417</v>
      </c>
      <c r="P134" s="1">
        <v>5.15</v>
      </c>
      <c r="Q134" s="1"/>
      <c r="R134" s="1"/>
      <c r="S134" s="1">
        <f t="shared" si="38"/>
        <v>1</v>
      </c>
      <c r="T134" s="1">
        <f t="shared" si="39"/>
        <v>1</v>
      </c>
      <c r="U134" s="1"/>
      <c r="V134" s="1"/>
      <c r="W134" s="1"/>
      <c r="X134" s="1"/>
      <c r="Y134" s="1"/>
      <c r="Z134" s="1">
        <v>0</v>
      </c>
      <c r="AA134" s="1">
        <v>0</v>
      </c>
      <c r="AB134" s="1"/>
      <c r="AC134" s="1">
        <v>0</v>
      </c>
      <c r="AD134" s="98">
        <v>0</v>
      </c>
      <c r="AE134" s="172">
        <v>50</v>
      </c>
      <c r="AF134" s="1" t="s">
        <v>417</v>
      </c>
      <c r="AG134" s="98">
        <v>2.5</v>
      </c>
      <c r="AH134" s="98">
        <v>0.35</v>
      </c>
      <c r="AI134" s="1">
        <v>2.5</v>
      </c>
      <c r="AJ134" s="1">
        <v>0.35</v>
      </c>
      <c r="AK134" s="1"/>
      <c r="AL134" s="1"/>
      <c r="AM134" s="1">
        <v>0</v>
      </c>
    </row>
    <row r="135" spans="1:39" x14ac:dyDescent="0.25">
      <c r="A135" s="202" t="s">
        <v>174</v>
      </c>
      <c r="B135" s="1">
        <v>2</v>
      </c>
      <c r="C135" s="1" t="s">
        <v>418</v>
      </c>
      <c r="D135" s="13">
        <v>39730</v>
      </c>
      <c r="E135" s="1">
        <f t="shared" si="48"/>
        <v>2378</v>
      </c>
      <c r="F135" s="1"/>
      <c r="G135" s="13">
        <v>41925</v>
      </c>
      <c r="H135" s="13">
        <f t="shared" si="53"/>
        <v>41799</v>
      </c>
      <c r="I135" s="13">
        <v>42108</v>
      </c>
      <c r="J135" s="13"/>
      <c r="K135" s="1">
        <f t="shared" si="49"/>
        <v>2195</v>
      </c>
      <c r="L135" s="1">
        <f t="shared" si="50"/>
        <v>126</v>
      </c>
      <c r="M135" s="1">
        <f t="shared" si="51"/>
        <v>183</v>
      </c>
      <c r="N135" s="1"/>
      <c r="O135" s="1" t="s">
        <v>417</v>
      </c>
      <c r="P135" s="1">
        <v>5.14</v>
      </c>
      <c r="Q135" s="1"/>
      <c r="R135" s="1"/>
      <c r="S135" s="1">
        <f t="shared" si="38"/>
        <v>1</v>
      </c>
      <c r="T135" s="1">
        <f t="shared" si="39"/>
        <v>1</v>
      </c>
      <c r="U135" s="1"/>
      <c r="V135" s="1"/>
      <c r="W135" s="1"/>
      <c r="X135" s="1"/>
      <c r="Y135" s="1"/>
      <c r="Z135" s="1">
        <v>0</v>
      </c>
      <c r="AA135" s="1">
        <v>0</v>
      </c>
      <c r="AB135" s="1"/>
      <c r="AC135" s="1">
        <v>0</v>
      </c>
      <c r="AD135" s="98">
        <v>0</v>
      </c>
      <c r="AE135" s="172">
        <v>50</v>
      </c>
      <c r="AF135" s="1" t="s">
        <v>417</v>
      </c>
      <c r="AG135" s="98">
        <v>2.5</v>
      </c>
      <c r="AH135" s="98">
        <v>0.35</v>
      </c>
      <c r="AI135" s="1">
        <v>2.5</v>
      </c>
      <c r="AJ135" s="1">
        <v>0.35</v>
      </c>
      <c r="AK135" s="1"/>
      <c r="AL135" s="1"/>
      <c r="AM135" s="1">
        <v>0</v>
      </c>
    </row>
    <row r="136" spans="1:39" x14ac:dyDescent="0.25">
      <c r="A136" s="202" t="s">
        <v>174</v>
      </c>
      <c r="B136" s="1">
        <v>2</v>
      </c>
      <c r="C136" s="1" t="s">
        <v>418</v>
      </c>
      <c r="D136" s="13">
        <v>39730</v>
      </c>
      <c r="E136" s="1">
        <f t="shared" si="48"/>
        <v>2378</v>
      </c>
      <c r="F136" s="1"/>
      <c r="G136" s="13">
        <v>42108</v>
      </c>
      <c r="H136" s="13">
        <f t="shared" si="53"/>
        <v>41925</v>
      </c>
      <c r="I136" s="13">
        <v>42108</v>
      </c>
      <c r="J136" s="13"/>
      <c r="K136" s="1">
        <f t="shared" si="49"/>
        <v>2378</v>
      </c>
      <c r="L136" s="1">
        <f t="shared" si="50"/>
        <v>183</v>
      </c>
      <c r="M136" s="1">
        <f t="shared" si="51"/>
        <v>0</v>
      </c>
      <c r="N136" s="1"/>
      <c r="O136" s="1" t="s">
        <v>417</v>
      </c>
      <c r="P136" s="1">
        <v>5.13</v>
      </c>
      <c r="Q136" s="1"/>
      <c r="R136" s="1"/>
      <c r="S136" s="1"/>
      <c r="T136" s="1"/>
      <c r="U136" s="1"/>
      <c r="V136" s="1"/>
      <c r="W136" s="1"/>
      <c r="X136" s="1"/>
      <c r="Y136" s="1"/>
      <c r="Z136" s="1">
        <v>0</v>
      </c>
      <c r="AA136" s="1">
        <v>0</v>
      </c>
      <c r="AB136" s="1"/>
      <c r="AC136" s="1">
        <v>0</v>
      </c>
      <c r="AD136" s="98">
        <v>0</v>
      </c>
      <c r="AE136" s="172">
        <v>50</v>
      </c>
      <c r="AF136" s="1" t="s">
        <v>417</v>
      </c>
      <c r="AG136" s="98">
        <v>2.5</v>
      </c>
      <c r="AH136" s="98">
        <v>0.35</v>
      </c>
      <c r="AI136" s="1">
        <v>2.5</v>
      </c>
      <c r="AJ136" s="1">
        <v>0.35</v>
      </c>
      <c r="AK136" s="1"/>
      <c r="AL136" s="1"/>
      <c r="AM136" s="1">
        <v>0</v>
      </c>
    </row>
    <row r="137" spans="1:39" x14ac:dyDescent="0.25">
      <c r="A137" s="203" t="s">
        <v>175</v>
      </c>
      <c r="B137" s="1">
        <v>2</v>
      </c>
      <c r="C137" s="1" t="s">
        <v>418</v>
      </c>
      <c r="D137" s="13">
        <v>39399</v>
      </c>
      <c r="E137" s="1">
        <f>I137-D137</f>
        <v>2766</v>
      </c>
      <c r="F137" s="1"/>
      <c r="G137" s="13">
        <v>40701</v>
      </c>
      <c r="H137" s="13">
        <v>39399</v>
      </c>
      <c r="I137" s="13">
        <v>42165</v>
      </c>
      <c r="J137" s="13"/>
      <c r="K137" s="1">
        <f t="shared" si="49"/>
        <v>1302</v>
      </c>
      <c r="L137" s="1">
        <f t="shared" si="50"/>
        <v>1302</v>
      </c>
      <c r="M137" s="1">
        <f t="shared" si="51"/>
        <v>1464</v>
      </c>
      <c r="N137" s="1"/>
      <c r="O137" s="1" t="s">
        <v>417</v>
      </c>
      <c r="P137" s="1">
        <v>5.88</v>
      </c>
      <c r="Q137" s="1">
        <f t="shared" si="36"/>
        <v>1</v>
      </c>
      <c r="R137" s="1">
        <f t="shared" si="37"/>
        <v>1</v>
      </c>
      <c r="S137" s="1">
        <f t="shared" si="38"/>
        <v>1</v>
      </c>
      <c r="T137" s="1">
        <f t="shared" si="39"/>
        <v>1</v>
      </c>
      <c r="U137" s="1" t="s">
        <v>437</v>
      </c>
      <c r="V137" s="1"/>
      <c r="W137" s="1"/>
      <c r="X137" s="1"/>
      <c r="Y137" s="1"/>
      <c r="Z137" s="1">
        <v>39</v>
      </c>
      <c r="AA137" s="1">
        <v>0</v>
      </c>
      <c r="AB137" s="1"/>
      <c r="AC137" s="1">
        <v>0</v>
      </c>
      <c r="AD137" s="98">
        <v>0</v>
      </c>
      <c r="AE137" s="172">
        <v>60</v>
      </c>
      <c r="AF137" s="1" t="s">
        <v>417</v>
      </c>
      <c r="AG137" s="98">
        <v>2.5</v>
      </c>
      <c r="AH137" s="98">
        <v>0.35</v>
      </c>
      <c r="AI137" s="1">
        <v>2.5</v>
      </c>
      <c r="AJ137" s="1">
        <v>0.35</v>
      </c>
      <c r="AK137" s="1"/>
      <c r="AL137" s="1"/>
      <c r="AM137" s="1">
        <v>0</v>
      </c>
    </row>
    <row r="138" spans="1:39" x14ac:dyDescent="0.25">
      <c r="A138" s="203" t="s">
        <v>175</v>
      </c>
      <c r="B138" s="1">
        <v>2</v>
      </c>
      <c r="C138" s="1" t="s">
        <v>418</v>
      </c>
      <c r="D138" s="13">
        <v>39399</v>
      </c>
      <c r="E138" s="1">
        <f t="shared" ref="E138:E201" si="54">I138-D138</f>
        <v>2766</v>
      </c>
      <c r="F138" s="1"/>
      <c r="G138" s="13">
        <v>40925</v>
      </c>
      <c r="H138" s="13">
        <f>G137</f>
        <v>40701</v>
      </c>
      <c r="I138" s="13">
        <v>42165</v>
      </c>
      <c r="J138" s="13"/>
      <c r="K138" s="1">
        <f t="shared" si="49"/>
        <v>1526</v>
      </c>
      <c r="L138" s="1">
        <f t="shared" si="50"/>
        <v>224</v>
      </c>
      <c r="M138" s="1">
        <f t="shared" si="51"/>
        <v>1240</v>
      </c>
      <c r="N138" s="1"/>
      <c r="O138" s="1" t="s">
        <v>417</v>
      </c>
      <c r="P138" s="1">
        <v>5.47</v>
      </c>
      <c r="Q138" s="1">
        <f t="shared" si="36"/>
        <v>1</v>
      </c>
      <c r="R138" s="1">
        <f t="shared" si="37"/>
        <v>1</v>
      </c>
      <c r="S138" s="1">
        <f t="shared" si="38"/>
        <v>1</v>
      </c>
      <c r="T138" s="1">
        <f t="shared" si="39"/>
        <v>1</v>
      </c>
      <c r="U138" s="1" t="s">
        <v>437</v>
      </c>
      <c r="V138" s="1"/>
      <c r="W138" s="1"/>
      <c r="X138" s="1"/>
      <c r="Y138" s="1"/>
      <c r="Z138" s="1">
        <v>41</v>
      </c>
      <c r="AA138" s="1">
        <v>0</v>
      </c>
      <c r="AB138" s="1"/>
      <c r="AC138" s="1">
        <v>0</v>
      </c>
      <c r="AD138" s="98">
        <v>1</v>
      </c>
      <c r="AE138" s="172">
        <v>60</v>
      </c>
      <c r="AF138" s="1" t="s">
        <v>417</v>
      </c>
      <c r="AG138" s="98">
        <v>2.5</v>
      </c>
      <c r="AH138" s="98">
        <v>0.35</v>
      </c>
      <c r="AI138" s="1">
        <v>2.5</v>
      </c>
      <c r="AJ138" s="1">
        <v>0.35</v>
      </c>
      <c r="AK138" s="1"/>
      <c r="AL138" s="1"/>
      <c r="AM138" s="1">
        <v>0</v>
      </c>
    </row>
    <row r="139" spans="1:39" x14ac:dyDescent="0.25">
      <c r="A139" s="203" t="s">
        <v>175</v>
      </c>
      <c r="B139" s="1">
        <v>2</v>
      </c>
      <c r="C139" s="1" t="s">
        <v>418</v>
      </c>
      <c r="D139" s="13">
        <v>39399</v>
      </c>
      <c r="E139" s="1">
        <f t="shared" si="54"/>
        <v>2766</v>
      </c>
      <c r="F139" s="1"/>
      <c r="G139" s="13">
        <v>41058</v>
      </c>
      <c r="H139" s="13">
        <f t="shared" ref="H139:H148" si="55">G138</f>
        <v>40925</v>
      </c>
      <c r="I139" s="13">
        <v>42165</v>
      </c>
      <c r="J139" s="13"/>
      <c r="K139" s="1">
        <f t="shared" si="49"/>
        <v>1659</v>
      </c>
      <c r="L139" s="1">
        <f t="shared" si="50"/>
        <v>133</v>
      </c>
      <c r="M139" s="1">
        <f t="shared" si="51"/>
        <v>1107</v>
      </c>
      <c r="N139" s="1"/>
      <c r="O139" s="1" t="s">
        <v>417</v>
      </c>
      <c r="P139" s="1">
        <v>5.3</v>
      </c>
      <c r="Q139" s="1">
        <f t="shared" si="36"/>
        <v>1</v>
      </c>
      <c r="R139" s="1">
        <f t="shared" si="37"/>
        <v>1</v>
      </c>
      <c r="S139" s="1">
        <f t="shared" si="38"/>
        <v>1</v>
      </c>
      <c r="T139" s="1">
        <f t="shared" si="39"/>
        <v>1</v>
      </c>
      <c r="U139" s="1" t="s">
        <v>437</v>
      </c>
      <c r="V139" s="1"/>
      <c r="W139" s="1"/>
      <c r="X139" s="1"/>
      <c r="Y139" s="1"/>
      <c r="Z139" s="1">
        <v>35</v>
      </c>
      <c r="AA139" s="1">
        <v>0</v>
      </c>
      <c r="AB139" s="1"/>
      <c r="AC139" s="1">
        <v>0</v>
      </c>
      <c r="AD139" s="98">
        <v>0</v>
      </c>
      <c r="AE139" s="172">
        <v>60</v>
      </c>
      <c r="AF139" s="1" t="s">
        <v>417</v>
      </c>
      <c r="AG139" s="98">
        <v>2.5</v>
      </c>
      <c r="AH139" s="98">
        <v>0.35</v>
      </c>
      <c r="AI139" s="1">
        <v>2.5</v>
      </c>
      <c r="AJ139" s="1">
        <v>0.35</v>
      </c>
      <c r="AK139" s="1"/>
      <c r="AL139" s="1"/>
      <c r="AM139" s="1">
        <v>0</v>
      </c>
    </row>
    <row r="140" spans="1:39" x14ac:dyDescent="0.25">
      <c r="A140" s="203" t="s">
        <v>175</v>
      </c>
      <c r="B140" s="1">
        <v>2</v>
      </c>
      <c r="C140" s="1" t="s">
        <v>418</v>
      </c>
      <c r="D140" s="13">
        <v>39399</v>
      </c>
      <c r="E140" s="1">
        <f t="shared" si="54"/>
        <v>2766</v>
      </c>
      <c r="F140" s="1"/>
      <c r="G140" s="13">
        <v>41162</v>
      </c>
      <c r="H140" s="13">
        <f t="shared" si="55"/>
        <v>41058</v>
      </c>
      <c r="I140" s="13">
        <v>42165</v>
      </c>
      <c r="J140" s="13"/>
      <c r="K140" s="1">
        <f t="shared" si="49"/>
        <v>1763</v>
      </c>
      <c r="L140" s="1">
        <f t="shared" si="50"/>
        <v>104</v>
      </c>
      <c r="M140" s="1">
        <f t="shared" si="51"/>
        <v>1003</v>
      </c>
      <c r="N140" s="1"/>
      <c r="O140" s="1" t="s">
        <v>417</v>
      </c>
      <c r="P140" s="1">
        <v>5.2</v>
      </c>
      <c r="Q140" s="1">
        <f t="shared" si="36"/>
        <v>1</v>
      </c>
      <c r="R140" s="1">
        <f t="shared" si="37"/>
        <v>1</v>
      </c>
      <c r="S140" s="1">
        <f t="shared" si="38"/>
        <v>1</v>
      </c>
      <c r="T140" s="1">
        <f t="shared" si="39"/>
        <v>1</v>
      </c>
      <c r="U140" s="1" t="s">
        <v>437</v>
      </c>
      <c r="V140" s="1"/>
      <c r="W140" s="1"/>
      <c r="X140" s="1"/>
      <c r="Y140" s="1"/>
      <c r="Z140" s="1">
        <v>46</v>
      </c>
      <c r="AA140" s="1">
        <v>0</v>
      </c>
      <c r="AB140" s="1"/>
      <c r="AC140" s="1">
        <v>0</v>
      </c>
      <c r="AD140" s="98">
        <v>0</v>
      </c>
      <c r="AE140" s="172">
        <v>60</v>
      </c>
      <c r="AF140" s="1" t="s">
        <v>417</v>
      </c>
      <c r="AG140" s="98">
        <v>2.5</v>
      </c>
      <c r="AH140" s="98">
        <v>0.35</v>
      </c>
      <c r="AI140" s="1">
        <v>2.5</v>
      </c>
      <c r="AJ140" s="1">
        <v>0.35</v>
      </c>
      <c r="AK140" s="1"/>
      <c r="AL140" s="1"/>
      <c r="AM140" s="1">
        <v>0</v>
      </c>
    </row>
    <row r="141" spans="1:39" x14ac:dyDescent="0.25">
      <c r="A141" s="203" t="s">
        <v>175</v>
      </c>
      <c r="B141" s="1">
        <v>2</v>
      </c>
      <c r="C141" s="1" t="s">
        <v>418</v>
      </c>
      <c r="D141" s="13">
        <v>39399</v>
      </c>
      <c r="E141" s="1">
        <f t="shared" si="54"/>
        <v>2766</v>
      </c>
      <c r="F141" s="1"/>
      <c r="G141" s="13">
        <v>41345</v>
      </c>
      <c r="H141" s="13">
        <f t="shared" si="55"/>
        <v>41162</v>
      </c>
      <c r="I141" s="13">
        <v>42165</v>
      </c>
      <c r="J141" s="13"/>
      <c r="K141" s="1">
        <f t="shared" si="49"/>
        <v>1946</v>
      </c>
      <c r="L141" s="1">
        <f t="shared" si="50"/>
        <v>183</v>
      </c>
      <c r="M141" s="1">
        <f t="shared" si="51"/>
        <v>820</v>
      </c>
      <c r="N141" s="1"/>
      <c r="O141" s="1" t="s">
        <v>417</v>
      </c>
      <c r="P141" s="1">
        <v>5.17</v>
      </c>
      <c r="Q141" s="1">
        <f t="shared" si="36"/>
        <v>1</v>
      </c>
      <c r="R141" s="1">
        <f t="shared" si="37"/>
        <v>1</v>
      </c>
      <c r="S141" s="1">
        <f t="shared" si="38"/>
        <v>1</v>
      </c>
      <c r="T141" s="1">
        <f t="shared" si="39"/>
        <v>1</v>
      </c>
      <c r="U141" s="1" t="s">
        <v>437</v>
      </c>
      <c r="V141" s="1"/>
      <c r="W141" s="1"/>
      <c r="X141" s="1"/>
      <c r="Y141" s="1"/>
      <c r="Z141" s="1">
        <v>44</v>
      </c>
      <c r="AA141" s="1">
        <v>0</v>
      </c>
      <c r="AB141" s="1"/>
      <c r="AC141" s="1">
        <v>0</v>
      </c>
      <c r="AD141" s="98">
        <v>1</v>
      </c>
      <c r="AE141" s="172">
        <v>60</v>
      </c>
      <c r="AF141" s="1" t="s">
        <v>417</v>
      </c>
      <c r="AG141" s="98">
        <v>2.5</v>
      </c>
      <c r="AH141" s="98">
        <v>0.35</v>
      </c>
      <c r="AI141" s="1">
        <v>2.5</v>
      </c>
      <c r="AJ141" s="1">
        <v>0.35</v>
      </c>
      <c r="AK141" s="1"/>
      <c r="AL141" s="1"/>
      <c r="AM141" s="1">
        <v>0</v>
      </c>
    </row>
    <row r="142" spans="1:39" x14ac:dyDescent="0.25">
      <c r="A142" s="203" t="s">
        <v>175</v>
      </c>
      <c r="B142" s="1">
        <v>2</v>
      </c>
      <c r="C142" s="1" t="s">
        <v>418</v>
      </c>
      <c r="D142" s="13">
        <v>39399</v>
      </c>
      <c r="E142" s="1">
        <f t="shared" si="54"/>
        <v>2766</v>
      </c>
      <c r="F142" s="1"/>
      <c r="G142" s="13">
        <v>41457</v>
      </c>
      <c r="H142" s="13">
        <f t="shared" si="55"/>
        <v>41345</v>
      </c>
      <c r="I142" s="13">
        <v>42165</v>
      </c>
      <c r="J142" s="13"/>
      <c r="K142" s="1">
        <f t="shared" si="49"/>
        <v>2058</v>
      </c>
      <c r="L142" s="1">
        <f t="shared" si="50"/>
        <v>112</v>
      </c>
      <c r="M142" s="1">
        <f t="shared" si="51"/>
        <v>708</v>
      </c>
      <c r="N142" s="1"/>
      <c r="O142" s="1" t="s">
        <v>417</v>
      </c>
      <c r="P142" s="1">
        <v>5.15</v>
      </c>
      <c r="Q142" s="1">
        <f t="shared" si="36"/>
        <v>1</v>
      </c>
      <c r="R142" s="1">
        <f t="shared" si="37"/>
        <v>1</v>
      </c>
      <c r="S142" s="1">
        <f t="shared" si="38"/>
        <v>1</v>
      </c>
      <c r="T142" s="1">
        <f t="shared" si="39"/>
        <v>1</v>
      </c>
      <c r="U142" s="1" t="s">
        <v>437</v>
      </c>
      <c r="V142" s="1"/>
      <c r="W142" s="1"/>
      <c r="X142" s="1"/>
      <c r="Y142" s="1"/>
      <c r="Z142" s="1">
        <v>39</v>
      </c>
      <c r="AA142" s="1">
        <v>0</v>
      </c>
      <c r="AB142" s="1"/>
      <c r="AC142" s="1">
        <v>0</v>
      </c>
      <c r="AD142" s="98">
        <v>0</v>
      </c>
      <c r="AE142" s="172">
        <v>60</v>
      </c>
      <c r="AF142" s="1" t="s">
        <v>417</v>
      </c>
      <c r="AG142" s="98">
        <v>2.5</v>
      </c>
      <c r="AH142" s="98">
        <v>0.35</v>
      </c>
      <c r="AI142" s="1">
        <v>2.5</v>
      </c>
      <c r="AJ142" s="1">
        <v>0.35</v>
      </c>
      <c r="AK142" s="1"/>
      <c r="AL142" s="1"/>
      <c r="AM142" s="1">
        <v>0</v>
      </c>
    </row>
    <row r="143" spans="1:39" x14ac:dyDescent="0.25">
      <c r="A143" s="203" t="s">
        <v>175</v>
      </c>
      <c r="B143" s="1">
        <v>2</v>
      </c>
      <c r="C143" s="1" t="s">
        <v>418</v>
      </c>
      <c r="D143" s="13">
        <v>39399</v>
      </c>
      <c r="E143" s="1">
        <f t="shared" si="54"/>
        <v>2766</v>
      </c>
      <c r="F143" s="1"/>
      <c r="G143" s="13">
        <v>41554</v>
      </c>
      <c r="H143" s="13">
        <f t="shared" si="55"/>
        <v>41457</v>
      </c>
      <c r="I143" s="13">
        <v>42165</v>
      </c>
      <c r="J143" s="13"/>
      <c r="K143" s="1">
        <f t="shared" si="49"/>
        <v>2155</v>
      </c>
      <c r="L143" s="1">
        <f t="shared" si="50"/>
        <v>97</v>
      </c>
      <c r="M143" s="1">
        <f t="shared" si="51"/>
        <v>611</v>
      </c>
      <c r="N143" s="1"/>
      <c r="O143" s="1" t="s">
        <v>417</v>
      </c>
      <c r="P143" s="1">
        <v>5.15</v>
      </c>
      <c r="Q143" s="1">
        <f t="shared" si="36"/>
        <v>1</v>
      </c>
      <c r="R143" s="1">
        <f t="shared" si="37"/>
        <v>1</v>
      </c>
      <c r="S143" s="1">
        <f t="shared" si="38"/>
        <v>1</v>
      </c>
      <c r="T143" s="1">
        <f t="shared" si="39"/>
        <v>1</v>
      </c>
      <c r="U143" s="1" t="s">
        <v>437</v>
      </c>
      <c r="V143" s="1"/>
      <c r="W143" s="1"/>
      <c r="X143" s="1"/>
      <c r="Y143" s="1"/>
      <c r="Z143" s="1">
        <v>45</v>
      </c>
      <c r="AA143" s="1">
        <v>0</v>
      </c>
      <c r="AB143" s="1"/>
      <c r="AC143" s="1">
        <v>0</v>
      </c>
      <c r="AD143" s="98">
        <v>0</v>
      </c>
      <c r="AE143" s="172">
        <v>60</v>
      </c>
      <c r="AF143" s="1" t="s">
        <v>417</v>
      </c>
      <c r="AG143" s="98">
        <v>2.5</v>
      </c>
      <c r="AH143" s="98">
        <v>0.35</v>
      </c>
      <c r="AI143" s="1">
        <v>3</v>
      </c>
      <c r="AJ143" s="1">
        <v>0.35</v>
      </c>
      <c r="AK143" s="1"/>
      <c r="AL143" s="1"/>
      <c r="AM143" s="1">
        <v>0</v>
      </c>
    </row>
    <row r="144" spans="1:39" x14ac:dyDescent="0.25">
      <c r="A144" s="203" t="s">
        <v>175</v>
      </c>
      <c r="B144" s="1">
        <v>2</v>
      </c>
      <c r="C144" s="1" t="s">
        <v>418</v>
      </c>
      <c r="D144" s="13">
        <v>39399</v>
      </c>
      <c r="E144" s="1">
        <f t="shared" si="54"/>
        <v>2766</v>
      </c>
      <c r="F144" s="1"/>
      <c r="G144" s="13">
        <v>41736</v>
      </c>
      <c r="H144" s="13">
        <f t="shared" si="55"/>
        <v>41554</v>
      </c>
      <c r="I144" s="13">
        <v>42165</v>
      </c>
      <c r="J144" s="13"/>
      <c r="K144" s="1">
        <f t="shared" si="49"/>
        <v>2337</v>
      </c>
      <c r="L144" s="1">
        <f t="shared" si="50"/>
        <v>182</v>
      </c>
      <c r="M144" s="1">
        <f t="shared" si="51"/>
        <v>429</v>
      </c>
      <c r="N144" s="1"/>
      <c r="O144" s="1" t="s">
        <v>417</v>
      </c>
      <c r="P144" s="1">
        <v>5.14</v>
      </c>
      <c r="Q144" s="1"/>
      <c r="R144" s="1">
        <f t="shared" si="37"/>
        <v>1</v>
      </c>
      <c r="S144" s="1">
        <f t="shared" si="38"/>
        <v>1</v>
      </c>
      <c r="T144" s="1">
        <f t="shared" si="39"/>
        <v>1</v>
      </c>
      <c r="U144" s="1"/>
      <c r="V144" s="1"/>
      <c r="W144" s="1"/>
      <c r="X144" s="1"/>
      <c r="Y144" s="1"/>
      <c r="Z144" s="1">
        <v>33</v>
      </c>
      <c r="AA144" s="1">
        <v>0</v>
      </c>
      <c r="AB144" s="1"/>
      <c r="AC144" s="1">
        <v>1</v>
      </c>
      <c r="AD144" s="98">
        <v>1</v>
      </c>
      <c r="AE144" s="172">
        <v>60</v>
      </c>
      <c r="AF144" s="1" t="s">
        <v>417</v>
      </c>
      <c r="AG144" s="98">
        <v>2.5</v>
      </c>
      <c r="AH144" s="98">
        <v>0.35</v>
      </c>
      <c r="AI144" s="1">
        <v>3</v>
      </c>
      <c r="AJ144" s="1">
        <v>0.35</v>
      </c>
      <c r="AK144" s="1"/>
      <c r="AL144" s="1"/>
      <c r="AM144" s="1">
        <v>0</v>
      </c>
    </row>
    <row r="145" spans="1:39" x14ac:dyDescent="0.25">
      <c r="A145" s="203" t="s">
        <v>175</v>
      </c>
      <c r="B145" s="1">
        <v>2</v>
      </c>
      <c r="C145" s="1" t="s">
        <v>418</v>
      </c>
      <c r="D145" s="13">
        <v>39399</v>
      </c>
      <c r="E145" s="1">
        <f t="shared" si="54"/>
        <v>2766</v>
      </c>
      <c r="F145" s="1"/>
      <c r="G145" s="13">
        <v>41947</v>
      </c>
      <c r="H145" s="13">
        <f t="shared" si="55"/>
        <v>41736</v>
      </c>
      <c r="I145" s="13">
        <v>42165</v>
      </c>
      <c r="J145" s="13"/>
      <c r="K145" s="1">
        <f t="shared" si="49"/>
        <v>2548</v>
      </c>
      <c r="L145" s="1">
        <f t="shared" si="50"/>
        <v>211</v>
      </c>
      <c r="M145" s="1">
        <f t="shared" si="51"/>
        <v>218</v>
      </c>
      <c r="N145" s="1"/>
      <c r="O145" s="1" t="s">
        <v>417</v>
      </c>
      <c r="P145" s="1">
        <v>5.0999999999999996</v>
      </c>
      <c r="Q145" s="1"/>
      <c r="R145" s="1"/>
      <c r="S145" s="1">
        <f t="shared" si="38"/>
        <v>1</v>
      </c>
      <c r="T145" s="1">
        <f t="shared" si="39"/>
        <v>1</v>
      </c>
      <c r="U145" s="1"/>
      <c r="V145" s="1"/>
      <c r="W145" s="1"/>
      <c r="X145" s="1"/>
      <c r="Y145" s="1"/>
      <c r="Z145" s="1">
        <v>44</v>
      </c>
      <c r="AA145" s="1">
        <v>0</v>
      </c>
      <c r="AB145" s="1"/>
      <c r="AC145" s="1">
        <v>0</v>
      </c>
      <c r="AD145" s="98">
        <v>0</v>
      </c>
      <c r="AE145" s="172">
        <v>60</v>
      </c>
      <c r="AF145" s="1" t="s">
        <v>417</v>
      </c>
      <c r="AG145" s="98">
        <v>2.5</v>
      </c>
      <c r="AH145" s="98">
        <v>0.35</v>
      </c>
      <c r="AI145" s="1">
        <v>3</v>
      </c>
      <c r="AJ145" s="1">
        <v>0.35</v>
      </c>
      <c r="AK145" s="1"/>
      <c r="AL145" s="1"/>
      <c r="AM145" s="1">
        <v>0</v>
      </c>
    </row>
    <row r="146" spans="1:39" x14ac:dyDescent="0.25">
      <c r="A146" s="203" t="s">
        <v>175</v>
      </c>
      <c r="B146" s="1">
        <v>2</v>
      </c>
      <c r="C146" s="1" t="s">
        <v>418</v>
      </c>
      <c r="D146" s="13">
        <v>39399</v>
      </c>
      <c r="E146" s="1">
        <f t="shared" si="54"/>
        <v>2766</v>
      </c>
      <c r="F146" s="1"/>
      <c r="G146" s="13">
        <v>42059</v>
      </c>
      <c r="H146" s="13">
        <f t="shared" si="55"/>
        <v>41947</v>
      </c>
      <c r="I146" s="13">
        <v>42165</v>
      </c>
      <c r="J146" s="13"/>
      <c r="K146" s="1">
        <f t="shared" si="49"/>
        <v>2660</v>
      </c>
      <c r="L146" s="1">
        <f t="shared" si="50"/>
        <v>112</v>
      </c>
      <c r="M146" s="1">
        <f t="shared" si="51"/>
        <v>106</v>
      </c>
      <c r="N146" s="1"/>
      <c r="O146" s="1" t="s">
        <v>417</v>
      </c>
      <c r="P146" s="1">
        <v>5.04</v>
      </c>
      <c r="Q146" s="1"/>
      <c r="R146" s="1"/>
      <c r="S146" s="1"/>
      <c r="T146" s="1">
        <f t="shared" si="39"/>
        <v>1</v>
      </c>
      <c r="U146" s="1"/>
      <c r="V146" s="1"/>
      <c r="W146" s="1"/>
      <c r="X146" s="1"/>
      <c r="Y146" s="1"/>
      <c r="Z146" s="1">
        <v>39</v>
      </c>
      <c r="AA146" s="1">
        <v>1</v>
      </c>
      <c r="AB146" s="1"/>
      <c r="AC146" s="1">
        <v>0</v>
      </c>
      <c r="AD146" s="98">
        <v>1</v>
      </c>
      <c r="AE146" s="172">
        <v>60</v>
      </c>
      <c r="AF146" s="1" t="s">
        <v>417</v>
      </c>
      <c r="AG146" s="98">
        <v>2.5</v>
      </c>
      <c r="AH146" s="98">
        <v>0.35</v>
      </c>
      <c r="AI146" s="1">
        <v>3</v>
      </c>
      <c r="AJ146" s="1">
        <v>0.35</v>
      </c>
      <c r="AK146" s="1"/>
      <c r="AL146" s="1"/>
      <c r="AM146" s="1">
        <v>0</v>
      </c>
    </row>
    <row r="147" spans="1:39" x14ac:dyDescent="0.25">
      <c r="A147" s="203" t="s">
        <v>175</v>
      </c>
      <c r="B147" s="1">
        <v>2</v>
      </c>
      <c r="C147" s="1" t="s">
        <v>418</v>
      </c>
      <c r="D147" s="13">
        <v>39399</v>
      </c>
      <c r="E147" s="1">
        <f t="shared" si="54"/>
        <v>2766</v>
      </c>
      <c r="F147" s="1"/>
      <c r="G147" s="13">
        <v>42122</v>
      </c>
      <c r="H147" s="13">
        <f t="shared" si="55"/>
        <v>42059</v>
      </c>
      <c r="I147" s="13">
        <v>42165</v>
      </c>
      <c r="J147" s="13"/>
      <c r="K147" s="1">
        <f t="shared" si="49"/>
        <v>2723</v>
      </c>
      <c r="L147" s="1">
        <f t="shared" si="50"/>
        <v>63</v>
      </c>
      <c r="M147" s="1">
        <f t="shared" si="51"/>
        <v>43</v>
      </c>
      <c r="N147" s="1"/>
      <c r="O147" s="1" t="s">
        <v>417</v>
      </c>
      <c r="P147" s="1">
        <v>4.9800000000000004</v>
      </c>
      <c r="Q147" s="1"/>
      <c r="R147" s="1"/>
      <c r="S147" s="1"/>
      <c r="T147" s="1"/>
      <c r="U147" s="1"/>
      <c r="V147" s="1"/>
      <c r="W147" s="1"/>
      <c r="X147" s="1"/>
      <c r="Y147" s="1"/>
      <c r="Z147" s="1">
        <v>41</v>
      </c>
      <c r="AA147" s="1">
        <v>0</v>
      </c>
      <c r="AB147" s="1"/>
      <c r="AC147" s="1">
        <v>0</v>
      </c>
      <c r="AD147" s="98">
        <v>1</v>
      </c>
      <c r="AE147" s="172">
        <v>60</v>
      </c>
      <c r="AF147" s="1" t="s">
        <v>417</v>
      </c>
      <c r="AG147" s="98">
        <v>2.5</v>
      </c>
      <c r="AH147" s="98">
        <v>0.35</v>
      </c>
      <c r="AI147" s="1">
        <v>3</v>
      </c>
      <c r="AJ147" s="1">
        <v>0.35</v>
      </c>
      <c r="AK147" s="1"/>
      <c r="AL147" s="1"/>
      <c r="AM147" s="1">
        <v>0</v>
      </c>
    </row>
    <row r="148" spans="1:39" x14ac:dyDescent="0.25">
      <c r="A148" s="203" t="s">
        <v>175</v>
      </c>
      <c r="B148" s="1">
        <v>2</v>
      </c>
      <c r="C148" s="1" t="s">
        <v>418</v>
      </c>
      <c r="D148" s="13">
        <v>39399</v>
      </c>
      <c r="E148" s="1">
        <f t="shared" si="54"/>
        <v>2766</v>
      </c>
      <c r="F148" s="1"/>
      <c r="G148" s="13">
        <v>42165</v>
      </c>
      <c r="H148" s="13">
        <f t="shared" si="55"/>
        <v>42122</v>
      </c>
      <c r="I148" s="13">
        <v>42165</v>
      </c>
      <c r="J148" s="13"/>
      <c r="K148" s="1">
        <f t="shared" si="49"/>
        <v>2766</v>
      </c>
      <c r="L148" s="1">
        <f t="shared" si="50"/>
        <v>43</v>
      </c>
      <c r="M148" s="1">
        <f t="shared" si="51"/>
        <v>0</v>
      </c>
      <c r="N148" s="1"/>
      <c r="O148" s="1" t="s">
        <v>417</v>
      </c>
      <c r="P148" s="1">
        <v>4.9000000000000004</v>
      </c>
      <c r="Q148" s="1"/>
      <c r="R148" s="1"/>
      <c r="S148" s="1"/>
      <c r="T148" s="1"/>
      <c r="U148" s="1"/>
      <c r="V148" s="1"/>
      <c r="W148" s="1"/>
      <c r="X148" s="1"/>
      <c r="Y148" s="1"/>
      <c r="Z148" s="1">
        <v>44</v>
      </c>
      <c r="AA148" s="1">
        <v>0</v>
      </c>
      <c r="AB148" s="1"/>
      <c r="AC148" s="1">
        <v>0</v>
      </c>
      <c r="AD148" s="98">
        <v>0</v>
      </c>
      <c r="AE148" s="172">
        <v>60</v>
      </c>
      <c r="AF148" s="1" t="s">
        <v>417</v>
      </c>
      <c r="AG148" s="98">
        <v>2.5</v>
      </c>
      <c r="AH148" s="98">
        <v>0.35</v>
      </c>
      <c r="AI148" s="1">
        <v>3</v>
      </c>
      <c r="AJ148" s="1">
        <v>0.35</v>
      </c>
      <c r="AK148" s="1"/>
      <c r="AL148" s="1"/>
      <c r="AM148" s="1">
        <v>0</v>
      </c>
    </row>
    <row r="149" spans="1:39" x14ac:dyDescent="0.25">
      <c r="A149" s="204" t="s">
        <v>176</v>
      </c>
      <c r="B149" s="1">
        <v>2</v>
      </c>
      <c r="C149" s="1" t="s">
        <v>418</v>
      </c>
      <c r="D149" s="13">
        <v>40100</v>
      </c>
      <c r="E149" s="1">
        <f t="shared" si="54"/>
        <v>1857</v>
      </c>
      <c r="F149" s="1"/>
      <c r="G149" s="13">
        <v>40673</v>
      </c>
      <c r="H149" s="13">
        <v>40100</v>
      </c>
      <c r="I149" s="13">
        <v>41957</v>
      </c>
      <c r="J149" s="13"/>
      <c r="K149" s="1">
        <f t="shared" si="49"/>
        <v>573</v>
      </c>
      <c r="L149" s="1">
        <f t="shared" si="50"/>
        <v>573</v>
      </c>
      <c r="M149" s="1">
        <f t="shared" si="51"/>
        <v>1284</v>
      </c>
      <c r="N149" s="1"/>
      <c r="O149" s="1" t="s">
        <v>417</v>
      </c>
      <c r="P149" s="1">
        <v>6.33</v>
      </c>
      <c r="Q149" s="1">
        <f t="shared" si="36"/>
        <v>1</v>
      </c>
      <c r="R149" s="1">
        <f t="shared" si="37"/>
        <v>1</v>
      </c>
      <c r="S149" s="1">
        <f t="shared" si="38"/>
        <v>1</v>
      </c>
      <c r="T149" s="1">
        <f t="shared" si="39"/>
        <v>1</v>
      </c>
      <c r="U149" s="1" t="s">
        <v>437</v>
      </c>
      <c r="Z149" s="1">
        <v>100</v>
      </c>
      <c r="AA149" s="1">
        <v>97</v>
      </c>
      <c r="AB149" s="1"/>
      <c r="AC149" s="1">
        <v>0</v>
      </c>
      <c r="AD149" s="98">
        <v>0</v>
      </c>
      <c r="AE149" s="172">
        <v>60</v>
      </c>
      <c r="AF149" s="1" t="s">
        <v>434</v>
      </c>
      <c r="AG149" s="98">
        <v>2</v>
      </c>
      <c r="AH149" s="98">
        <v>0.35</v>
      </c>
      <c r="AI149" s="1">
        <v>2.5</v>
      </c>
      <c r="AJ149" s="1">
        <v>0.35</v>
      </c>
      <c r="AK149" s="1"/>
      <c r="AL149" s="1"/>
      <c r="AM149" s="1">
        <v>0</v>
      </c>
    </row>
    <row r="150" spans="1:39" x14ac:dyDescent="0.25">
      <c r="A150" s="204" t="s">
        <v>176</v>
      </c>
      <c r="B150" s="1">
        <v>2</v>
      </c>
      <c r="C150" s="1" t="s">
        <v>418</v>
      </c>
      <c r="D150" s="13">
        <v>40100</v>
      </c>
      <c r="E150" s="1">
        <f t="shared" si="54"/>
        <v>1857</v>
      </c>
      <c r="F150" s="1"/>
      <c r="G150" s="13">
        <v>40876</v>
      </c>
      <c r="H150" s="13">
        <f>G149</f>
        <v>40673</v>
      </c>
      <c r="I150" s="13">
        <v>41957</v>
      </c>
      <c r="J150" s="13"/>
      <c r="K150" s="1">
        <f t="shared" si="49"/>
        <v>776</v>
      </c>
      <c r="L150" s="1">
        <f t="shared" si="50"/>
        <v>203</v>
      </c>
      <c r="M150" s="1">
        <f t="shared" si="51"/>
        <v>1081</v>
      </c>
      <c r="N150" s="1"/>
      <c r="O150" s="1" t="s">
        <v>417</v>
      </c>
      <c r="P150" s="1">
        <v>6.17</v>
      </c>
      <c r="Q150" s="1">
        <f t="shared" si="36"/>
        <v>1</v>
      </c>
      <c r="R150" s="1">
        <f t="shared" si="37"/>
        <v>1</v>
      </c>
      <c r="S150" s="1">
        <f t="shared" si="38"/>
        <v>1</v>
      </c>
      <c r="T150" s="1">
        <f t="shared" si="39"/>
        <v>1</v>
      </c>
      <c r="U150" s="1" t="s">
        <v>437</v>
      </c>
      <c r="Z150" s="1">
        <v>100</v>
      </c>
      <c r="AA150" s="1">
        <v>97</v>
      </c>
      <c r="AB150" s="1"/>
      <c r="AC150" s="1">
        <v>0</v>
      </c>
      <c r="AD150" s="98">
        <v>1</v>
      </c>
      <c r="AE150" s="172">
        <v>60</v>
      </c>
      <c r="AF150" s="1" t="s">
        <v>434</v>
      </c>
      <c r="AG150" s="98">
        <v>2</v>
      </c>
      <c r="AH150" s="98">
        <v>0.35</v>
      </c>
      <c r="AI150" s="1">
        <v>2.5</v>
      </c>
      <c r="AJ150" s="1">
        <v>0.35</v>
      </c>
      <c r="AK150" s="1"/>
      <c r="AL150" s="1"/>
      <c r="AM150" s="1">
        <v>0</v>
      </c>
    </row>
    <row r="151" spans="1:39" x14ac:dyDescent="0.25">
      <c r="A151" s="204" t="s">
        <v>176</v>
      </c>
      <c r="B151" s="1">
        <v>2</v>
      </c>
      <c r="C151" s="1" t="s">
        <v>418</v>
      </c>
      <c r="D151" s="13">
        <v>40100</v>
      </c>
      <c r="E151" s="1">
        <f t="shared" si="54"/>
        <v>1857</v>
      </c>
      <c r="F151" s="1"/>
      <c r="G151" s="13">
        <v>41072</v>
      </c>
      <c r="H151" s="13">
        <f t="shared" ref="H151:H159" si="56">G150</f>
        <v>40876</v>
      </c>
      <c r="I151" s="13">
        <v>41957</v>
      </c>
      <c r="J151" s="13"/>
      <c r="K151" s="1">
        <f t="shared" si="49"/>
        <v>972</v>
      </c>
      <c r="L151" s="1">
        <f t="shared" si="50"/>
        <v>196</v>
      </c>
      <c r="M151" s="1">
        <f t="shared" si="51"/>
        <v>885</v>
      </c>
      <c r="N151" s="1"/>
      <c r="O151" s="1" t="s">
        <v>417</v>
      </c>
      <c r="P151" s="1">
        <v>5.9</v>
      </c>
      <c r="Q151" s="1">
        <f t="shared" si="36"/>
        <v>1</v>
      </c>
      <c r="R151" s="1">
        <f t="shared" si="37"/>
        <v>1</v>
      </c>
      <c r="S151" s="1">
        <f t="shared" si="38"/>
        <v>1</v>
      </c>
      <c r="T151" s="1">
        <f t="shared" si="39"/>
        <v>1</v>
      </c>
      <c r="U151" s="1" t="s">
        <v>437</v>
      </c>
      <c r="Z151" s="1">
        <v>99</v>
      </c>
      <c r="AA151" s="1">
        <v>98</v>
      </c>
      <c r="AB151" s="1"/>
      <c r="AC151" s="1">
        <v>0</v>
      </c>
      <c r="AD151" s="98">
        <v>0</v>
      </c>
      <c r="AE151" s="172">
        <v>60</v>
      </c>
      <c r="AF151" s="1" t="s">
        <v>434</v>
      </c>
      <c r="AG151" s="98">
        <v>2</v>
      </c>
      <c r="AH151" s="98">
        <v>0.35</v>
      </c>
      <c r="AI151" s="1">
        <v>2.5</v>
      </c>
      <c r="AJ151" s="1">
        <v>0.35</v>
      </c>
      <c r="AK151" s="1"/>
      <c r="AL151" s="1"/>
      <c r="AM151" s="1">
        <v>0</v>
      </c>
    </row>
    <row r="152" spans="1:39" x14ac:dyDescent="0.25">
      <c r="A152" s="204" t="s">
        <v>176</v>
      </c>
      <c r="B152" s="1">
        <v>2</v>
      </c>
      <c r="C152" s="1" t="s">
        <v>418</v>
      </c>
      <c r="D152" s="13">
        <v>40100</v>
      </c>
      <c r="E152" s="1">
        <f t="shared" si="54"/>
        <v>1857</v>
      </c>
      <c r="F152" s="1"/>
      <c r="G152" s="13">
        <v>41247</v>
      </c>
      <c r="H152" s="13">
        <f t="shared" si="56"/>
        <v>41072</v>
      </c>
      <c r="I152" s="13">
        <v>41957</v>
      </c>
      <c r="J152" s="13"/>
      <c r="K152" s="1">
        <f t="shared" si="49"/>
        <v>1147</v>
      </c>
      <c r="L152" s="1">
        <f t="shared" si="50"/>
        <v>175</v>
      </c>
      <c r="M152" s="1">
        <f t="shared" si="51"/>
        <v>710</v>
      </c>
      <c r="N152" s="1"/>
      <c r="O152" s="1" t="s">
        <v>417</v>
      </c>
      <c r="P152" s="1">
        <v>5.59</v>
      </c>
      <c r="Q152" s="1">
        <f t="shared" ref="Q152:Q208" si="57">IF(M152&gt;=540,1,"nulo")</f>
        <v>1</v>
      </c>
      <c r="R152" s="1">
        <f t="shared" ref="R152:R212" si="58">IF(M152&gt;=360,1,"nulo")</f>
        <v>1</v>
      </c>
      <c r="S152" s="1">
        <f t="shared" ref="S152:S213" si="59">IF(M152&gt;=180,1,"nulo")</f>
        <v>1</v>
      </c>
      <c r="T152" s="1">
        <f t="shared" ref="T152:T214" si="60">IF(M152&gt;=90,1,"nulo")</f>
        <v>1</v>
      </c>
      <c r="U152" s="1" t="s">
        <v>437</v>
      </c>
      <c r="Z152" s="1">
        <v>100</v>
      </c>
      <c r="AA152" s="1">
        <v>97</v>
      </c>
      <c r="AB152" s="1"/>
      <c r="AC152" s="1">
        <v>0</v>
      </c>
      <c r="AD152" s="98">
        <v>0</v>
      </c>
      <c r="AE152" s="172">
        <v>60</v>
      </c>
      <c r="AF152" s="1" t="s">
        <v>434</v>
      </c>
      <c r="AG152" s="98">
        <v>2</v>
      </c>
      <c r="AH152" s="98">
        <v>0.35</v>
      </c>
      <c r="AI152" s="1">
        <v>2.5</v>
      </c>
      <c r="AJ152" s="1">
        <v>0.35</v>
      </c>
      <c r="AK152" s="1"/>
      <c r="AL152" s="1"/>
      <c r="AM152" s="1">
        <v>0</v>
      </c>
    </row>
    <row r="153" spans="1:39" x14ac:dyDescent="0.25">
      <c r="A153" s="204" t="s">
        <v>176</v>
      </c>
      <c r="B153" s="1">
        <v>2</v>
      </c>
      <c r="C153" s="1" t="s">
        <v>418</v>
      </c>
      <c r="D153" s="13">
        <v>40100</v>
      </c>
      <c r="E153" s="1">
        <f t="shared" si="54"/>
        <v>1857</v>
      </c>
      <c r="F153" s="1"/>
      <c r="G153" s="13">
        <v>41436</v>
      </c>
      <c r="H153" s="13">
        <f t="shared" si="56"/>
        <v>41247</v>
      </c>
      <c r="I153" s="13">
        <v>41957</v>
      </c>
      <c r="J153" s="13"/>
      <c r="K153" s="1">
        <f t="shared" si="49"/>
        <v>1336</v>
      </c>
      <c r="L153" s="1">
        <f t="shared" si="50"/>
        <v>189</v>
      </c>
      <c r="M153" s="1">
        <f t="shared" si="51"/>
        <v>521</v>
      </c>
      <c r="N153" s="1"/>
      <c r="O153" s="1" t="s">
        <v>417</v>
      </c>
      <c r="P153" s="1">
        <v>5.26</v>
      </c>
      <c r="Q153" s="1"/>
      <c r="R153" s="1">
        <f t="shared" si="58"/>
        <v>1</v>
      </c>
      <c r="S153" s="1">
        <f t="shared" si="59"/>
        <v>1</v>
      </c>
      <c r="T153" s="1">
        <f t="shared" si="60"/>
        <v>1</v>
      </c>
      <c r="U153" s="1"/>
      <c r="Z153" s="1">
        <v>100</v>
      </c>
      <c r="AA153" s="1">
        <v>96</v>
      </c>
      <c r="AB153" s="1"/>
      <c r="AC153" s="1">
        <v>0</v>
      </c>
      <c r="AD153" s="98">
        <v>0</v>
      </c>
      <c r="AE153" s="172">
        <v>60</v>
      </c>
      <c r="AF153" s="1" t="s">
        <v>434</v>
      </c>
      <c r="AG153" s="98">
        <v>2</v>
      </c>
      <c r="AH153" s="98">
        <v>0.35</v>
      </c>
      <c r="AI153" s="1">
        <v>2.5</v>
      </c>
      <c r="AJ153" s="1">
        <v>0.35</v>
      </c>
      <c r="AK153" s="1"/>
      <c r="AL153" s="1"/>
      <c r="AM153" s="1">
        <v>0</v>
      </c>
    </row>
    <row r="154" spans="1:39" x14ac:dyDescent="0.25">
      <c r="A154" s="204" t="s">
        <v>176</v>
      </c>
      <c r="B154" s="1">
        <v>2</v>
      </c>
      <c r="C154" s="1" t="s">
        <v>418</v>
      </c>
      <c r="D154" s="13">
        <v>40100</v>
      </c>
      <c r="E154" s="1">
        <f t="shared" si="54"/>
        <v>1857</v>
      </c>
      <c r="F154" s="1"/>
      <c r="G154" s="13">
        <v>41554</v>
      </c>
      <c r="H154" s="13">
        <f t="shared" si="56"/>
        <v>41436</v>
      </c>
      <c r="I154" s="13">
        <v>41957</v>
      </c>
      <c r="J154" s="13"/>
      <c r="K154" s="1">
        <f t="shared" si="49"/>
        <v>1454</v>
      </c>
      <c r="L154" s="1">
        <f t="shared" si="50"/>
        <v>118</v>
      </c>
      <c r="M154" s="1">
        <f t="shared" si="51"/>
        <v>403</v>
      </c>
      <c r="N154" s="1"/>
      <c r="O154" s="1" t="s">
        <v>417</v>
      </c>
      <c r="P154" s="1">
        <v>5.19</v>
      </c>
      <c r="Q154" s="1"/>
      <c r="R154" s="1">
        <f t="shared" si="58"/>
        <v>1</v>
      </c>
      <c r="S154" s="1">
        <f t="shared" si="59"/>
        <v>1</v>
      </c>
      <c r="T154" s="1">
        <f t="shared" si="60"/>
        <v>1</v>
      </c>
      <c r="U154" s="1"/>
      <c r="Z154" s="1">
        <v>99</v>
      </c>
      <c r="AA154" s="1">
        <v>0</v>
      </c>
      <c r="AB154" s="1"/>
      <c r="AC154" s="1">
        <v>0</v>
      </c>
      <c r="AD154" s="98">
        <v>61</v>
      </c>
      <c r="AE154" s="172">
        <v>60</v>
      </c>
      <c r="AF154" s="1" t="s">
        <v>434</v>
      </c>
      <c r="AG154" s="98">
        <v>2</v>
      </c>
      <c r="AH154" s="98">
        <v>0.35</v>
      </c>
      <c r="AI154" s="1">
        <v>2.5</v>
      </c>
      <c r="AJ154" s="1">
        <v>0.35</v>
      </c>
      <c r="AK154" s="1"/>
      <c r="AL154" s="1"/>
      <c r="AM154" s="1">
        <v>0</v>
      </c>
    </row>
    <row r="155" spans="1:39" x14ac:dyDescent="0.25">
      <c r="A155" s="204" t="s">
        <v>176</v>
      </c>
      <c r="B155" s="1">
        <v>2</v>
      </c>
      <c r="C155" s="1" t="s">
        <v>418</v>
      </c>
      <c r="D155" s="13">
        <v>40100</v>
      </c>
      <c r="E155" s="1">
        <f t="shared" si="54"/>
        <v>1857</v>
      </c>
      <c r="F155" s="1"/>
      <c r="G155" s="13">
        <v>41578</v>
      </c>
      <c r="H155" s="13">
        <f t="shared" si="56"/>
        <v>41554</v>
      </c>
      <c r="I155" s="13">
        <v>41957</v>
      </c>
      <c r="J155" s="13"/>
      <c r="K155" s="1">
        <f t="shared" si="49"/>
        <v>1478</v>
      </c>
      <c r="L155" s="1">
        <f t="shared" si="50"/>
        <v>24</v>
      </c>
      <c r="M155" s="1">
        <f t="shared" si="51"/>
        <v>379</v>
      </c>
      <c r="N155" s="1"/>
      <c r="O155" s="1" t="s">
        <v>417</v>
      </c>
      <c r="P155" s="1">
        <v>5.19</v>
      </c>
      <c r="Q155" s="1"/>
      <c r="R155" s="1">
        <f t="shared" si="58"/>
        <v>1</v>
      </c>
      <c r="S155" s="1">
        <f t="shared" si="59"/>
        <v>1</v>
      </c>
      <c r="T155" s="1">
        <f t="shared" si="60"/>
        <v>1</v>
      </c>
      <c r="U155" s="1"/>
      <c r="Z155" s="1">
        <v>97</v>
      </c>
      <c r="AA155" s="1">
        <v>0</v>
      </c>
      <c r="AB155" s="1"/>
      <c r="AC155" s="1">
        <v>2</v>
      </c>
      <c r="AD155" s="98">
        <v>244</v>
      </c>
      <c r="AE155" s="172">
        <v>60</v>
      </c>
      <c r="AF155" s="1" t="s">
        <v>434</v>
      </c>
      <c r="AG155" s="98">
        <v>2</v>
      </c>
      <c r="AH155" s="98">
        <v>0.35</v>
      </c>
      <c r="AI155" s="1">
        <v>2.5</v>
      </c>
      <c r="AJ155" s="1">
        <v>0.35</v>
      </c>
      <c r="AK155" s="1"/>
      <c r="AL155" s="1"/>
      <c r="AM155" s="1">
        <v>0</v>
      </c>
    </row>
    <row r="156" spans="1:39" x14ac:dyDescent="0.25">
      <c r="A156" s="204" t="s">
        <v>176</v>
      </c>
      <c r="B156" s="1">
        <v>2</v>
      </c>
      <c r="C156" s="1" t="s">
        <v>418</v>
      </c>
      <c r="D156" s="13">
        <v>40100</v>
      </c>
      <c r="E156" s="1">
        <f t="shared" si="54"/>
        <v>1857</v>
      </c>
      <c r="F156" s="1"/>
      <c r="G156" s="13">
        <v>41589</v>
      </c>
      <c r="H156" s="13">
        <f t="shared" si="56"/>
        <v>41578</v>
      </c>
      <c r="I156" s="13">
        <v>41957</v>
      </c>
      <c r="J156" s="13"/>
      <c r="K156" s="1">
        <f t="shared" si="49"/>
        <v>1489</v>
      </c>
      <c r="L156" s="1">
        <f t="shared" si="50"/>
        <v>11</v>
      </c>
      <c r="M156" s="1">
        <f t="shared" si="51"/>
        <v>368</v>
      </c>
      <c r="N156" s="1"/>
      <c r="O156" s="1" t="s">
        <v>417</v>
      </c>
      <c r="P156" s="1">
        <v>5.17</v>
      </c>
      <c r="Q156" s="1"/>
      <c r="R156" s="1">
        <f t="shared" si="58"/>
        <v>1</v>
      </c>
      <c r="S156" s="1">
        <f t="shared" si="59"/>
        <v>1</v>
      </c>
      <c r="T156" s="1">
        <f t="shared" si="60"/>
        <v>1</v>
      </c>
      <c r="U156" s="1"/>
      <c r="Z156" s="1">
        <v>97</v>
      </c>
      <c r="AA156" s="1">
        <v>0</v>
      </c>
      <c r="AB156" s="1"/>
      <c r="AC156" s="1">
        <v>0</v>
      </c>
      <c r="AD156" s="98">
        <v>0</v>
      </c>
      <c r="AE156" s="172">
        <v>60</v>
      </c>
      <c r="AF156" s="1" t="s">
        <v>434</v>
      </c>
      <c r="AG156" s="98">
        <v>2</v>
      </c>
      <c r="AH156" s="98">
        <v>0.35</v>
      </c>
      <c r="AI156" s="1">
        <v>2.5</v>
      </c>
      <c r="AJ156" s="1">
        <v>0.35</v>
      </c>
      <c r="AK156" s="1"/>
      <c r="AL156" s="1"/>
      <c r="AM156" s="1">
        <v>0</v>
      </c>
    </row>
    <row r="157" spans="1:39" x14ac:dyDescent="0.25">
      <c r="A157" s="204" t="s">
        <v>176</v>
      </c>
      <c r="B157" s="1">
        <v>2</v>
      </c>
      <c r="C157" s="1" t="s">
        <v>418</v>
      </c>
      <c r="D157" s="13">
        <v>40100</v>
      </c>
      <c r="E157" s="1">
        <f t="shared" si="54"/>
        <v>1857</v>
      </c>
      <c r="F157" s="1"/>
      <c r="G157" s="13">
        <v>41772</v>
      </c>
      <c r="H157" s="13">
        <f t="shared" si="56"/>
        <v>41589</v>
      </c>
      <c r="I157" s="13">
        <v>41957</v>
      </c>
      <c r="J157" s="13"/>
      <c r="K157" s="1">
        <f t="shared" si="49"/>
        <v>1672</v>
      </c>
      <c r="L157" s="1">
        <f t="shared" si="50"/>
        <v>183</v>
      </c>
      <c r="M157" s="1">
        <f t="shared" si="51"/>
        <v>185</v>
      </c>
      <c r="N157" s="1"/>
      <c r="O157" s="1" t="s">
        <v>417</v>
      </c>
      <c r="P157" s="1">
        <v>5.14</v>
      </c>
      <c r="Q157" s="1"/>
      <c r="R157" s="1"/>
      <c r="S157" s="1">
        <f t="shared" si="59"/>
        <v>1</v>
      </c>
      <c r="T157" s="1">
        <f t="shared" si="60"/>
        <v>1</v>
      </c>
      <c r="U157" s="1"/>
      <c r="Z157" s="1">
        <v>99</v>
      </c>
      <c r="AA157" s="1">
        <v>0</v>
      </c>
      <c r="AB157" s="1"/>
      <c r="AC157" s="1">
        <v>0</v>
      </c>
      <c r="AD157" s="98">
        <v>1</v>
      </c>
      <c r="AE157" s="172">
        <v>60</v>
      </c>
      <c r="AF157" s="1" t="s">
        <v>434</v>
      </c>
      <c r="AG157" s="98">
        <v>2</v>
      </c>
      <c r="AH157" s="98">
        <v>0.35</v>
      </c>
      <c r="AI157" s="1">
        <v>2.5</v>
      </c>
      <c r="AJ157" s="1">
        <v>0.35</v>
      </c>
      <c r="AK157" s="1"/>
      <c r="AL157" s="1"/>
      <c r="AM157" s="1">
        <v>0</v>
      </c>
    </row>
    <row r="158" spans="1:39" x14ac:dyDescent="0.25">
      <c r="A158" s="204" t="s">
        <v>176</v>
      </c>
      <c r="B158" s="1">
        <v>2</v>
      </c>
      <c r="C158" s="1" t="s">
        <v>418</v>
      </c>
      <c r="D158" s="13">
        <v>40100</v>
      </c>
      <c r="E158" s="1">
        <f t="shared" si="54"/>
        <v>1857</v>
      </c>
      <c r="F158" s="1"/>
      <c r="G158" s="13">
        <v>41877</v>
      </c>
      <c r="H158" s="13">
        <f t="shared" si="56"/>
        <v>41772</v>
      </c>
      <c r="I158" s="13">
        <v>41957</v>
      </c>
      <c r="J158" s="13"/>
      <c r="K158" s="1">
        <f t="shared" si="49"/>
        <v>1777</v>
      </c>
      <c r="L158" s="1">
        <f t="shared" si="50"/>
        <v>105</v>
      </c>
      <c r="M158" s="1">
        <f t="shared" si="51"/>
        <v>80</v>
      </c>
      <c r="N158" s="1"/>
      <c r="O158" s="1" t="s">
        <v>417</v>
      </c>
      <c r="P158" s="1">
        <v>5.14</v>
      </c>
      <c r="Q158" s="1"/>
      <c r="R158" s="1"/>
      <c r="S158" s="1"/>
      <c r="T158" s="1"/>
      <c r="U158" s="1"/>
      <c r="Z158" s="1">
        <v>99</v>
      </c>
      <c r="AA158" s="1">
        <v>0</v>
      </c>
      <c r="AB158" s="1"/>
      <c r="AC158" s="1">
        <v>0</v>
      </c>
      <c r="AD158" s="98">
        <v>0</v>
      </c>
      <c r="AE158" s="172">
        <v>60</v>
      </c>
      <c r="AF158" s="1" t="s">
        <v>434</v>
      </c>
      <c r="AG158" s="98">
        <v>2</v>
      </c>
      <c r="AH158" s="98">
        <v>0.35</v>
      </c>
      <c r="AI158" s="1">
        <v>2.5</v>
      </c>
      <c r="AJ158" s="1">
        <v>0.35</v>
      </c>
      <c r="AK158" s="1"/>
      <c r="AL158" s="1"/>
      <c r="AM158" s="1">
        <v>0</v>
      </c>
    </row>
    <row r="159" spans="1:39" x14ac:dyDescent="0.25">
      <c r="A159" s="204" t="s">
        <v>176</v>
      </c>
      <c r="B159" s="1">
        <v>2</v>
      </c>
      <c r="C159" s="1" t="s">
        <v>418</v>
      </c>
      <c r="D159" s="13">
        <v>40100</v>
      </c>
      <c r="E159" s="1">
        <f t="shared" si="54"/>
        <v>1857</v>
      </c>
      <c r="F159" s="1"/>
      <c r="G159" s="13">
        <v>41957</v>
      </c>
      <c r="H159" s="13">
        <f t="shared" si="56"/>
        <v>41877</v>
      </c>
      <c r="I159" s="13">
        <v>41957</v>
      </c>
      <c r="J159" s="13"/>
      <c r="K159" s="1">
        <f t="shared" si="49"/>
        <v>1857</v>
      </c>
      <c r="L159" s="1">
        <f t="shared" si="50"/>
        <v>80</v>
      </c>
      <c r="M159" s="1">
        <f t="shared" si="51"/>
        <v>0</v>
      </c>
      <c r="N159" s="1"/>
      <c r="O159" s="1" t="s">
        <v>417</v>
      </c>
      <c r="P159" s="1">
        <v>5.13</v>
      </c>
      <c r="Q159" s="1"/>
      <c r="R159" s="1"/>
      <c r="S159" s="1"/>
      <c r="T159" s="1"/>
      <c r="U159" s="1"/>
      <c r="Z159" s="1">
        <v>98</v>
      </c>
      <c r="AA159" s="1">
        <v>1</v>
      </c>
      <c r="AB159" s="1"/>
      <c r="AC159" s="1">
        <v>0</v>
      </c>
      <c r="AD159" s="98">
        <v>0</v>
      </c>
      <c r="AE159" s="172">
        <v>60</v>
      </c>
      <c r="AF159" s="1" t="s">
        <v>434</v>
      </c>
      <c r="AG159" s="98">
        <v>2</v>
      </c>
      <c r="AH159" s="98">
        <v>0.35</v>
      </c>
      <c r="AI159" s="1">
        <v>2.5</v>
      </c>
      <c r="AJ159" s="1">
        <v>0.35</v>
      </c>
      <c r="AK159" s="1"/>
      <c r="AL159" s="1"/>
      <c r="AM159" s="1">
        <v>0</v>
      </c>
    </row>
    <row r="160" spans="1:39" x14ac:dyDescent="0.25">
      <c r="A160" s="1" t="s">
        <v>192</v>
      </c>
      <c r="B160" s="1">
        <v>2</v>
      </c>
      <c r="C160" s="1" t="s">
        <v>418</v>
      </c>
      <c r="D160" s="13">
        <v>39749</v>
      </c>
      <c r="E160" s="1">
        <f t="shared" si="54"/>
        <v>2274</v>
      </c>
      <c r="F160" s="1"/>
      <c r="G160" s="13">
        <v>40813</v>
      </c>
      <c r="H160" s="13">
        <v>39749</v>
      </c>
      <c r="I160" s="13">
        <v>42023</v>
      </c>
      <c r="J160" s="13"/>
      <c r="K160" s="1">
        <f t="shared" si="49"/>
        <v>1064</v>
      </c>
      <c r="L160" s="1">
        <f t="shared" si="50"/>
        <v>1064</v>
      </c>
      <c r="M160" s="1">
        <f t="shared" si="51"/>
        <v>1210</v>
      </c>
      <c r="N160" s="1"/>
      <c r="O160" s="1" t="s">
        <v>417</v>
      </c>
      <c r="P160" s="1">
        <v>6.12</v>
      </c>
      <c r="Q160" s="1">
        <f t="shared" si="57"/>
        <v>1</v>
      </c>
      <c r="R160" s="1">
        <f t="shared" si="58"/>
        <v>1</v>
      </c>
      <c r="S160" s="1">
        <f t="shared" si="59"/>
        <v>1</v>
      </c>
      <c r="T160" s="1">
        <f t="shared" si="60"/>
        <v>1</v>
      </c>
      <c r="U160" s="1" t="s">
        <v>437</v>
      </c>
      <c r="V160" s="1"/>
      <c r="W160" s="1"/>
      <c r="X160" s="1"/>
      <c r="Y160" s="1"/>
      <c r="Z160" s="1">
        <v>35</v>
      </c>
      <c r="AA160" s="1">
        <v>0</v>
      </c>
      <c r="AB160" s="1"/>
      <c r="AC160" s="1">
        <v>0</v>
      </c>
      <c r="AD160" s="98">
        <v>11</v>
      </c>
      <c r="AE160" s="172">
        <v>60</v>
      </c>
      <c r="AF160" s="1" t="s">
        <v>417</v>
      </c>
      <c r="AG160" s="98">
        <v>1.5</v>
      </c>
      <c r="AH160" s="98">
        <v>0.35</v>
      </c>
      <c r="AI160" s="1">
        <v>2</v>
      </c>
      <c r="AJ160" s="1">
        <v>0.35</v>
      </c>
      <c r="AK160" s="1"/>
      <c r="AL160" s="1"/>
      <c r="AM160" s="1">
        <v>0</v>
      </c>
    </row>
    <row r="161" spans="1:39" x14ac:dyDescent="0.25">
      <c r="A161" s="1" t="s">
        <v>192</v>
      </c>
      <c r="B161" s="1">
        <v>2</v>
      </c>
      <c r="C161" s="1" t="s">
        <v>418</v>
      </c>
      <c r="D161" s="13">
        <v>39749</v>
      </c>
      <c r="E161" s="1">
        <f t="shared" si="54"/>
        <v>2274</v>
      </c>
      <c r="F161" s="1"/>
      <c r="G161" s="13">
        <v>40988</v>
      </c>
      <c r="H161" s="13">
        <f>G160</f>
        <v>40813</v>
      </c>
      <c r="I161" s="13">
        <v>42023</v>
      </c>
      <c r="J161" s="13"/>
      <c r="K161" s="1">
        <f t="shared" si="49"/>
        <v>1239</v>
      </c>
      <c r="L161" s="1">
        <f t="shared" si="50"/>
        <v>175</v>
      </c>
      <c r="M161" s="1">
        <f t="shared" si="51"/>
        <v>1035</v>
      </c>
      <c r="N161" s="1"/>
      <c r="O161" s="1" t="s">
        <v>417</v>
      </c>
      <c r="P161" s="1">
        <v>5.89</v>
      </c>
      <c r="Q161" s="1">
        <f t="shared" si="57"/>
        <v>1</v>
      </c>
      <c r="R161" s="1">
        <f t="shared" si="58"/>
        <v>1</v>
      </c>
      <c r="S161" s="1">
        <f t="shared" si="59"/>
        <v>1</v>
      </c>
      <c r="T161" s="1">
        <f t="shared" si="60"/>
        <v>1</v>
      </c>
      <c r="U161" s="1" t="s">
        <v>437</v>
      </c>
      <c r="V161" s="1"/>
      <c r="W161" s="1"/>
      <c r="X161" s="1"/>
      <c r="Y161" s="1"/>
      <c r="Z161" s="1">
        <v>40</v>
      </c>
      <c r="AA161" s="1">
        <v>0</v>
      </c>
      <c r="AB161" s="1"/>
      <c r="AC161" s="1">
        <v>0</v>
      </c>
      <c r="AD161" s="98">
        <v>0</v>
      </c>
      <c r="AE161" s="172">
        <v>60</v>
      </c>
      <c r="AF161" s="1" t="s">
        <v>417</v>
      </c>
      <c r="AG161" s="98">
        <v>1.5</v>
      </c>
      <c r="AH161" s="98">
        <v>0.35</v>
      </c>
      <c r="AI161" s="1">
        <v>2</v>
      </c>
      <c r="AJ161" s="1">
        <v>0.35</v>
      </c>
      <c r="AK161" s="1"/>
      <c r="AL161" s="1"/>
      <c r="AM161" s="1">
        <v>0</v>
      </c>
    </row>
    <row r="162" spans="1:39" x14ac:dyDescent="0.25">
      <c r="A162" s="1" t="s">
        <v>192</v>
      </c>
      <c r="B162" s="1">
        <v>2</v>
      </c>
      <c r="C162" s="1" t="s">
        <v>418</v>
      </c>
      <c r="D162" s="13">
        <v>39749</v>
      </c>
      <c r="E162" s="1">
        <f t="shared" si="54"/>
        <v>2274</v>
      </c>
      <c r="F162" s="1"/>
      <c r="G162" s="13">
        <v>41170</v>
      </c>
      <c r="H162" s="13">
        <f t="shared" ref="H162:H169" si="61">G161</f>
        <v>40988</v>
      </c>
      <c r="I162" s="13">
        <v>42023</v>
      </c>
      <c r="J162" s="13"/>
      <c r="K162" s="1">
        <f t="shared" si="49"/>
        <v>1421</v>
      </c>
      <c r="L162" s="1">
        <f t="shared" si="50"/>
        <v>182</v>
      </c>
      <c r="M162" s="1">
        <f t="shared" si="51"/>
        <v>853</v>
      </c>
      <c r="N162" s="1"/>
      <c r="O162" s="1" t="s">
        <v>417</v>
      </c>
      <c r="P162" s="1">
        <v>5.51</v>
      </c>
      <c r="Q162" s="1">
        <f t="shared" si="57"/>
        <v>1</v>
      </c>
      <c r="R162" s="1">
        <f t="shared" si="58"/>
        <v>1</v>
      </c>
      <c r="S162" s="1">
        <f t="shared" si="59"/>
        <v>1</v>
      </c>
      <c r="T162" s="1">
        <f t="shared" si="60"/>
        <v>1</v>
      </c>
      <c r="U162" s="1" t="s">
        <v>437</v>
      </c>
      <c r="V162" s="1"/>
      <c r="W162" s="1"/>
      <c r="X162" s="1"/>
      <c r="Y162" s="1"/>
      <c r="Z162" s="1">
        <v>39</v>
      </c>
      <c r="AA162" s="1">
        <v>0</v>
      </c>
      <c r="AB162" s="1"/>
      <c r="AC162" s="1">
        <v>0</v>
      </c>
      <c r="AD162" s="98">
        <v>0</v>
      </c>
      <c r="AE162" s="172">
        <v>60</v>
      </c>
      <c r="AF162" s="1" t="s">
        <v>417</v>
      </c>
      <c r="AG162" s="98">
        <v>1.5</v>
      </c>
      <c r="AH162" s="98">
        <v>0.35</v>
      </c>
      <c r="AI162" s="1">
        <v>2</v>
      </c>
      <c r="AJ162" s="1">
        <v>0.35</v>
      </c>
      <c r="AK162" s="1"/>
      <c r="AL162" s="1"/>
      <c r="AM162" s="1">
        <v>0</v>
      </c>
    </row>
    <row r="163" spans="1:39" x14ac:dyDescent="0.25">
      <c r="A163" s="1" t="s">
        <v>192</v>
      </c>
      <c r="B163" s="1">
        <v>2</v>
      </c>
      <c r="C163" s="1" t="s">
        <v>418</v>
      </c>
      <c r="D163" s="13">
        <v>39749</v>
      </c>
      <c r="E163" s="1">
        <f t="shared" si="54"/>
        <v>2274</v>
      </c>
      <c r="F163" s="1"/>
      <c r="G163" s="13">
        <v>41323</v>
      </c>
      <c r="H163" s="13">
        <f t="shared" si="61"/>
        <v>41170</v>
      </c>
      <c r="I163" s="13">
        <v>42023</v>
      </c>
      <c r="J163" s="13"/>
      <c r="K163" s="1">
        <f t="shared" si="49"/>
        <v>1574</v>
      </c>
      <c r="L163" s="1">
        <f t="shared" si="50"/>
        <v>153</v>
      </c>
      <c r="M163" s="1">
        <f t="shared" si="51"/>
        <v>700</v>
      </c>
      <c r="N163" s="1"/>
      <c r="O163" s="1" t="s">
        <v>417</v>
      </c>
      <c r="P163" s="1">
        <v>5.3</v>
      </c>
      <c r="Q163" s="1">
        <f t="shared" si="57"/>
        <v>1</v>
      </c>
      <c r="R163" s="1">
        <f t="shared" si="58"/>
        <v>1</v>
      </c>
      <c r="S163" s="1">
        <f t="shared" si="59"/>
        <v>1</v>
      </c>
      <c r="T163" s="1">
        <f t="shared" si="60"/>
        <v>1</v>
      </c>
      <c r="U163" s="1" t="s">
        <v>437</v>
      </c>
      <c r="V163" s="1"/>
      <c r="W163" s="1"/>
      <c r="X163" s="1"/>
      <c r="Y163" s="1"/>
      <c r="Z163" s="1">
        <v>45</v>
      </c>
      <c r="AA163" s="1">
        <v>0</v>
      </c>
      <c r="AB163" s="1"/>
      <c r="AC163" s="1">
        <v>0</v>
      </c>
      <c r="AD163" s="98">
        <v>0</v>
      </c>
      <c r="AE163" s="172">
        <v>60</v>
      </c>
      <c r="AF163" s="1" t="s">
        <v>417</v>
      </c>
      <c r="AG163" s="98">
        <v>1.5</v>
      </c>
      <c r="AH163" s="98">
        <v>0.35</v>
      </c>
      <c r="AI163" s="1">
        <v>2</v>
      </c>
      <c r="AJ163" s="1">
        <v>0.35</v>
      </c>
      <c r="AK163" s="1"/>
      <c r="AL163" s="1"/>
      <c r="AM163" s="1">
        <v>0</v>
      </c>
    </row>
    <row r="164" spans="1:39" x14ac:dyDescent="0.25">
      <c r="A164" s="1" t="s">
        <v>192</v>
      </c>
      <c r="B164" s="1">
        <v>2</v>
      </c>
      <c r="C164" s="1" t="s">
        <v>418</v>
      </c>
      <c r="D164" s="13">
        <v>39749</v>
      </c>
      <c r="E164" s="1">
        <f t="shared" si="54"/>
        <v>2274</v>
      </c>
      <c r="F164" s="1"/>
      <c r="G164" s="13">
        <v>41422</v>
      </c>
      <c r="H164" s="13">
        <f t="shared" si="61"/>
        <v>41323</v>
      </c>
      <c r="I164" s="13">
        <v>42023</v>
      </c>
      <c r="J164" s="13"/>
      <c r="K164" s="1">
        <f t="shared" si="49"/>
        <v>1673</v>
      </c>
      <c r="L164" s="1">
        <f t="shared" si="50"/>
        <v>99</v>
      </c>
      <c r="M164" s="1">
        <f t="shared" si="51"/>
        <v>601</v>
      </c>
      <c r="N164" s="1"/>
      <c r="O164" s="1" t="s">
        <v>417</v>
      </c>
      <c r="P164" s="1">
        <v>5.22</v>
      </c>
      <c r="Q164" s="1">
        <f t="shared" si="57"/>
        <v>1</v>
      </c>
      <c r="R164" s="1">
        <f t="shared" si="58"/>
        <v>1</v>
      </c>
      <c r="S164" s="1">
        <f t="shared" si="59"/>
        <v>1</v>
      </c>
      <c r="T164" s="1">
        <f t="shared" si="60"/>
        <v>1</v>
      </c>
      <c r="U164" s="1" t="s">
        <v>437</v>
      </c>
      <c r="V164" s="1"/>
      <c r="W164" s="1"/>
      <c r="X164" s="1"/>
      <c r="Y164" s="1"/>
      <c r="Z164" s="1">
        <v>39</v>
      </c>
      <c r="AA164" s="1">
        <v>0</v>
      </c>
      <c r="AB164" s="1"/>
      <c r="AC164" s="1">
        <v>0</v>
      </c>
      <c r="AD164" s="98">
        <v>0</v>
      </c>
      <c r="AE164" s="172">
        <v>60</v>
      </c>
      <c r="AF164" s="1" t="s">
        <v>417</v>
      </c>
      <c r="AG164" s="98">
        <v>1.5</v>
      </c>
      <c r="AH164" s="98">
        <v>0.35</v>
      </c>
      <c r="AI164" s="1">
        <v>2</v>
      </c>
      <c r="AJ164" s="1">
        <v>0.35</v>
      </c>
      <c r="AK164" s="1"/>
      <c r="AL164" s="1"/>
      <c r="AM164" s="1">
        <v>0</v>
      </c>
    </row>
    <row r="165" spans="1:39" x14ac:dyDescent="0.25">
      <c r="A165" s="1" t="s">
        <v>192</v>
      </c>
      <c r="B165" s="1">
        <v>2</v>
      </c>
      <c r="C165" s="1" t="s">
        <v>418</v>
      </c>
      <c r="D165" s="13">
        <v>39749</v>
      </c>
      <c r="E165" s="1">
        <f t="shared" si="54"/>
        <v>2274</v>
      </c>
      <c r="F165" s="1"/>
      <c r="G165" s="13">
        <v>41506</v>
      </c>
      <c r="H165" s="13">
        <f t="shared" si="61"/>
        <v>41422</v>
      </c>
      <c r="I165" s="13">
        <v>42023</v>
      </c>
      <c r="J165" s="13"/>
      <c r="K165" s="1">
        <f t="shared" si="49"/>
        <v>1757</v>
      </c>
      <c r="L165" s="1">
        <f t="shared" si="50"/>
        <v>84</v>
      </c>
      <c r="M165" s="1">
        <f t="shared" si="51"/>
        <v>517</v>
      </c>
      <c r="N165" s="1"/>
      <c r="O165" s="1" t="s">
        <v>417</v>
      </c>
      <c r="P165" s="1">
        <v>5.18</v>
      </c>
      <c r="Q165" s="1"/>
      <c r="R165" s="1">
        <f t="shared" si="58"/>
        <v>1</v>
      </c>
      <c r="S165" s="1">
        <f t="shared" si="59"/>
        <v>1</v>
      </c>
      <c r="T165" s="1">
        <f t="shared" si="60"/>
        <v>1</v>
      </c>
      <c r="U165" s="1"/>
      <c r="V165" s="1"/>
      <c r="W165" s="1"/>
      <c r="X165" s="1"/>
      <c r="Y165" s="1"/>
      <c r="Z165" s="1">
        <v>48</v>
      </c>
      <c r="AA165" s="1">
        <v>0</v>
      </c>
      <c r="AB165" s="1"/>
      <c r="AC165" s="1">
        <v>0</v>
      </c>
      <c r="AD165" s="98">
        <v>0</v>
      </c>
      <c r="AE165" s="172">
        <v>60</v>
      </c>
      <c r="AF165" s="1" t="s">
        <v>417</v>
      </c>
      <c r="AG165" s="98">
        <v>1.5</v>
      </c>
      <c r="AH165" s="98">
        <v>0.35</v>
      </c>
      <c r="AI165" s="1">
        <v>2</v>
      </c>
      <c r="AJ165" s="1">
        <v>0.35</v>
      </c>
      <c r="AK165" s="1"/>
      <c r="AL165" s="1"/>
      <c r="AM165" s="1">
        <v>0</v>
      </c>
    </row>
    <row r="166" spans="1:39" x14ac:dyDescent="0.25">
      <c r="A166" s="1" t="s">
        <v>192</v>
      </c>
      <c r="B166" s="1">
        <v>2</v>
      </c>
      <c r="C166" s="1" t="s">
        <v>418</v>
      </c>
      <c r="D166" s="13">
        <v>39749</v>
      </c>
      <c r="E166" s="1">
        <f t="shared" si="54"/>
        <v>2274</v>
      </c>
      <c r="F166" s="1"/>
      <c r="G166" s="13">
        <v>41596</v>
      </c>
      <c r="H166" s="13">
        <f t="shared" si="61"/>
        <v>41506</v>
      </c>
      <c r="I166" s="13">
        <v>42023</v>
      </c>
      <c r="J166" s="13"/>
      <c r="K166" s="1">
        <f t="shared" si="49"/>
        <v>1847</v>
      </c>
      <c r="L166" s="1">
        <f t="shared" si="50"/>
        <v>90</v>
      </c>
      <c r="M166" s="1">
        <f t="shared" si="51"/>
        <v>427</v>
      </c>
      <c r="N166" s="1"/>
      <c r="O166" s="1" t="s">
        <v>417</v>
      </c>
      <c r="P166" s="1">
        <v>5.17</v>
      </c>
      <c r="Q166" s="1"/>
      <c r="R166" s="1">
        <f t="shared" si="58"/>
        <v>1</v>
      </c>
      <c r="S166" s="1">
        <f t="shared" si="59"/>
        <v>1</v>
      </c>
      <c r="T166" s="1">
        <f t="shared" si="60"/>
        <v>1</v>
      </c>
      <c r="U166" s="1"/>
      <c r="V166" s="1"/>
      <c r="W166" s="1"/>
      <c r="X166" s="1"/>
      <c r="Y166" s="1"/>
      <c r="Z166" s="1">
        <v>50</v>
      </c>
      <c r="AA166" s="1">
        <v>0</v>
      </c>
      <c r="AB166" s="1"/>
      <c r="AC166" s="1">
        <v>0</v>
      </c>
      <c r="AD166" s="98">
        <v>0</v>
      </c>
      <c r="AE166" s="172">
        <v>60</v>
      </c>
      <c r="AF166" s="1" t="s">
        <v>417</v>
      </c>
      <c r="AG166" s="98">
        <v>1.5</v>
      </c>
      <c r="AH166" s="98">
        <v>0.35</v>
      </c>
      <c r="AI166" s="1">
        <v>2</v>
      </c>
      <c r="AJ166" s="1">
        <v>0.35</v>
      </c>
      <c r="AK166" s="1"/>
      <c r="AL166" s="1"/>
      <c r="AM166" s="1">
        <v>0</v>
      </c>
    </row>
    <row r="167" spans="1:39" x14ac:dyDescent="0.25">
      <c r="A167" s="1" t="s">
        <v>192</v>
      </c>
      <c r="B167" s="1">
        <v>2</v>
      </c>
      <c r="C167" s="1" t="s">
        <v>418</v>
      </c>
      <c r="D167" s="13">
        <v>39749</v>
      </c>
      <c r="E167" s="1">
        <f t="shared" si="54"/>
        <v>2274</v>
      </c>
      <c r="F167" s="1"/>
      <c r="G167" s="13">
        <v>41695</v>
      </c>
      <c r="H167" s="13">
        <f t="shared" si="61"/>
        <v>41596</v>
      </c>
      <c r="I167" s="13">
        <v>42023</v>
      </c>
      <c r="J167" s="13"/>
      <c r="K167" s="1">
        <f t="shared" si="49"/>
        <v>1946</v>
      </c>
      <c r="L167" s="1">
        <f t="shared" si="50"/>
        <v>99</v>
      </c>
      <c r="M167" s="1">
        <f t="shared" si="51"/>
        <v>328</v>
      </c>
      <c r="N167" s="1"/>
      <c r="O167" s="1" t="s">
        <v>417</v>
      </c>
      <c r="P167" s="1">
        <v>5.15</v>
      </c>
      <c r="Q167" s="1"/>
      <c r="R167" s="1"/>
      <c r="S167" s="1">
        <f t="shared" si="59"/>
        <v>1</v>
      </c>
      <c r="T167" s="1">
        <f t="shared" si="60"/>
        <v>1</v>
      </c>
      <c r="U167" s="1"/>
      <c r="V167" s="1"/>
      <c r="W167" s="1"/>
      <c r="X167" s="1"/>
      <c r="Y167" s="1"/>
      <c r="Z167" s="1">
        <v>47</v>
      </c>
      <c r="AA167" s="1">
        <v>0</v>
      </c>
      <c r="AB167" s="1"/>
      <c r="AC167" s="1">
        <v>0</v>
      </c>
      <c r="AD167" s="98">
        <v>0</v>
      </c>
      <c r="AE167" s="172">
        <v>60</v>
      </c>
      <c r="AF167" s="1" t="s">
        <v>417</v>
      </c>
      <c r="AG167" s="98">
        <v>1.5</v>
      </c>
      <c r="AH167" s="98">
        <v>0.35</v>
      </c>
      <c r="AI167" s="1">
        <v>2</v>
      </c>
      <c r="AJ167" s="1">
        <v>0.35</v>
      </c>
      <c r="AK167" s="1"/>
      <c r="AL167" s="1"/>
      <c r="AM167" s="1">
        <v>0</v>
      </c>
    </row>
    <row r="168" spans="1:39" x14ac:dyDescent="0.25">
      <c r="A168" s="1" t="s">
        <v>192</v>
      </c>
      <c r="B168" s="1">
        <v>2</v>
      </c>
      <c r="C168" s="1" t="s">
        <v>418</v>
      </c>
      <c r="D168" s="13">
        <v>39749</v>
      </c>
      <c r="E168" s="1">
        <f t="shared" si="54"/>
        <v>2274</v>
      </c>
      <c r="F168" s="1"/>
      <c r="G168" s="13">
        <v>41926</v>
      </c>
      <c r="H168" s="13">
        <f t="shared" si="61"/>
        <v>41695</v>
      </c>
      <c r="I168" s="13">
        <v>42023</v>
      </c>
      <c r="J168" s="13"/>
      <c r="K168" s="1">
        <f t="shared" si="49"/>
        <v>2177</v>
      </c>
      <c r="L168" s="1">
        <f t="shared" si="50"/>
        <v>231</v>
      </c>
      <c r="M168" s="1">
        <f t="shared" si="51"/>
        <v>97</v>
      </c>
      <c r="N168" s="1"/>
      <c r="O168" s="1" t="s">
        <v>417</v>
      </c>
      <c r="P168" s="1">
        <v>5.14</v>
      </c>
      <c r="Q168" s="1"/>
      <c r="R168" s="1"/>
      <c r="S168" s="1"/>
      <c r="T168" s="1">
        <f t="shared" si="60"/>
        <v>1</v>
      </c>
      <c r="U168" s="1"/>
      <c r="V168" s="1"/>
      <c r="W168" s="1"/>
      <c r="X168" s="1"/>
      <c r="Y168" s="1"/>
      <c r="Z168" s="1">
        <v>62</v>
      </c>
      <c r="AA168" s="1">
        <v>0</v>
      </c>
      <c r="AB168" s="1"/>
      <c r="AC168" s="1">
        <v>0</v>
      </c>
      <c r="AD168" s="98">
        <v>0</v>
      </c>
      <c r="AE168" s="172">
        <v>60</v>
      </c>
      <c r="AF168" s="1" t="s">
        <v>417</v>
      </c>
      <c r="AG168" s="98">
        <v>1.5</v>
      </c>
      <c r="AH168" s="98">
        <v>0.35</v>
      </c>
      <c r="AI168" s="1">
        <v>2</v>
      </c>
      <c r="AJ168" s="1">
        <v>0.35</v>
      </c>
      <c r="AK168" s="1"/>
      <c r="AL168" s="1"/>
      <c r="AM168" s="1">
        <v>0</v>
      </c>
    </row>
    <row r="169" spans="1:39" x14ac:dyDescent="0.25">
      <c r="A169" s="1" t="s">
        <v>192</v>
      </c>
      <c r="B169" s="1">
        <v>2</v>
      </c>
      <c r="C169" s="1" t="s">
        <v>418</v>
      </c>
      <c r="D169" s="13">
        <v>39749</v>
      </c>
      <c r="E169" s="1">
        <f t="shared" si="54"/>
        <v>2274</v>
      </c>
      <c r="F169" s="1"/>
      <c r="G169" s="13">
        <v>42023</v>
      </c>
      <c r="H169" s="13">
        <f t="shared" si="61"/>
        <v>41926</v>
      </c>
      <c r="I169" s="13">
        <v>42023</v>
      </c>
      <c r="J169" s="13"/>
      <c r="K169" s="1">
        <f t="shared" si="49"/>
        <v>2274</v>
      </c>
      <c r="L169" s="1">
        <f t="shared" si="50"/>
        <v>97</v>
      </c>
      <c r="M169" s="1">
        <f t="shared" si="51"/>
        <v>0</v>
      </c>
      <c r="N169" s="1"/>
      <c r="O169" s="1" t="s">
        <v>417</v>
      </c>
      <c r="P169" s="1">
        <v>5.1100000000000003</v>
      </c>
      <c r="Q169" s="1"/>
      <c r="R169" s="1"/>
      <c r="S169" s="1"/>
      <c r="T169" s="1"/>
      <c r="U169" s="1"/>
      <c r="V169" s="1"/>
      <c r="W169" s="1"/>
      <c r="X169" s="1"/>
      <c r="Y169" s="1"/>
      <c r="Z169" s="1">
        <v>62</v>
      </c>
      <c r="AA169" s="1">
        <v>0</v>
      </c>
      <c r="AB169" s="1"/>
      <c r="AC169" s="1">
        <v>0</v>
      </c>
      <c r="AD169" s="98">
        <v>0</v>
      </c>
      <c r="AE169" s="172">
        <v>60</v>
      </c>
      <c r="AF169" s="1" t="s">
        <v>417</v>
      </c>
      <c r="AG169" s="98">
        <v>1.5</v>
      </c>
      <c r="AH169" s="98">
        <v>0.35</v>
      </c>
      <c r="AI169" s="1">
        <v>2</v>
      </c>
      <c r="AJ169" s="1">
        <v>0.35</v>
      </c>
      <c r="AK169" s="1"/>
      <c r="AL169" s="1"/>
      <c r="AM169" s="1">
        <v>0</v>
      </c>
    </row>
    <row r="170" spans="1:39" x14ac:dyDescent="0.25">
      <c r="A170" s="206" t="s">
        <v>194</v>
      </c>
      <c r="B170" s="1">
        <v>2</v>
      </c>
      <c r="C170" s="1" t="s">
        <v>418</v>
      </c>
      <c r="D170" s="13">
        <v>39848</v>
      </c>
      <c r="E170" s="1">
        <f t="shared" si="54"/>
        <v>1937</v>
      </c>
      <c r="F170" s="1"/>
      <c r="G170" s="13">
        <v>40878</v>
      </c>
      <c r="H170" s="13">
        <v>39848</v>
      </c>
      <c r="I170" s="13">
        <v>41785</v>
      </c>
      <c r="J170" s="13"/>
      <c r="K170" s="1">
        <f t="shared" si="49"/>
        <v>1030</v>
      </c>
      <c r="L170" s="1">
        <f t="shared" si="50"/>
        <v>1030</v>
      </c>
      <c r="M170" s="1">
        <f t="shared" si="51"/>
        <v>907</v>
      </c>
      <c r="N170" s="1"/>
      <c r="O170" s="1" t="s">
        <v>417</v>
      </c>
      <c r="P170" s="1">
        <v>6.13</v>
      </c>
      <c r="Q170" s="1">
        <f t="shared" si="57"/>
        <v>1</v>
      </c>
      <c r="R170" s="1">
        <f t="shared" si="58"/>
        <v>1</v>
      </c>
      <c r="S170" s="1">
        <f t="shared" si="59"/>
        <v>1</v>
      </c>
      <c r="T170" s="1">
        <f t="shared" si="60"/>
        <v>1</v>
      </c>
      <c r="U170" s="1" t="s">
        <v>437</v>
      </c>
      <c r="V170" s="1"/>
      <c r="W170" s="1"/>
      <c r="X170" s="1"/>
      <c r="Y170" s="1"/>
      <c r="Z170" s="1">
        <v>56</v>
      </c>
      <c r="AA170" s="1">
        <v>2</v>
      </c>
      <c r="AB170" s="1"/>
      <c r="AC170" s="1">
        <v>0</v>
      </c>
      <c r="AD170" s="98">
        <v>0</v>
      </c>
      <c r="AE170" s="172">
        <v>60</v>
      </c>
      <c r="AF170" s="1" t="s">
        <v>417</v>
      </c>
      <c r="AG170" s="98">
        <v>2</v>
      </c>
      <c r="AH170" s="98">
        <v>0.35</v>
      </c>
      <c r="AI170" s="1">
        <v>4</v>
      </c>
      <c r="AJ170" s="1">
        <v>0.35</v>
      </c>
      <c r="AK170" s="1"/>
      <c r="AL170" s="1"/>
      <c r="AM170" s="1">
        <v>0</v>
      </c>
    </row>
    <row r="171" spans="1:39" x14ac:dyDescent="0.25">
      <c r="A171" s="206" t="s">
        <v>194</v>
      </c>
      <c r="B171" s="1">
        <v>2</v>
      </c>
      <c r="C171" s="1" t="s">
        <v>418</v>
      </c>
      <c r="D171" s="13">
        <v>39848</v>
      </c>
      <c r="E171" s="1">
        <f t="shared" si="54"/>
        <v>1937</v>
      </c>
      <c r="F171" s="1"/>
      <c r="G171" s="13">
        <v>41065</v>
      </c>
      <c r="H171" s="13">
        <f>G170</f>
        <v>40878</v>
      </c>
      <c r="I171" s="13">
        <v>41785</v>
      </c>
      <c r="J171" s="13"/>
      <c r="K171" s="1">
        <f t="shared" si="49"/>
        <v>1217</v>
      </c>
      <c r="L171" s="1">
        <f t="shared" si="50"/>
        <v>187</v>
      </c>
      <c r="M171" s="1">
        <f t="shared" si="51"/>
        <v>720</v>
      </c>
      <c r="N171" s="1"/>
      <c r="O171" s="1" t="s">
        <v>417</v>
      </c>
      <c r="P171" s="1">
        <v>5.92</v>
      </c>
      <c r="Q171" s="1">
        <f t="shared" si="57"/>
        <v>1</v>
      </c>
      <c r="R171" s="1">
        <f t="shared" si="58"/>
        <v>1</v>
      </c>
      <c r="S171" s="1">
        <f t="shared" si="59"/>
        <v>1</v>
      </c>
      <c r="T171" s="1">
        <f t="shared" si="60"/>
        <v>1</v>
      </c>
      <c r="U171" s="1" t="s">
        <v>437</v>
      </c>
      <c r="V171" s="1"/>
      <c r="W171" s="1"/>
      <c r="X171" s="1"/>
      <c r="Y171" s="1"/>
      <c r="Z171" s="1">
        <v>28</v>
      </c>
      <c r="AA171" s="1">
        <v>9</v>
      </c>
      <c r="AB171" s="1"/>
      <c r="AC171" s="1">
        <v>0</v>
      </c>
      <c r="AD171" s="98">
        <v>0</v>
      </c>
      <c r="AE171" s="172">
        <v>60</v>
      </c>
      <c r="AF171" s="1" t="s">
        <v>417</v>
      </c>
      <c r="AG171" s="98">
        <v>2</v>
      </c>
      <c r="AH171" s="98">
        <v>0.35</v>
      </c>
      <c r="AI171" s="1">
        <v>4</v>
      </c>
      <c r="AJ171" s="1">
        <v>0.35</v>
      </c>
      <c r="AK171" s="1"/>
      <c r="AL171" s="1"/>
      <c r="AM171" s="1">
        <v>0</v>
      </c>
    </row>
    <row r="172" spans="1:39" x14ac:dyDescent="0.25">
      <c r="A172" s="206" t="s">
        <v>194</v>
      </c>
      <c r="B172" s="1">
        <v>2</v>
      </c>
      <c r="C172" s="1" t="s">
        <v>418</v>
      </c>
      <c r="D172" s="13">
        <v>39848</v>
      </c>
      <c r="E172" s="1">
        <f t="shared" si="54"/>
        <v>1937</v>
      </c>
      <c r="F172" s="1"/>
      <c r="G172" s="13">
        <v>41296</v>
      </c>
      <c r="H172" s="13">
        <f t="shared" ref="H172:H174" si="62">G171</f>
        <v>41065</v>
      </c>
      <c r="I172" s="13">
        <v>41785</v>
      </c>
      <c r="J172" s="13"/>
      <c r="K172" s="1">
        <f t="shared" si="49"/>
        <v>1448</v>
      </c>
      <c r="L172" s="1">
        <f t="shared" si="50"/>
        <v>231</v>
      </c>
      <c r="M172" s="1">
        <f t="shared" si="51"/>
        <v>489</v>
      </c>
      <c r="N172" s="1"/>
      <c r="O172" s="1" t="s">
        <v>417</v>
      </c>
      <c r="P172" s="1">
        <v>5.34</v>
      </c>
      <c r="Q172" s="1"/>
      <c r="R172" s="1">
        <f t="shared" si="58"/>
        <v>1</v>
      </c>
      <c r="S172" s="1">
        <f t="shared" si="59"/>
        <v>1</v>
      </c>
      <c r="T172" s="1">
        <f t="shared" si="60"/>
        <v>1</v>
      </c>
      <c r="U172" s="1"/>
      <c r="V172" s="1"/>
      <c r="W172" s="1"/>
      <c r="X172" s="1"/>
      <c r="Y172" s="1"/>
      <c r="Z172" s="1">
        <v>0</v>
      </c>
      <c r="AA172" s="1">
        <v>14</v>
      </c>
      <c r="AB172" s="1"/>
      <c r="AC172" s="1">
        <v>0</v>
      </c>
      <c r="AD172" s="98">
        <v>0</v>
      </c>
      <c r="AE172" s="172">
        <v>60</v>
      </c>
      <c r="AF172" s="1" t="s">
        <v>434</v>
      </c>
      <c r="AG172" s="98">
        <v>2</v>
      </c>
      <c r="AH172" s="98">
        <v>0.35</v>
      </c>
      <c r="AI172" s="1">
        <v>4</v>
      </c>
      <c r="AJ172" s="1">
        <v>0.35</v>
      </c>
      <c r="AK172" s="1"/>
      <c r="AL172" s="1"/>
      <c r="AM172" s="1">
        <v>0</v>
      </c>
    </row>
    <row r="173" spans="1:39" x14ac:dyDescent="0.25">
      <c r="A173" s="206" t="s">
        <v>194</v>
      </c>
      <c r="B173" s="1">
        <v>2</v>
      </c>
      <c r="C173" s="1" t="s">
        <v>418</v>
      </c>
      <c r="D173" s="13">
        <v>39848</v>
      </c>
      <c r="E173" s="1">
        <f t="shared" si="54"/>
        <v>1937</v>
      </c>
      <c r="F173" s="1"/>
      <c r="G173" s="13">
        <v>41485</v>
      </c>
      <c r="H173" s="13">
        <f t="shared" si="62"/>
        <v>41296</v>
      </c>
      <c r="I173" s="13">
        <v>41785</v>
      </c>
      <c r="J173" s="13"/>
      <c r="K173" s="1">
        <f t="shared" si="49"/>
        <v>1637</v>
      </c>
      <c r="L173" s="1">
        <f t="shared" si="50"/>
        <v>189</v>
      </c>
      <c r="M173" s="1">
        <f t="shared" si="51"/>
        <v>300</v>
      </c>
      <c r="N173" s="1"/>
      <c r="O173" s="1" t="s">
        <v>417</v>
      </c>
      <c r="P173" s="1">
        <v>5.21</v>
      </c>
      <c r="Q173" s="1"/>
      <c r="R173" s="1"/>
      <c r="S173" s="1">
        <f t="shared" si="59"/>
        <v>1</v>
      </c>
      <c r="T173" s="1">
        <f t="shared" si="60"/>
        <v>1</v>
      </c>
      <c r="U173" s="1"/>
      <c r="V173" s="1"/>
      <c r="W173" s="1"/>
      <c r="X173" s="1"/>
      <c r="Y173" s="1"/>
      <c r="Z173" s="1">
        <v>0</v>
      </c>
      <c r="AA173" s="1">
        <v>16</v>
      </c>
      <c r="AB173" s="1"/>
      <c r="AC173" s="1">
        <v>0</v>
      </c>
      <c r="AD173" s="98">
        <v>0</v>
      </c>
      <c r="AE173" s="172">
        <v>60</v>
      </c>
      <c r="AF173" s="1" t="s">
        <v>434</v>
      </c>
      <c r="AG173" s="98">
        <v>2</v>
      </c>
      <c r="AH173" s="98">
        <v>0.35</v>
      </c>
      <c r="AI173" s="1">
        <v>4</v>
      </c>
      <c r="AJ173" s="1">
        <v>0.35</v>
      </c>
      <c r="AK173" s="1"/>
      <c r="AL173" s="1"/>
      <c r="AM173" s="1">
        <v>0</v>
      </c>
    </row>
    <row r="174" spans="1:39" x14ac:dyDescent="0.25">
      <c r="A174" s="206" t="s">
        <v>194</v>
      </c>
      <c r="B174" s="1">
        <v>2</v>
      </c>
      <c r="C174" s="1" t="s">
        <v>418</v>
      </c>
      <c r="D174" s="13">
        <v>39848</v>
      </c>
      <c r="E174" s="1">
        <f t="shared" si="54"/>
        <v>1937</v>
      </c>
      <c r="F174" s="1"/>
      <c r="G174" s="13">
        <v>41785</v>
      </c>
      <c r="H174" s="13">
        <f t="shared" si="62"/>
        <v>41485</v>
      </c>
      <c r="I174" s="13">
        <v>41785</v>
      </c>
      <c r="J174" s="13"/>
      <c r="K174" s="1">
        <f t="shared" si="49"/>
        <v>1937</v>
      </c>
      <c r="L174" s="1">
        <f t="shared" si="50"/>
        <v>300</v>
      </c>
      <c r="M174" s="1">
        <f t="shared" si="51"/>
        <v>0</v>
      </c>
      <c r="N174" s="1"/>
      <c r="O174" s="1" t="s">
        <v>417</v>
      </c>
      <c r="P174" s="1">
        <v>5.17</v>
      </c>
      <c r="Q174" s="1"/>
      <c r="R174" s="1"/>
      <c r="S174" s="1"/>
      <c r="T174" s="1"/>
      <c r="U174" s="1"/>
      <c r="V174" s="1"/>
      <c r="W174" s="1"/>
      <c r="X174" s="1"/>
      <c r="Y174" s="1"/>
      <c r="Z174" s="1">
        <v>0</v>
      </c>
      <c r="AA174" s="1">
        <v>16</v>
      </c>
      <c r="AB174" s="1"/>
      <c r="AC174" s="1">
        <v>2</v>
      </c>
      <c r="AD174" s="98">
        <v>21</v>
      </c>
      <c r="AE174" s="172">
        <v>60</v>
      </c>
      <c r="AF174" s="1" t="s">
        <v>417</v>
      </c>
      <c r="AG174" s="98">
        <v>2</v>
      </c>
      <c r="AH174" s="98">
        <v>0.35</v>
      </c>
      <c r="AI174" s="1">
        <v>4</v>
      </c>
      <c r="AJ174" s="1">
        <v>0.35</v>
      </c>
      <c r="AK174" s="1"/>
      <c r="AL174" s="1"/>
      <c r="AM174" s="1">
        <v>0</v>
      </c>
    </row>
    <row r="175" spans="1:39" x14ac:dyDescent="0.25">
      <c r="A175" s="205" t="s">
        <v>199</v>
      </c>
      <c r="B175" s="1">
        <v>1</v>
      </c>
      <c r="C175" s="1" t="s">
        <v>418</v>
      </c>
      <c r="D175" s="13">
        <v>39042</v>
      </c>
      <c r="E175" s="1">
        <f t="shared" si="54"/>
        <v>2905</v>
      </c>
      <c r="F175" s="1"/>
      <c r="G175" s="13">
        <v>40694</v>
      </c>
      <c r="H175" s="13">
        <v>39042</v>
      </c>
      <c r="I175" s="13">
        <v>41947</v>
      </c>
      <c r="J175" s="13"/>
      <c r="K175" s="1">
        <f t="shared" si="49"/>
        <v>1652</v>
      </c>
      <c r="L175" s="1">
        <f t="shared" si="50"/>
        <v>1652</v>
      </c>
      <c r="M175" s="1">
        <f t="shared" si="51"/>
        <v>1253</v>
      </c>
      <c r="N175" s="1"/>
      <c r="O175" s="1" t="s">
        <v>417</v>
      </c>
      <c r="P175" s="1">
        <v>5.73</v>
      </c>
      <c r="Q175" s="1">
        <f t="shared" si="57"/>
        <v>1</v>
      </c>
      <c r="R175" s="1">
        <f t="shared" si="58"/>
        <v>1</v>
      </c>
      <c r="S175" s="1">
        <f t="shared" si="59"/>
        <v>1</v>
      </c>
      <c r="T175" s="1">
        <f t="shared" si="60"/>
        <v>1</v>
      </c>
      <c r="U175" s="1" t="s">
        <v>437</v>
      </c>
      <c r="V175" s="1"/>
      <c r="W175" s="1"/>
      <c r="X175" s="1"/>
      <c r="Y175" s="1"/>
      <c r="Z175" s="1"/>
      <c r="AA175" s="1">
        <v>0</v>
      </c>
      <c r="AB175" s="1"/>
      <c r="AC175" s="1">
        <v>0</v>
      </c>
      <c r="AD175" s="1">
        <v>0</v>
      </c>
      <c r="AE175" s="1">
        <v>50</v>
      </c>
      <c r="AF175" s="1" t="s">
        <v>417</v>
      </c>
      <c r="AG175" s="1"/>
      <c r="AH175" s="1"/>
      <c r="AI175" s="1">
        <v>3.5</v>
      </c>
      <c r="AJ175" s="1">
        <v>0.35</v>
      </c>
      <c r="AK175" s="1"/>
      <c r="AL175" s="1"/>
      <c r="AM175" s="1">
        <v>0</v>
      </c>
    </row>
    <row r="176" spans="1:39" x14ac:dyDescent="0.25">
      <c r="A176" s="205" t="s">
        <v>199</v>
      </c>
      <c r="B176" s="1">
        <v>1</v>
      </c>
      <c r="C176" s="1" t="s">
        <v>418</v>
      </c>
      <c r="D176" s="13">
        <v>39042</v>
      </c>
      <c r="E176" s="1">
        <f t="shared" si="54"/>
        <v>2905</v>
      </c>
      <c r="F176" s="1"/>
      <c r="G176" s="13">
        <v>40925</v>
      </c>
      <c r="H176" s="13">
        <f>G175</f>
        <v>40694</v>
      </c>
      <c r="I176" s="13">
        <v>41947</v>
      </c>
      <c r="J176" s="13"/>
      <c r="K176" s="1">
        <f t="shared" si="49"/>
        <v>1883</v>
      </c>
      <c r="L176" s="1">
        <f t="shared" si="50"/>
        <v>231</v>
      </c>
      <c r="M176" s="1">
        <f t="shared" si="51"/>
        <v>1022</v>
      </c>
      <c r="N176" s="1"/>
      <c r="O176" s="1" t="s">
        <v>417</v>
      </c>
      <c r="P176" s="1">
        <v>5.33</v>
      </c>
      <c r="Q176" s="1">
        <f t="shared" si="57"/>
        <v>1</v>
      </c>
      <c r="R176" s="1">
        <f t="shared" si="58"/>
        <v>1</v>
      </c>
      <c r="S176" s="1">
        <f t="shared" si="59"/>
        <v>1</v>
      </c>
      <c r="T176" s="1">
        <f t="shared" si="60"/>
        <v>1</v>
      </c>
      <c r="U176" s="1" t="s">
        <v>437</v>
      </c>
      <c r="V176" s="1"/>
      <c r="W176" s="1"/>
      <c r="X176" s="1"/>
      <c r="Y176" s="1"/>
      <c r="Z176" s="1"/>
      <c r="AA176" s="1">
        <v>0</v>
      </c>
      <c r="AB176" s="1"/>
      <c r="AC176" s="1">
        <v>0</v>
      </c>
      <c r="AD176" s="1">
        <v>0</v>
      </c>
      <c r="AE176" s="1">
        <v>50</v>
      </c>
      <c r="AF176" s="1" t="s">
        <v>417</v>
      </c>
      <c r="AG176" s="1"/>
      <c r="AH176" s="1"/>
      <c r="AI176" s="1">
        <v>3.5</v>
      </c>
      <c r="AJ176" s="1">
        <v>0.35</v>
      </c>
      <c r="AK176" s="1"/>
      <c r="AL176" s="1"/>
      <c r="AM176" s="1">
        <v>0</v>
      </c>
    </row>
    <row r="177" spans="1:39" x14ac:dyDescent="0.25">
      <c r="A177" s="205" t="s">
        <v>199</v>
      </c>
      <c r="B177" s="1">
        <v>1</v>
      </c>
      <c r="C177" s="1" t="s">
        <v>418</v>
      </c>
      <c r="D177" s="13">
        <v>39042</v>
      </c>
      <c r="E177" s="1">
        <f t="shared" si="54"/>
        <v>2905</v>
      </c>
      <c r="F177" s="1"/>
      <c r="G177" s="13">
        <v>41009</v>
      </c>
      <c r="H177" s="13">
        <f t="shared" ref="H177:H184" si="63">G176</f>
        <v>40925</v>
      </c>
      <c r="I177" s="13">
        <v>41947</v>
      </c>
      <c r="J177" s="13"/>
      <c r="K177" s="1">
        <f t="shared" si="49"/>
        <v>1967</v>
      </c>
      <c r="L177" s="1">
        <f t="shared" si="50"/>
        <v>84</v>
      </c>
      <c r="M177" s="1">
        <f t="shared" si="51"/>
        <v>938</v>
      </c>
      <c r="N177" s="1"/>
      <c r="O177" s="1" t="s">
        <v>417</v>
      </c>
      <c r="P177" s="1">
        <v>5.29</v>
      </c>
      <c r="Q177" s="1">
        <f t="shared" si="57"/>
        <v>1</v>
      </c>
      <c r="R177" s="1">
        <f t="shared" si="58"/>
        <v>1</v>
      </c>
      <c r="S177" s="1">
        <f t="shared" si="59"/>
        <v>1</v>
      </c>
      <c r="T177" s="1">
        <f t="shared" si="60"/>
        <v>1</v>
      </c>
      <c r="U177" s="1" t="s">
        <v>437</v>
      </c>
      <c r="V177" s="1"/>
      <c r="W177" s="1"/>
      <c r="X177" s="1"/>
      <c r="Y177" s="1"/>
      <c r="Z177" s="1"/>
      <c r="AA177" s="1">
        <v>0</v>
      </c>
      <c r="AB177" s="1"/>
      <c r="AC177" s="1">
        <v>0</v>
      </c>
      <c r="AD177" s="1">
        <v>0</v>
      </c>
      <c r="AE177" s="1">
        <v>50</v>
      </c>
      <c r="AF177" s="1" t="s">
        <v>417</v>
      </c>
      <c r="AG177" s="1"/>
      <c r="AH177" s="1"/>
      <c r="AI177" s="1">
        <v>2.5</v>
      </c>
      <c r="AJ177" s="1">
        <v>0.35</v>
      </c>
      <c r="AK177" s="1"/>
      <c r="AL177" s="1"/>
      <c r="AM177" s="1">
        <v>0</v>
      </c>
    </row>
    <row r="178" spans="1:39" x14ac:dyDescent="0.25">
      <c r="A178" s="205" t="s">
        <v>199</v>
      </c>
      <c r="B178" s="1">
        <v>1</v>
      </c>
      <c r="C178" s="1" t="s">
        <v>418</v>
      </c>
      <c r="D178" s="13">
        <v>39042</v>
      </c>
      <c r="E178" s="1">
        <f t="shared" si="54"/>
        <v>2905</v>
      </c>
      <c r="F178" s="1"/>
      <c r="G178" s="13">
        <v>41100</v>
      </c>
      <c r="H178" s="13">
        <f t="shared" si="63"/>
        <v>41009</v>
      </c>
      <c r="I178" s="13">
        <v>41947</v>
      </c>
      <c r="J178" s="13"/>
      <c r="K178" s="1">
        <f t="shared" si="49"/>
        <v>2058</v>
      </c>
      <c r="L178" s="1">
        <f t="shared" si="50"/>
        <v>91</v>
      </c>
      <c r="M178" s="1">
        <f t="shared" si="51"/>
        <v>847</v>
      </c>
      <c r="N178" s="1"/>
      <c r="O178" s="1" t="s">
        <v>417</v>
      </c>
      <c r="P178" s="1">
        <v>5.25</v>
      </c>
      <c r="Q178" s="1">
        <f t="shared" si="57"/>
        <v>1</v>
      </c>
      <c r="R178" s="1">
        <f t="shared" si="58"/>
        <v>1</v>
      </c>
      <c r="S178" s="1">
        <f t="shared" si="59"/>
        <v>1</v>
      </c>
      <c r="T178" s="1">
        <f t="shared" si="60"/>
        <v>1</v>
      </c>
      <c r="U178" s="1" t="s">
        <v>437</v>
      </c>
      <c r="V178" s="1"/>
      <c r="W178" s="1"/>
      <c r="X178" s="1"/>
      <c r="Y178" s="1"/>
      <c r="Z178" s="1"/>
      <c r="AA178" s="1">
        <v>0</v>
      </c>
      <c r="AB178" s="1"/>
      <c r="AC178" s="1">
        <v>0</v>
      </c>
      <c r="AD178" s="1">
        <v>0</v>
      </c>
      <c r="AE178" s="1">
        <v>50</v>
      </c>
      <c r="AF178" s="1" t="s">
        <v>417</v>
      </c>
      <c r="AG178" s="1"/>
      <c r="AH178" s="1"/>
      <c r="AI178" s="1">
        <v>2.5</v>
      </c>
      <c r="AJ178" s="1">
        <v>0.35</v>
      </c>
      <c r="AK178" s="1"/>
      <c r="AL178" s="1"/>
      <c r="AM178" s="1">
        <v>0</v>
      </c>
    </row>
    <row r="179" spans="1:39" x14ac:dyDescent="0.25">
      <c r="A179" s="205" t="s">
        <v>199</v>
      </c>
      <c r="B179" s="1">
        <v>1</v>
      </c>
      <c r="C179" s="1" t="s">
        <v>418</v>
      </c>
      <c r="D179" s="13">
        <v>39042</v>
      </c>
      <c r="E179" s="1">
        <f t="shared" si="54"/>
        <v>2905</v>
      </c>
      <c r="F179" s="1"/>
      <c r="G179" s="13">
        <v>41310</v>
      </c>
      <c r="H179" s="13">
        <f t="shared" si="63"/>
        <v>41100</v>
      </c>
      <c r="I179" s="13">
        <v>41947</v>
      </c>
      <c r="J179" s="13"/>
      <c r="K179" s="1">
        <f t="shared" si="49"/>
        <v>2268</v>
      </c>
      <c r="L179" s="1">
        <f t="shared" si="50"/>
        <v>210</v>
      </c>
      <c r="M179" s="1">
        <f t="shared" si="51"/>
        <v>637</v>
      </c>
      <c r="N179" s="1"/>
      <c r="O179" s="1" t="s">
        <v>417</v>
      </c>
      <c r="P179" s="1">
        <v>5.18</v>
      </c>
      <c r="Q179" s="1">
        <f t="shared" si="57"/>
        <v>1</v>
      </c>
      <c r="R179" s="1">
        <f t="shared" si="58"/>
        <v>1</v>
      </c>
      <c r="S179" s="1">
        <f t="shared" si="59"/>
        <v>1</v>
      </c>
      <c r="T179" s="1">
        <f t="shared" si="60"/>
        <v>1</v>
      </c>
      <c r="U179" s="1" t="s">
        <v>437</v>
      </c>
      <c r="V179" s="1"/>
      <c r="W179" s="1"/>
      <c r="X179" s="1"/>
      <c r="Y179" s="1"/>
      <c r="Z179" s="1"/>
      <c r="AA179" s="1">
        <v>0</v>
      </c>
      <c r="AB179" s="1"/>
      <c r="AC179" s="1">
        <v>0</v>
      </c>
      <c r="AD179" s="1">
        <v>0</v>
      </c>
      <c r="AE179" s="1">
        <v>50</v>
      </c>
      <c r="AF179" s="1" t="s">
        <v>417</v>
      </c>
      <c r="AG179" s="1"/>
      <c r="AH179" s="1"/>
      <c r="AI179" s="1">
        <v>2.5</v>
      </c>
      <c r="AJ179" s="1">
        <v>0.35</v>
      </c>
      <c r="AK179" s="1"/>
      <c r="AL179" s="1"/>
      <c r="AM179" s="1">
        <v>0</v>
      </c>
    </row>
    <row r="180" spans="1:39" x14ac:dyDescent="0.25">
      <c r="A180" s="205" t="s">
        <v>199</v>
      </c>
      <c r="B180" s="1">
        <v>1</v>
      </c>
      <c r="C180" s="1" t="s">
        <v>418</v>
      </c>
      <c r="D180" s="13">
        <v>39042</v>
      </c>
      <c r="E180" s="1">
        <f t="shared" si="54"/>
        <v>2905</v>
      </c>
      <c r="F180" s="1"/>
      <c r="G180" s="13">
        <v>41422</v>
      </c>
      <c r="H180" s="13">
        <f t="shared" si="63"/>
        <v>41310</v>
      </c>
      <c r="I180" s="13">
        <v>41947</v>
      </c>
      <c r="J180" s="13"/>
      <c r="K180" s="1">
        <f t="shared" si="49"/>
        <v>2380</v>
      </c>
      <c r="L180" s="1">
        <f t="shared" si="50"/>
        <v>112</v>
      </c>
      <c r="M180" s="1">
        <f t="shared" si="51"/>
        <v>525</v>
      </c>
      <c r="N180" s="1"/>
      <c r="O180" s="1" t="s">
        <v>417</v>
      </c>
      <c r="P180" s="1">
        <v>5.16</v>
      </c>
      <c r="Q180" s="1"/>
      <c r="R180" s="1">
        <f t="shared" si="58"/>
        <v>1</v>
      </c>
      <c r="S180" s="1">
        <f t="shared" si="59"/>
        <v>1</v>
      </c>
      <c r="T180" s="1">
        <f t="shared" si="60"/>
        <v>1</v>
      </c>
      <c r="U180" s="1"/>
      <c r="V180" s="1"/>
      <c r="W180" s="1"/>
      <c r="X180" s="1"/>
      <c r="Y180" s="1"/>
      <c r="Z180" s="1"/>
      <c r="AA180" s="1">
        <v>0</v>
      </c>
      <c r="AB180" s="1"/>
      <c r="AC180" s="1">
        <v>0</v>
      </c>
      <c r="AD180" s="1">
        <v>0</v>
      </c>
      <c r="AE180" s="1">
        <v>50</v>
      </c>
      <c r="AF180" s="1" t="s">
        <v>417</v>
      </c>
      <c r="AG180" s="1"/>
      <c r="AH180" s="1"/>
      <c r="AI180" s="1">
        <v>3</v>
      </c>
      <c r="AJ180" s="1">
        <v>0.35</v>
      </c>
      <c r="AK180" s="1"/>
      <c r="AL180" s="1"/>
      <c r="AM180" s="1">
        <v>0</v>
      </c>
    </row>
    <row r="181" spans="1:39" x14ac:dyDescent="0.25">
      <c r="A181" s="205" t="s">
        <v>199</v>
      </c>
      <c r="B181" s="1">
        <v>1</v>
      </c>
      <c r="C181" s="1" t="s">
        <v>418</v>
      </c>
      <c r="D181" s="13">
        <v>39042</v>
      </c>
      <c r="E181" s="1">
        <f t="shared" si="54"/>
        <v>2905</v>
      </c>
      <c r="F181" s="1"/>
      <c r="G181" s="13">
        <v>41499</v>
      </c>
      <c r="H181" s="13">
        <f t="shared" si="63"/>
        <v>41422</v>
      </c>
      <c r="I181" s="13">
        <v>41947</v>
      </c>
      <c r="J181" s="13"/>
      <c r="K181" s="1">
        <f t="shared" si="49"/>
        <v>2457</v>
      </c>
      <c r="L181" s="1">
        <f t="shared" ref="L181:L244" si="64">G181-H181</f>
        <v>77</v>
      </c>
      <c r="M181" s="1">
        <f t="shared" si="51"/>
        <v>448</v>
      </c>
      <c r="N181" s="1"/>
      <c r="O181" s="1" t="s">
        <v>417</v>
      </c>
      <c r="P181" s="1">
        <v>5.16</v>
      </c>
      <c r="Q181" s="1"/>
      <c r="R181" s="1">
        <f t="shared" si="58"/>
        <v>1</v>
      </c>
      <c r="S181" s="1">
        <f t="shared" si="59"/>
        <v>1</v>
      </c>
      <c r="T181" s="1">
        <f t="shared" si="60"/>
        <v>1</v>
      </c>
      <c r="U181" s="1"/>
      <c r="V181" s="1"/>
      <c r="W181" s="1"/>
      <c r="X181" s="1"/>
      <c r="Y181" s="1"/>
      <c r="Z181" s="1"/>
      <c r="AA181" s="1">
        <v>0</v>
      </c>
      <c r="AB181" s="1"/>
      <c r="AC181" s="1">
        <v>0</v>
      </c>
      <c r="AD181" s="1">
        <v>0</v>
      </c>
      <c r="AE181" s="1">
        <v>50</v>
      </c>
      <c r="AF181" s="1" t="s">
        <v>417</v>
      </c>
      <c r="AG181" s="1"/>
      <c r="AH181" s="1"/>
      <c r="AI181" s="1">
        <v>3</v>
      </c>
      <c r="AJ181" s="1">
        <v>0.35</v>
      </c>
      <c r="AK181" s="1"/>
      <c r="AL181" s="1"/>
      <c r="AM181" s="1">
        <v>0</v>
      </c>
    </row>
    <row r="182" spans="1:39" x14ac:dyDescent="0.25">
      <c r="A182" s="205" t="s">
        <v>199</v>
      </c>
      <c r="B182" s="1">
        <v>1</v>
      </c>
      <c r="C182" s="1" t="s">
        <v>418</v>
      </c>
      <c r="D182" s="13">
        <v>39042</v>
      </c>
      <c r="E182" s="1">
        <f t="shared" si="54"/>
        <v>2905</v>
      </c>
      <c r="F182" s="1"/>
      <c r="G182" s="13">
        <v>41712</v>
      </c>
      <c r="H182" s="13">
        <f t="shared" si="63"/>
        <v>41499</v>
      </c>
      <c r="I182" s="13">
        <v>41947</v>
      </c>
      <c r="J182" s="13"/>
      <c r="K182" s="1">
        <f t="shared" si="49"/>
        <v>2670</v>
      </c>
      <c r="L182" s="1">
        <f t="shared" si="64"/>
        <v>213</v>
      </c>
      <c r="M182" s="1">
        <f t="shared" si="51"/>
        <v>235</v>
      </c>
      <c r="N182" s="1"/>
      <c r="O182" s="1" t="s">
        <v>417</v>
      </c>
      <c r="P182" s="1">
        <v>5.15</v>
      </c>
      <c r="Q182" s="1"/>
      <c r="R182" s="1"/>
      <c r="S182" s="1">
        <f t="shared" si="59"/>
        <v>1</v>
      </c>
      <c r="T182" s="1">
        <f t="shared" si="60"/>
        <v>1</v>
      </c>
      <c r="U182" s="1"/>
      <c r="V182" s="1"/>
      <c r="W182" s="1"/>
      <c r="X182" s="1"/>
      <c r="Y182" s="1"/>
      <c r="Z182" s="1"/>
      <c r="AA182" s="1">
        <v>0</v>
      </c>
      <c r="AB182" s="1"/>
      <c r="AC182" s="1">
        <v>0</v>
      </c>
      <c r="AD182" s="1">
        <v>0</v>
      </c>
      <c r="AE182" s="1">
        <v>50</v>
      </c>
      <c r="AF182" s="1" t="s">
        <v>417</v>
      </c>
      <c r="AG182" s="1"/>
      <c r="AH182" s="1"/>
      <c r="AI182" s="1">
        <v>3</v>
      </c>
      <c r="AJ182" s="1">
        <v>0.35</v>
      </c>
      <c r="AK182" s="1"/>
      <c r="AL182" s="1"/>
      <c r="AM182" s="1">
        <v>0</v>
      </c>
    </row>
    <row r="183" spans="1:39" x14ac:dyDescent="0.25">
      <c r="A183" s="205" t="s">
        <v>199</v>
      </c>
      <c r="B183" s="1">
        <v>1</v>
      </c>
      <c r="C183" s="1" t="s">
        <v>418</v>
      </c>
      <c r="D183" s="13">
        <v>39042</v>
      </c>
      <c r="E183" s="1">
        <f t="shared" si="54"/>
        <v>2905</v>
      </c>
      <c r="F183" s="1"/>
      <c r="G183" s="13">
        <v>41820</v>
      </c>
      <c r="H183" s="13">
        <f t="shared" si="63"/>
        <v>41712</v>
      </c>
      <c r="I183" s="13">
        <v>41947</v>
      </c>
      <c r="J183" s="13"/>
      <c r="K183" s="1">
        <f t="shared" si="49"/>
        <v>2778</v>
      </c>
      <c r="L183" s="1">
        <f t="shared" si="64"/>
        <v>108</v>
      </c>
      <c r="M183" s="1">
        <f t="shared" si="51"/>
        <v>127</v>
      </c>
      <c r="N183" s="1"/>
      <c r="O183" s="1" t="s">
        <v>417</v>
      </c>
      <c r="P183" s="1">
        <v>5.13</v>
      </c>
      <c r="Q183" s="1"/>
      <c r="R183" s="1"/>
      <c r="S183" s="1"/>
      <c r="T183" s="1">
        <f t="shared" si="60"/>
        <v>1</v>
      </c>
      <c r="U183" s="1"/>
      <c r="V183" s="1"/>
      <c r="W183" s="1"/>
      <c r="X183" s="1"/>
      <c r="Y183" s="1"/>
      <c r="Z183" s="1"/>
      <c r="AA183" s="1">
        <v>0</v>
      </c>
      <c r="AB183" s="1"/>
      <c r="AC183" s="1">
        <v>0</v>
      </c>
      <c r="AD183" s="1">
        <v>0</v>
      </c>
      <c r="AE183" s="1">
        <v>50</v>
      </c>
      <c r="AF183" s="1" t="s">
        <v>417</v>
      </c>
      <c r="AG183" s="1"/>
      <c r="AH183" s="1"/>
      <c r="AI183" s="1">
        <v>3</v>
      </c>
      <c r="AJ183" s="1">
        <v>0.35</v>
      </c>
      <c r="AK183" s="1"/>
      <c r="AL183" s="1"/>
      <c r="AM183" s="1">
        <v>0</v>
      </c>
    </row>
    <row r="184" spans="1:39" x14ac:dyDescent="0.25">
      <c r="A184" s="205" t="s">
        <v>199</v>
      </c>
      <c r="B184" s="1">
        <v>1</v>
      </c>
      <c r="C184" s="1" t="s">
        <v>418</v>
      </c>
      <c r="D184" s="13">
        <v>39042</v>
      </c>
      <c r="E184" s="1">
        <f t="shared" si="54"/>
        <v>2905</v>
      </c>
      <c r="F184" s="1"/>
      <c r="G184" s="13">
        <v>41947</v>
      </c>
      <c r="H184" s="13">
        <f t="shared" si="63"/>
        <v>41820</v>
      </c>
      <c r="I184" s="13">
        <v>41947</v>
      </c>
      <c r="J184" s="13"/>
      <c r="K184" s="1">
        <f t="shared" si="49"/>
        <v>2905</v>
      </c>
      <c r="L184" s="1">
        <f t="shared" si="64"/>
        <v>127</v>
      </c>
      <c r="M184" s="1">
        <f t="shared" si="51"/>
        <v>0</v>
      </c>
      <c r="N184" s="1"/>
      <c r="O184" s="1" t="s">
        <v>417</v>
      </c>
      <c r="P184" s="1">
        <v>5.12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>
        <v>0</v>
      </c>
      <c r="AB184" s="1"/>
      <c r="AC184" s="1">
        <v>0</v>
      </c>
      <c r="AD184" s="1">
        <v>0</v>
      </c>
      <c r="AE184" s="1">
        <v>50</v>
      </c>
      <c r="AF184" s="1" t="s">
        <v>417</v>
      </c>
      <c r="AG184" s="1"/>
      <c r="AH184" s="1"/>
      <c r="AI184" s="1">
        <v>3</v>
      </c>
      <c r="AJ184" s="1">
        <v>0.35</v>
      </c>
      <c r="AK184" s="1"/>
      <c r="AL184" s="1"/>
      <c r="AM184" s="1">
        <v>0</v>
      </c>
    </row>
    <row r="185" spans="1:39" x14ac:dyDescent="0.25">
      <c r="A185" s="207" t="s">
        <v>201</v>
      </c>
      <c r="B185" s="1">
        <v>1</v>
      </c>
      <c r="C185" s="1" t="s">
        <v>418</v>
      </c>
      <c r="D185" s="13">
        <v>38946</v>
      </c>
      <c r="E185" s="1">
        <f t="shared" si="54"/>
        <v>2421</v>
      </c>
      <c r="F185" s="1"/>
      <c r="G185" s="13">
        <v>40659</v>
      </c>
      <c r="H185" s="13">
        <v>38946</v>
      </c>
      <c r="I185" s="13">
        <v>41367</v>
      </c>
      <c r="J185" s="13"/>
      <c r="K185" s="1">
        <f t="shared" si="49"/>
        <v>1713</v>
      </c>
      <c r="L185" s="1">
        <f t="shared" si="64"/>
        <v>1713</v>
      </c>
      <c r="M185" s="1">
        <f t="shared" si="51"/>
        <v>708</v>
      </c>
      <c r="N185" s="1"/>
      <c r="O185" s="1" t="s">
        <v>417</v>
      </c>
      <c r="P185" s="1">
        <v>5.19</v>
      </c>
      <c r="Q185" s="1">
        <f t="shared" si="57"/>
        <v>1</v>
      </c>
      <c r="R185" s="1">
        <f t="shared" si="58"/>
        <v>1</v>
      </c>
      <c r="S185" s="1">
        <f t="shared" si="59"/>
        <v>1</v>
      </c>
      <c r="T185" s="1">
        <f t="shared" si="60"/>
        <v>1</v>
      </c>
      <c r="U185" s="1" t="s">
        <v>437</v>
      </c>
      <c r="V185" s="1"/>
      <c r="W185" s="1"/>
      <c r="X185" s="1"/>
      <c r="Y185" s="1"/>
      <c r="Z185" s="1"/>
      <c r="AA185" s="1">
        <v>52</v>
      </c>
      <c r="AB185" s="1"/>
      <c r="AC185" s="1">
        <v>0</v>
      </c>
      <c r="AD185" s="1">
        <v>0</v>
      </c>
      <c r="AE185" s="1">
        <v>60</v>
      </c>
      <c r="AF185" s="1" t="s">
        <v>434</v>
      </c>
      <c r="AG185" s="1"/>
      <c r="AH185" s="1"/>
      <c r="AI185" s="1">
        <v>2.5</v>
      </c>
      <c r="AJ185" s="1">
        <v>0.6</v>
      </c>
      <c r="AK185" s="1"/>
      <c r="AL185" s="1"/>
      <c r="AM185" s="1">
        <v>0</v>
      </c>
    </row>
    <row r="186" spans="1:39" x14ac:dyDescent="0.25">
      <c r="A186" s="207" t="s">
        <v>201</v>
      </c>
      <c r="B186" s="1">
        <v>1</v>
      </c>
      <c r="C186" s="1" t="s">
        <v>418</v>
      </c>
      <c r="D186" s="13">
        <v>38946</v>
      </c>
      <c r="E186" s="1">
        <f t="shared" si="54"/>
        <v>2421</v>
      </c>
      <c r="F186" s="1"/>
      <c r="G186" s="13">
        <v>40729</v>
      </c>
      <c r="H186" s="13">
        <f>G185</f>
        <v>40659</v>
      </c>
      <c r="I186" s="13">
        <v>41367</v>
      </c>
      <c r="J186" s="13"/>
      <c r="K186" s="1">
        <f t="shared" si="49"/>
        <v>1783</v>
      </c>
      <c r="L186" s="1">
        <f t="shared" si="64"/>
        <v>70</v>
      </c>
      <c r="M186" s="1">
        <f t="shared" si="51"/>
        <v>638</v>
      </c>
      <c r="N186" s="1"/>
      <c r="O186" s="1" t="s">
        <v>417</v>
      </c>
      <c r="P186" s="1">
        <v>5.18</v>
      </c>
      <c r="Q186" s="1">
        <f t="shared" si="57"/>
        <v>1</v>
      </c>
      <c r="R186" s="1">
        <f t="shared" si="58"/>
        <v>1</v>
      </c>
      <c r="S186" s="1">
        <f t="shared" si="59"/>
        <v>1</v>
      </c>
      <c r="T186" s="1">
        <f t="shared" si="60"/>
        <v>1</v>
      </c>
      <c r="U186" s="1" t="s">
        <v>437</v>
      </c>
      <c r="V186" s="1"/>
      <c r="W186" s="1"/>
      <c r="X186" s="1"/>
      <c r="Y186" s="1"/>
      <c r="Z186" s="1"/>
      <c r="AA186" s="1">
        <v>59</v>
      </c>
      <c r="AB186" s="1"/>
      <c r="AC186" s="1">
        <v>0</v>
      </c>
      <c r="AD186" s="1">
        <v>1</v>
      </c>
      <c r="AE186" s="1">
        <v>60</v>
      </c>
      <c r="AF186" s="1" t="s">
        <v>434</v>
      </c>
      <c r="AG186" s="1"/>
      <c r="AH186" s="1"/>
      <c r="AI186" s="1">
        <v>2.5</v>
      </c>
      <c r="AJ186" s="1">
        <v>0.6</v>
      </c>
      <c r="AK186" s="1"/>
      <c r="AL186" s="1"/>
      <c r="AM186" s="1">
        <v>0</v>
      </c>
    </row>
    <row r="187" spans="1:39" x14ac:dyDescent="0.25">
      <c r="A187" s="207" t="s">
        <v>201</v>
      </c>
      <c r="B187" s="1">
        <v>1</v>
      </c>
      <c r="C187" s="1" t="s">
        <v>418</v>
      </c>
      <c r="D187" s="13">
        <v>38946</v>
      </c>
      <c r="E187" s="1">
        <f t="shared" si="54"/>
        <v>2421</v>
      </c>
      <c r="F187" s="1"/>
      <c r="G187" s="13">
        <v>40841</v>
      </c>
      <c r="H187" s="13">
        <f t="shared" ref="H187:H192" si="65">G186</f>
        <v>40729</v>
      </c>
      <c r="I187" s="13">
        <v>41367</v>
      </c>
      <c r="J187" s="13"/>
      <c r="K187" s="1">
        <f t="shared" si="49"/>
        <v>1895</v>
      </c>
      <c r="L187" s="1">
        <f t="shared" si="64"/>
        <v>112</v>
      </c>
      <c r="M187" s="1">
        <f t="shared" si="51"/>
        <v>526</v>
      </c>
      <c r="N187" s="1"/>
      <c r="O187" s="1" t="s">
        <v>417</v>
      </c>
      <c r="P187" s="1">
        <v>5.16</v>
      </c>
      <c r="Q187" s="1"/>
      <c r="R187" s="1">
        <f t="shared" si="58"/>
        <v>1</v>
      </c>
      <c r="S187" s="1">
        <f t="shared" si="59"/>
        <v>1</v>
      </c>
      <c r="T187" s="1">
        <f t="shared" si="60"/>
        <v>1</v>
      </c>
      <c r="U187" s="1"/>
      <c r="V187" s="1"/>
      <c r="W187" s="1"/>
      <c r="X187" s="1"/>
      <c r="Y187" s="1"/>
      <c r="Z187" s="1"/>
      <c r="AA187" s="1">
        <v>56</v>
      </c>
      <c r="AB187" s="1"/>
      <c r="AC187" s="1">
        <v>0</v>
      </c>
      <c r="AD187" s="1">
        <v>0</v>
      </c>
      <c r="AE187" s="1">
        <v>60</v>
      </c>
      <c r="AF187" s="1" t="s">
        <v>434</v>
      </c>
      <c r="AG187" s="1"/>
      <c r="AH187" s="1"/>
      <c r="AI187" s="1">
        <v>2.5</v>
      </c>
      <c r="AJ187" s="1">
        <v>0.6</v>
      </c>
      <c r="AK187" s="1"/>
      <c r="AL187" s="1"/>
      <c r="AM187" s="1">
        <v>0</v>
      </c>
    </row>
    <row r="188" spans="1:39" x14ac:dyDescent="0.25">
      <c r="A188" s="207" t="s">
        <v>201</v>
      </c>
      <c r="B188" s="1">
        <v>1</v>
      </c>
      <c r="C188" s="1" t="s">
        <v>418</v>
      </c>
      <c r="D188" s="13">
        <v>38946</v>
      </c>
      <c r="E188" s="1">
        <f t="shared" si="54"/>
        <v>2421</v>
      </c>
      <c r="F188" s="1"/>
      <c r="G188" s="13">
        <v>41044</v>
      </c>
      <c r="H188" s="13">
        <f t="shared" si="65"/>
        <v>40841</v>
      </c>
      <c r="I188" s="13">
        <v>41367</v>
      </c>
      <c r="J188" s="13"/>
      <c r="K188" s="1">
        <f t="shared" si="49"/>
        <v>2098</v>
      </c>
      <c r="L188" s="1">
        <f t="shared" si="64"/>
        <v>203</v>
      </c>
      <c r="M188" s="1">
        <f t="shared" si="51"/>
        <v>323</v>
      </c>
      <c r="N188" s="1"/>
      <c r="O188" s="1" t="s">
        <v>417</v>
      </c>
      <c r="P188" s="1">
        <v>5.13</v>
      </c>
      <c r="Q188" s="1"/>
      <c r="R188" s="1"/>
      <c r="S188" s="1">
        <f t="shared" si="59"/>
        <v>1</v>
      </c>
      <c r="T188" s="1">
        <f t="shared" si="60"/>
        <v>1</v>
      </c>
      <c r="U188" s="1"/>
      <c r="V188" s="1"/>
      <c r="W188" s="1"/>
      <c r="X188" s="1"/>
      <c r="Y188" s="1"/>
      <c r="Z188" s="1"/>
      <c r="AA188" s="1">
        <v>52</v>
      </c>
      <c r="AB188" s="1"/>
      <c r="AC188" s="1">
        <v>1</v>
      </c>
      <c r="AD188" s="1">
        <v>1</v>
      </c>
      <c r="AE188" s="1">
        <v>60</v>
      </c>
      <c r="AF188" s="1" t="s">
        <v>434</v>
      </c>
      <c r="AG188" s="1"/>
      <c r="AH188" s="1"/>
      <c r="AI188" s="1">
        <v>2.5</v>
      </c>
      <c r="AJ188" s="1">
        <v>0.6</v>
      </c>
      <c r="AK188" s="1"/>
      <c r="AL188" s="1"/>
      <c r="AM188" s="1">
        <v>0</v>
      </c>
    </row>
    <row r="189" spans="1:39" x14ac:dyDescent="0.25">
      <c r="A189" s="207" t="s">
        <v>201</v>
      </c>
      <c r="B189" s="1">
        <v>1</v>
      </c>
      <c r="C189" s="1" t="s">
        <v>418</v>
      </c>
      <c r="D189" s="13">
        <v>38946</v>
      </c>
      <c r="E189" s="1">
        <f t="shared" si="54"/>
        <v>2421</v>
      </c>
      <c r="F189" s="1"/>
      <c r="G189" s="13">
        <v>41143</v>
      </c>
      <c r="H189" s="13">
        <f t="shared" si="65"/>
        <v>41044</v>
      </c>
      <c r="I189" s="13">
        <v>41367</v>
      </c>
      <c r="J189" s="13"/>
      <c r="K189" s="1">
        <f t="shared" si="49"/>
        <v>2197</v>
      </c>
      <c r="L189" s="1">
        <f t="shared" si="64"/>
        <v>99</v>
      </c>
      <c r="M189" s="1">
        <f t="shared" si="51"/>
        <v>224</v>
      </c>
      <c r="N189" s="1"/>
      <c r="O189" s="1" t="s">
        <v>417</v>
      </c>
      <c r="P189" s="1">
        <v>5.12</v>
      </c>
      <c r="Q189" s="1"/>
      <c r="R189" s="1"/>
      <c r="S189" s="1">
        <f t="shared" si="59"/>
        <v>1</v>
      </c>
      <c r="T189" s="1">
        <f t="shared" si="60"/>
        <v>1</v>
      </c>
      <c r="U189" s="1"/>
      <c r="V189" s="1"/>
      <c r="W189" s="1"/>
      <c r="X189" s="1"/>
      <c r="Y189" s="1"/>
      <c r="Z189" s="1"/>
      <c r="AA189" s="1">
        <v>53</v>
      </c>
      <c r="AB189" s="1"/>
      <c r="AC189" s="1">
        <v>0</v>
      </c>
      <c r="AD189" s="1">
        <v>0</v>
      </c>
      <c r="AE189" s="1">
        <v>60</v>
      </c>
      <c r="AF189" s="1" t="s">
        <v>434</v>
      </c>
      <c r="AG189" s="1"/>
      <c r="AH189" s="1"/>
      <c r="AI189" s="1">
        <v>2.5</v>
      </c>
      <c r="AJ189" s="1">
        <v>0.6</v>
      </c>
      <c r="AK189" s="1"/>
      <c r="AL189" s="1"/>
      <c r="AM189" s="1">
        <v>0</v>
      </c>
    </row>
    <row r="190" spans="1:39" x14ac:dyDescent="0.25">
      <c r="A190" s="207" t="s">
        <v>201</v>
      </c>
      <c r="B190" s="1">
        <v>1</v>
      </c>
      <c r="C190" s="1" t="s">
        <v>418</v>
      </c>
      <c r="D190" s="13">
        <v>38946</v>
      </c>
      <c r="E190" s="1">
        <f t="shared" si="54"/>
        <v>2421</v>
      </c>
      <c r="F190" s="1"/>
      <c r="G190" s="13">
        <v>41260</v>
      </c>
      <c r="H190" s="13">
        <f t="shared" si="65"/>
        <v>41143</v>
      </c>
      <c r="I190" s="13">
        <v>41367</v>
      </c>
      <c r="J190" s="13"/>
      <c r="K190" s="1">
        <f t="shared" si="49"/>
        <v>2314</v>
      </c>
      <c r="L190" s="1">
        <f t="shared" si="64"/>
        <v>117</v>
      </c>
      <c r="M190" s="1">
        <f t="shared" si="51"/>
        <v>107</v>
      </c>
      <c r="N190" s="1"/>
      <c r="O190" s="1" t="s">
        <v>417</v>
      </c>
      <c r="P190" s="1">
        <v>5.09</v>
      </c>
      <c r="Q190" s="1"/>
      <c r="R190" s="1"/>
      <c r="S190" s="1"/>
      <c r="T190" s="1">
        <f t="shared" si="60"/>
        <v>1</v>
      </c>
      <c r="U190" s="1"/>
      <c r="V190" s="1"/>
      <c r="W190" s="1"/>
      <c r="X190" s="1"/>
      <c r="Y190" s="1"/>
      <c r="Z190" s="1"/>
      <c r="AA190" s="1">
        <v>48</v>
      </c>
      <c r="AB190" s="1"/>
      <c r="AC190" s="1">
        <v>0</v>
      </c>
      <c r="AD190" s="1">
        <v>1</v>
      </c>
      <c r="AE190" s="1">
        <v>60</v>
      </c>
      <c r="AF190" s="1" t="s">
        <v>417</v>
      </c>
      <c r="AG190" s="1"/>
      <c r="AH190" s="1"/>
      <c r="AI190" s="1">
        <v>2.5</v>
      </c>
      <c r="AJ190" s="1">
        <v>0.6</v>
      </c>
      <c r="AK190" s="1"/>
      <c r="AL190" s="1"/>
      <c r="AM190" s="1">
        <v>0</v>
      </c>
    </row>
    <row r="191" spans="1:39" x14ac:dyDescent="0.25">
      <c r="A191" s="207" t="s">
        <v>201</v>
      </c>
      <c r="B191" s="1">
        <v>1</v>
      </c>
      <c r="C191" s="1" t="s">
        <v>418</v>
      </c>
      <c r="D191" s="13">
        <v>38946</v>
      </c>
      <c r="E191" s="1">
        <f t="shared" si="54"/>
        <v>2421</v>
      </c>
      <c r="F191" s="1"/>
      <c r="G191" s="13">
        <v>41359</v>
      </c>
      <c r="H191" s="13">
        <f t="shared" si="65"/>
        <v>41260</v>
      </c>
      <c r="I191" s="13">
        <v>41367</v>
      </c>
      <c r="J191" s="13"/>
      <c r="K191" s="1">
        <f t="shared" si="49"/>
        <v>2413</v>
      </c>
      <c r="L191" s="1">
        <f t="shared" si="64"/>
        <v>99</v>
      </c>
      <c r="M191" s="1">
        <f t="shared" si="51"/>
        <v>8</v>
      </c>
      <c r="N191" s="1"/>
      <c r="O191" s="1" t="s">
        <v>417</v>
      </c>
      <c r="P191" s="1">
        <v>5.04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>
        <v>47</v>
      </c>
      <c r="AB191" s="1"/>
      <c r="AC191" s="1">
        <v>0</v>
      </c>
      <c r="AD191" s="1">
        <v>1</v>
      </c>
      <c r="AE191" s="1">
        <v>60</v>
      </c>
      <c r="AF191" s="1" t="s">
        <v>417</v>
      </c>
      <c r="AG191" s="1"/>
      <c r="AH191" s="1"/>
      <c r="AI191" s="1">
        <v>2.5</v>
      </c>
      <c r="AJ191" s="1">
        <v>0.6</v>
      </c>
      <c r="AK191" s="1"/>
      <c r="AL191" s="1"/>
      <c r="AM191" s="1">
        <v>0</v>
      </c>
    </row>
    <row r="192" spans="1:39" x14ac:dyDescent="0.25">
      <c r="A192" s="207" t="s">
        <v>201</v>
      </c>
      <c r="B192" s="1">
        <v>1</v>
      </c>
      <c r="C192" s="1" t="s">
        <v>418</v>
      </c>
      <c r="D192" s="13">
        <v>38946</v>
      </c>
      <c r="E192" s="1">
        <f t="shared" si="54"/>
        <v>2421</v>
      </c>
      <c r="F192" s="1"/>
      <c r="G192" s="13">
        <v>41367</v>
      </c>
      <c r="H192" s="13">
        <f t="shared" si="65"/>
        <v>41359</v>
      </c>
      <c r="I192" s="13">
        <v>41367</v>
      </c>
      <c r="J192" s="13"/>
      <c r="K192" s="1">
        <f t="shared" si="49"/>
        <v>2421</v>
      </c>
      <c r="L192" s="1">
        <f t="shared" si="64"/>
        <v>8</v>
      </c>
      <c r="M192" s="1">
        <f t="shared" si="51"/>
        <v>0</v>
      </c>
      <c r="N192" s="1"/>
      <c r="O192" s="1" t="s">
        <v>417</v>
      </c>
      <c r="P192" s="1">
        <v>5.04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>
        <v>60</v>
      </c>
      <c r="AB192" s="1"/>
      <c r="AC192" s="1">
        <v>0</v>
      </c>
      <c r="AD192" s="1">
        <v>1</v>
      </c>
      <c r="AE192" s="1">
        <v>60</v>
      </c>
      <c r="AF192" s="1" t="s">
        <v>417</v>
      </c>
      <c r="AG192" s="1"/>
      <c r="AH192" s="1"/>
      <c r="AI192" s="1">
        <v>2.5</v>
      </c>
      <c r="AJ192" s="1">
        <v>0.6</v>
      </c>
      <c r="AK192" s="1"/>
      <c r="AL192" s="1"/>
      <c r="AM192" s="1">
        <v>0</v>
      </c>
    </row>
    <row r="193" spans="1:39" x14ac:dyDescent="0.25">
      <c r="A193" s="208" t="s">
        <v>209</v>
      </c>
      <c r="B193" s="1">
        <v>1</v>
      </c>
      <c r="C193" s="1" t="s">
        <v>418</v>
      </c>
      <c r="D193" s="13">
        <v>38687</v>
      </c>
      <c r="E193" s="1">
        <f t="shared" si="54"/>
        <v>3414</v>
      </c>
      <c r="F193" s="1"/>
      <c r="G193" s="13">
        <v>40792</v>
      </c>
      <c r="H193" s="13">
        <v>38687</v>
      </c>
      <c r="I193" s="13">
        <v>42101</v>
      </c>
      <c r="J193" s="13"/>
      <c r="K193" s="1">
        <f t="shared" si="49"/>
        <v>2105</v>
      </c>
      <c r="L193" s="1">
        <f t="shared" si="64"/>
        <v>2105</v>
      </c>
      <c r="M193" s="1">
        <f t="shared" si="51"/>
        <v>1309</v>
      </c>
      <c r="N193" s="1"/>
      <c r="O193" s="1" t="s">
        <v>417</v>
      </c>
      <c r="P193" s="1">
        <v>5.21</v>
      </c>
      <c r="Q193" s="1">
        <f t="shared" si="57"/>
        <v>1</v>
      </c>
      <c r="R193" s="1">
        <f t="shared" si="58"/>
        <v>1</v>
      </c>
      <c r="S193" s="1">
        <f t="shared" si="59"/>
        <v>1</v>
      </c>
      <c r="T193" s="1">
        <f t="shared" si="60"/>
        <v>1</v>
      </c>
      <c r="U193" s="1" t="s">
        <v>437</v>
      </c>
      <c r="Z193" s="1"/>
      <c r="AA193" s="1">
        <v>0</v>
      </c>
      <c r="AB193" s="1"/>
      <c r="AC193" s="1">
        <v>0</v>
      </c>
      <c r="AD193" s="1">
        <v>2</v>
      </c>
      <c r="AE193" s="1">
        <v>30</v>
      </c>
      <c r="AG193" s="1"/>
      <c r="AH193" s="1"/>
      <c r="AI193" s="1">
        <v>2</v>
      </c>
      <c r="AJ193" s="1">
        <v>0.35</v>
      </c>
      <c r="AK193" s="1"/>
      <c r="AL193" s="1"/>
      <c r="AM193" s="1">
        <v>0</v>
      </c>
    </row>
    <row r="194" spans="1:39" x14ac:dyDescent="0.25">
      <c r="A194" s="208" t="s">
        <v>209</v>
      </c>
      <c r="B194" s="1">
        <v>1</v>
      </c>
      <c r="C194" s="1" t="s">
        <v>418</v>
      </c>
      <c r="D194" s="13">
        <v>38687</v>
      </c>
      <c r="E194" s="1">
        <f t="shared" si="54"/>
        <v>3414</v>
      </c>
      <c r="F194" s="1"/>
      <c r="G194" s="13">
        <v>40877</v>
      </c>
      <c r="H194" s="13">
        <f>G193</f>
        <v>40792</v>
      </c>
      <c r="I194" s="13">
        <v>42101</v>
      </c>
      <c r="J194" s="13"/>
      <c r="K194" s="1">
        <f t="shared" si="49"/>
        <v>2190</v>
      </c>
      <c r="L194" s="1">
        <f t="shared" si="64"/>
        <v>85</v>
      </c>
      <c r="M194" s="1">
        <f t="shared" si="51"/>
        <v>1224</v>
      </c>
      <c r="N194" s="1"/>
      <c r="O194" s="1" t="s">
        <v>417</v>
      </c>
      <c r="P194" s="1">
        <v>5.18</v>
      </c>
      <c r="Q194" s="1">
        <f t="shared" si="57"/>
        <v>1</v>
      </c>
      <c r="R194" s="1">
        <f t="shared" si="58"/>
        <v>1</v>
      </c>
      <c r="S194" s="1">
        <f t="shared" si="59"/>
        <v>1</v>
      </c>
      <c r="T194" s="1">
        <f t="shared" si="60"/>
        <v>1</v>
      </c>
      <c r="U194" s="1" t="s">
        <v>437</v>
      </c>
      <c r="Z194" s="1"/>
      <c r="AA194" s="1">
        <v>0</v>
      </c>
      <c r="AB194" s="1"/>
      <c r="AC194" s="1">
        <v>0</v>
      </c>
      <c r="AD194" s="1">
        <v>0</v>
      </c>
      <c r="AE194" s="1">
        <v>30</v>
      </c>
      <c r="AG194" s="1"/>
      <c r="AH194" s="1"/>
      <c r="AI194" s="1">
        <v>2</v>
      </c>
      <c r="AJ194" s="1">
        <v>0.35</v>
      </c>
      <c r="AK194" s="1"/>
      <c r="AL194" s="1"/>
      <c r="AM194" s="1">
        <v>0</v>
      </c>
    </row>
    <row r="195" spans="1:39" x14ac:dyDescent="0.25">
      <c r="A195" s="208" t="s">
        <v>209</v>
      </c>
      <c r="B195" s="1">
        <v>1</v>
      </c>
      <c r="C195" s="1" t="s">
        <v>418</v>
      </c>
      <c r="D195" s="13">
        <v>38687</v>
      </c>
      <c r="E195" s="1">
        <f t="shared" si="54"/>
        <v>3414</v>
      </c>
      <c r="F195" s="1"/>
      <c r="G195" s="13">
        <v>40974</v>
      </c>
      <c r="H195" s="13">
        <f t="shared" ref="H195:H204" si="66">G194</f>
        <v>40877</v>
      </c>
      <c r="I195" s="13">
        <v>42101</v>
      </c>
      <c r="J195" s="13"/>
      <c r="K195" s="1">
        <f t="shared" si="49"/>
        <v>2287</v>
      </c>
      <c r="L195" s="1">
        <f t="shared" si="64"/>
        <v>97</v>
      </c>
      <c r="M195" s="1">
        <f t="shared" si="51"/>
        <v>1127</v>
      </c>
      <c r="N195" s="1"/>
      <c r="O195" s="1" t="s">
        <v>417</v>
      </c>
      <c r="P195" s="1">
        <v>5.16</v>
      </c>
      <c r="Q195" s="1">
        <f t="shared" si="57"/>
        <v>1</v>
      </c>
      <c r="R195" s="1">
        <f t="shared" si="58"/>
        <v>1</v>
      </c>
      <c r="S195" s="1">
        <f t="shared" si="59"/>
        <v>1</v>
      </c>
      <c r="T195" s="1">
        <f t="shared" si="60"/>
        <v>1</v>
      </c>
      <c r="U195" s="1" t="s">
        <v>437</v>
      </c>
      <c r="Z195" s="1"/>
      <c r="AA195" s="1">
        <v>0</v>
      </c>
      <c r="AB195" s="1"/>
      <c r="AC195" s="1">
        <v>0</v>
      </c>
      <c r="AD195" s="1">
        <v>0</v>
      </c>
      <c r="AE195" s="1">
        <v>30</v>
      </c>
      <c r="AG195" s="1"/>
      <c r="AH195" s="1"/>
      <c r="AI195" s="1">
        <v>2</v>
      </c>
      <c r="AJ195" s="1">
        <v>0.35</v>
      </c>
      <c r="AK195" s="1"/>
      <c r="AL195" s="1"/>
      <c r="AM195" s="1">
        <v>0</v>
      </c>
    </row>
    <row r="196" spans="1:39" x14ac:dyDescent="0.25">
      <c r="A196" s="208" t="s">
        <v>209</v>
      </c>
      <c r="B196" s="1">
        <v>1</v>
      </c>
      <c r="C196" s="1" t="s">
        <v>418</v>
      </c>
      <c r="D196" s="13">
        <v>38687</v>
      </c>
      <c r="E196" s="1">
        <f t="shared" si="54"/>
        <v>3414</v>
      </c>
      <c r="F196" s="1"/>
      <c r="G196" s="13">
        <v>41170</v>
      </c>
      <c r="H196" s="13">
        <f t="shared" si="66"/>
        <v>40974</v>
      </c>
      <c r="I196" s="13">
        <v>42101</v>
      </c>
      <c r="J196" s="13"/>
      <c r="K196" s="1">
        <f t="shared" si="49"/>
        <v>2483</v>
      </c>
      <c r="L196" s="1">
        <f t="shared" si="64"/>
        <v>196</v>
      </c>
      <c r="M196" s="1">
        <f t="shared" si="51"/>
        <v>931</v>
      </c>
      <c r="N196" s="1"/>
      <c r="O196" s="1" t="s">
        <v>417</v>
      </c>
      <c r="P196" s="1">
        <v>5.15</v>
      </c>
      <c r="Q196" s="1">
        <f t="shared" si="57"/>
        <v>1</v>
      </c>
      <c r="R196" s="1">
        <f t="shared" si="58"/>
        <v>1</v>
      </c>
      <c r="S196" s="1">
        <f t="shared" si="59"/>
        <v>1</v>
      </c>
      <c r="T196" s="1">
        <f t="shared" si="60"/>
        <v>1</v>
      </c>
      <c r="U196" s="1" t="s">
        <v>437</v>
      </c>
      <c r="Z196" s="1"/>
      <c r="AA196" s="1">
        <v>0</v>
      </c>
      <c r="AB196" s="1"/>
      <c r="AC196" s="1">
        <v>0</v>
      </c>
      <c r="AD196" s="1">
        <v>0</v>
      </c>
      <c r="AE196" s="1">
        <v>30</v>
      </c>
      <c r="AG196" s="1"/>
      <c r="AH196" s="1"/>
      <c r="AI196" s="1">
        <v>2</v>
      </c>
      <c r="AJ196" s="1">
        <v>0.35</v>
      </c>
      <c r="AK196" s="1"/>
      <c r="AL196" s="1"/>
      <c r="AM196" s="1">
        <v>0</v>
      </c>
    </row>
    <row r="197" spans="1:39" x14ac:dyDescent="0.25">
      <c r="A197" s="208" t="s">
        <v>209</v>
      </c>
      <c r="B197" s="1">
        <v>1</v>
      </c>
      <c r="C197" s="1" t="s">
        <v>418</v>
      </c>
      <c r="D197" s="13">
        <v>38687</v>
      </c>
      <c r="E197" s="1">
        <f t="shared" si="54"/>
        <v>3414</v>
      </c>
      <c r="F197" s="1"/>
      <c r="G197" s="13">
        <v>41373</v>
      </c>
      <c r="H197" s="13">
        <f t="shared" si="66"/>
        <v>41170</v>
      </c>
      <c r="I197" s="13">
        <v>42101</v>
      </c>
      <c r="J197" s="13"/>
      <c r="K197" s="1">
        <f t="shared" si="49"/>
        <v>2686</v>
      </c>
      <c r="L197" s="1">
        <f t="shared" si="64"/>
        <v>203</v>
      </c>
      <c r="M197" s="1">
        <f t="shared" si="51"/>
        <v>728</v>
      </c>
      <c r="N197" s="1"/>
      <c r="O197" s="1" t="s">
        <v>417</v>
      </c>
      <c r="P197" s="1">
        <v>5.14</v>
      </c>
      <c r="Q197" s="1">
        <f t="shared" si="57"/>
        <v>1</v>
      </c>
      <c r="R197" s="1">
        <f t="shared" si="58"/>
        <v>1</v>
      </c>
      <c r="S197" s="1">
        <f t="shared" si="59"/>
        <v>1</v>
      </c>
      <c r="T197" s="1">
        <f t="shared" si="60"/>
        <v>1</v>
      </c>
      <c r="U197" s="1" t="s">
        <v>437</v>
      </c>
      <c r="Z197" s="1"/>
      <c r="AA197" s="1">
        <v>0</v>
      </c>
      <c r="AB197" s="1"/>
      <c r="AC197" s="1">
        <v>0</v>
      </c>
      <c r="AD197" s="1">
        <v>0</v>
      </c>
      <c r="AE197" s="1">
        <v>30</v>
      </c>
      <c r="AG197" s="1"/>
      <c r="AH197" s="1"/>
      <c r="AI197" s="1">
        <v>2</v>
      </c>
      <c r="AJ197" s="1">
        <v>0.35</v>
      </c>
      <c r="AK197" s="1"/>
      <c r="AL197" s="1"/>
      <c r="AM197" s="1">
        <v>0</v>
      </c>
    </row>
    <row r="198" spans="1:39" x14ac:dyDescent="0.25">
      <c r="A198" s="208" t="s">
        <v>209</v>
      </c>
      <c r="B198" s="1">
        <v>1</v>
      </c>
      <c r="C198" s="1" t="s">
        <v>418</v>
      </c>
      <c r="D198" s="13">
        <v>38687</v>
      </c>
      <c r="E198" s="1">
        <f t="shared" si="54"/>
        <v>3414</v>
      </c>
      <c r="F198" s="1"/>
      <c r="G198" s="13">
        <v>41478</v>
      </c>
      <c r="H198" s="13">
        <f t="shared" si="66"/>
        <v>41373</v>
      </c>
      <c r="I198" s="13">
        <v>42101</v>
      </c>
      <c r="J198" s="13"/>
      <c r="K198" s="1">
        <f t="shared" si="49"/>
        <v>2791</v>
      </c>
      <c r="L198" s="1">
        <f t="shared" si="64"/>
        <v>105</v>
      </c>
      <c r="M198" s="1">
        <f t="shared" si="51"/>
        <v>623</v>
      </c>
      <c r="N198" s="1"/>
      <c r="O198" s="1" t="s">
        <v>417</v>
      </c>
      <c r="P198" s="1">
        <v>5.14</v>
      </c>
      <c r="Q198" s="1">
        <f t="shared" si="57"/>
        <v>1</v>
      </c>
      <c r="R198" s="1">
        <f t="shared" si="58"/>
        <v>1</v>
      </c>
      <c r="S198" s="1">
        <f t="shared" si="59"/>
        <v>1</v>
      </c>
      <c r="T198" s="1">
        <f t="shared" si="60"/>
        <v>1</v>
      </c>
      <c r="U198" s="1" t="s">
        <v>437</v>
      </c>
      <c r="Z198" s="1"/>
      <c r="AA198" s="1">
        <v>0</v>
      </c>
      <c r="AB198" s="1"/>
      <c r="AC198" s="1">
        <v>0</v>
      </c>
      <c r="AD198" s="1">
        <v>0</v>
      </c>
      <c r="AE198" s="1">
        <v>30</v>
      </c>
      <c r="AG198" s="1"/>
      <c r="AH198" s="1"/>
      <c r="AI198" s="1">
        <v>2</v>
      </c>
      <c r="AJ198" s="1">
        <v>0.35</v>
      </c>
      <c r="AK198" s="1"/>
      <c r="AL198" s="1"/>
      <c r="AM198" s="1">
        <v>0</v>
      </c>
    </row>
    <row r="199" spans="1:39" x14ac:dyDescent="0.25">
      <c r="A199" s="208" t="s">
        <v>209</v>
      </c>
      <c r="B199" s="1">
        <v>1</v>
      </c>
      <c r="C199" s="1" t="s">
        <v>418</v>
      </c>
      <c r="D199" s="13">
        <v>38687</v>
      </c>
      <c r="E199" s="1">
        <f t="shared" si="54"/>
        <v>3414</v>
      </c>
      <c r="F199" s="1"/>
      <c r="G199" s="13">
        <v>41624</v>
      </c>
      <c r="H199" s="13">
        <f t="shared" si="66"/>
        <v>41478</v>
      </c>
      <c r="I199" s="13">
        <v>42101</v>
      </c>
      <c r="J199" s="13"/>
      <c r="K199" s="1">
        <f t="shared" si="49"/>
        <v>2937</v>
      </c>
      <c r="L199" s="1">
        <f t="shared" si="64"/>
        <v>146</v>
      </c>
      <c r="M199" s="1">
        <f t="shared" si="51"/>
        <v>477</v>
      </c>
      <c r="N199" s="1"/>
      <c r="O199" s="1" t="s">
        <v>417</v>
      </c>
      <c r="P199" s="1">
        <v>5.1100000000000003</v>
      </c>
      <c r="Q199" s="1"/>
      <c r="R199" s="1">
        <f t="shared" si="58"/>
        <v>1</v>
      </c>
      <c r="S199" s="1">
        <f t="shared" si="59"/>
        <v>1</v>
      </c>
      <c r="T199" s="1">
        <f t="shared" si="60"/>
        <v>1</v>
      </c>
      <c r="U199" s="1"/>
      <c r="Z199" s="1"/>
      <c r="AA199" s="1">
        <v>0</v>
      </c>
      <c r="AB199" s="1"/>
      <c r="AC199" s="1">
        <v>0</v>
      </c>
      <c r="AD199" s="1">
        <v>0</v>
      </c>
      <c r="AE199" s="1">
        <v>30</v>
      </c>
      <c r="AG199" s="1"/>
      <c r="AH199" s="1"/>
      <c r="AI199" s="1">
        <v>2</v>
      </c>
      <c r="AJ199" s="1">
        <v>0.35</v>
      </c>
      <c r="AK199" s="1"/>
      <c r="AL199" s="1"/>
      <c r="AM199" s="1">
        <v>0</v>
      </c>
    </row>
    <row r="200" spans="1:39" x14ac:dyDescent="0.25">
      <c r="A200" s="208" t="s">
        <v>209</v>
      </c>
      <c r="B200" s="1">
        <v>1</v>
      </c>
      <c r="C200" s="1" t="s">
        <v>418</v>
      </c>
      <c r="D200" s="13">
        <v>38687</v>
      </c>
      <c r="E200" s="1">
        <f t="shared" si="54"/>
        <v>3414</v>
      </c>
      <c r="F200" s="1"/>
      <c r="G200" s="13">
        <v>41736</v>
      </c>
      <c r="H200" s="13">
        <f t="shared" si="66"/>
        <v>41624</v>
      </c>
      <c r="I200" s="13">
        <v>42101</v>
      </c>
      <c r="J200" s="13"/>
      <c r="K200" s="1">
        <f t="shared" si="49"/>
        <v>3049</v>
      </c>
      <c r="L200" s="1">
        <f t="shared" si="64"/>
        <v>112</v>
      </c>
      <c r="M200" s="1">
        <f t="shared" si="51"/>
        <v>365</v>
      </c>
      <c r="N200" s="1"/>
      <c r="O200" s="1" t="s">
        <v>417</v>
      </c>
      <c r="P200" s="1">
        <v>5.05</v>
      </c>
      <c r="Q200" s="1"/>
      <c r="R200" s="1">
        <f t="shared" si="58"/>
        <v>1</v>
      </c>
      <c r="S200" s="1">
        <f t="shared" si="59"/>
        <v>1</v>
      </c>
      <c r="T200" s="1">
        <f t="shared" si="60"/>
        <v>1</v>
      </c>
      <c r="U200" s="1"/>
      <c r="Z200" s="1"/>
      <c r="AA200" s="1">
        <v>0</v>
      </c>
      <c r="AB200" s="1"/>
      <c r="AC200" s="1">
        <v>0</v>
      </c>
      <c r="AD200" s="1">
        <v>0</v>
      </c>
      <c r="AE200" s="1">
        <v>30</v>
      </c>
      <c r="AG200" s="1"/>
      <c r="AH200" s="1"/>
      <c r="AI200" s="1">
        <v>2</v>
      </c>
      <c r="AJ200" s="1">
        <v>0.35</v>
      </c>
      <c r="AK200" s="1"/>
      <c r="AL200" s="1"/>
      <c r="AM200" s="1">
        <v>0</v>
      </c>
    </row>
    <row r="201" spans="1:39" x14ac:dyDescent="0.25">
      <c r="A201" s="208" t="s">
        <v>209</v>
      </c>
      <c r="B201" s="1">
        <v>1</v>
      </c>
      <c r="C201" s="1" t="s">
        <v>418</v>
      </c>
      <c r="D201" s="13">
        <v>38687</v>
      </c>
      <c r="E201" s="1">
        <f t="shared" si="54"/>
        <v>3414</v>
      </c>
      <c r="F201" s="1"/>
      <c r="G201" s="13">
        <v>41803</v>
      </c>
      <c r="H201" s="13">
        <f t="shared" si="66"/>
        <v>41736</v>
      </c>
      <c r="I201" s="13">
        <v>42101</v>
      </c>
      <c r="J201" s="13"/>
      <c r="K201" s="1">
        <f t="shared" si="49"/>
        <v>3116</v>
      </c>
      <c r="L201" s="1">
        <f t="shared" si="64"/>
        <v>67</v>
      </c>
      <c r="M201" s="1">
        <f t="shared" si="51"/>
        <v>298</v>
      </c>
      <c r="N201" s="1"/>
      <c r="O201" s="1" t="s">
        <v>417</v>
      </c>
      <c r="P201" s="1">
        <v>5</v>
      </c>
      <c r="Q201" s="1"/>
      <c r="R201" s="1"/>
      <c r="S201" s="1">
        <f t="shared" si="59"/>
        <v>1</v>
      </c>
      <c r="T201" s="1">
        <f t="shared" si="60"/>
        <v>1</v>
      </c>
      <c r="U201" s="1"/>
      <c r="Z201" s="1"/>
      <c r="AA201" s="1">
        <v>0</v>
      </c>
      <c r="AB201" s="1"/>
      <c r="AC201" s="1">
        <v>0</v>
      </c>
      <c r="AD201" s="1">
        <v>0</v>
      </c>
      <c r="AE201" s="1">
        <v>30</v>
      </c>
      <c r="AG201" s="1"/>
      <c r="AH201" s="1"/>
      <c r="AI201" s="1">
        <v>2</v>
      </c>
      <c r="AJ201" s="1">
        <v>0.35</v>
      </c>
      <c r="AK201" s="1"/>
      <c r="AL201" s="1"/>
      <c r="AM201" s="1">
        <v>0</v>
      </c>
    </row>
    <row r="202" spans="1:39" x14ac:dyDescent="0.25">
      <c r="A202" s="208" t="s">
        <v>209</v>
      </c>
      <c r="B202" s="1">
        <v>1</v>
      </c>
      <c r="C202" s="1" t="s">
        <v>418</v>
      </c>
      <c r="D202" s="13">
        <v>38687</v>
      </c>
      <c r="E202" s="1">
        <f t="shared" ref="E202:E265" si="67">I202-D202</f>
        <v>3414</v>
      </c>
      <c r="F202" s="1"/>
      <c r="G202" s="13">
        <v>41870</v>
      </c>
      <c r="H202" s="13">
        <f t="shared" si="66"/>
        <v>41803</v>
      </c>
      <c r="I202" s="13">
        <v>42101</v>
      </c>
      <c r="J202" s="13"/>
      <c r="K202" s="1">
        <f t="shared" si="49"/>
        <v>3183</v>
      </c>
      <c r="L202" s="1">
        <f t="shared" si="64"/>
        <v>67</v>
      </c>
      <c r="M202" s="1">
        <f t="shared" si="51"/>
        <v>231</v>
      </c>
      <c r="N202" s="1"/>
      <c r="O202" s="1" t="s">
        <v>417</v>
      </c>
      <c r="P202" s="1">
        <v>4.88</v>
      </c>
      <c r="Q202" s="1"/>
      <c r="R202" s="1"/>
      <c r="S202" s="1">
        <f t="shared" si="59"/>
        <v>1</v>
      </c>
      <c r="T202" s="1">
        <f t="shared" si="60"/>
        <v>1</v>
      </c>
      <c r="U202" s="1"/>
      <c r="Z202" s="1"/>
      <c r="AA202" s="1">
        <v>0</v>
      </c>
      <c r="AB202" s="1"/>
      <c r="AC202" s="1">
        <v>0</v>
      </c>
      <c r="AD202" s="1">
        <v>0</v>
      </c>
      <c r="AE202" s="1">
        <v>30</v>
      </c>
      <c r="AG202" s="1"/>
      <c r="AH202" s="1"/>
      <c r="AI202" s="1">
        <v>2</v>
      </c>
      <c r="AJ202" s="1">
        <v>0.35</v>
      </c>
      <c r="AK202" s="1"/>
      <c r="AL202" s="1"/>
      <c r="AM202" s="1">
        <v>0</v>
      </c>
    </row>
    <row r="203" spans="1:39" x14ac:dyDescent="0.25">
      <c r="A203" s="208" t="s">
        <v>209</v>
      </c>
      <c r="B203" s="1">
        <v>1</v>
      </c>
      <c r="C203" s="1" t="s">
        <v>418</v>
      </c>
      <c r="D203" s="13">
        <v>38687</v>
      </c>
      <c r="E203" s="1">
        <f t="shared" si="67"/>
        <v>3414</v>
      </c>
      <c r="F203" s="1"/>
      <c r="G203" s="13">
        <v>41968</v>
      </c>
      <c r="H203" s="13">
        <f t="shared" si="66"/>
        <v>41870</v>
      </c>
      <c r="I203" s="13">
        <v>42101</v>
      </c>
      <c r="J203" s="13"/>
      <c r="K203" s="1">
        <f t="shared" si="49"/>
        <v>3281</v>
      </c>
      <c r="L203" s="1">
        <f t="shared" si="64"/>
        <v>98</v>
      </c>
      <c r="M203" s="1">
        <f t="shared" si="51"/>
        <v>133</v>
      </c>
      <c r="N203" s="1"/>
      <c r="O203" s="1" t="s">
        <v>434</v>
      </c>
      <c r="P203" s="1">
        <v>4.6900000000000004</v>
      </c>
      <c r="Q203" s="1"/>
      <c r="R203" s="1"/>
      <c r="S203" s="1"/>
      <c r="T203" s="1">
        <f t="shared" si="60"/>
        <v>1</v>
      </c>
      <c r="U203" s="1"/>
      <c r="V203">
        <v>0</v>
      </c>
      <c r="W203">
        <v>0</v>
      </c>
      <c r="X203">
        <v>0</v>
      </c>
      <c r="Y203">
        <v>1</v>
      </c>
      <c r="Z203" s="1"/>
      <c r="AA203" s="1">
        <v>0</v>
      </c>
      <c r="AB203" s="1"/>
      <c r="AC203" s="1">
        <v>0</v>
      </c>
      <c r="AD203" s="1">
        <v>1</v>
      </c>
      <c r="AE203" s="1">
        <v>30</v>
      </c>
      <c r="AG203" s="1"/>
      <c r="AH203" s="1"/>
      <c r="AI203" s="1">
        <v>2</v>
      </c>
      <c r="AJ203" s="1">
        <v>0.35</v>
      </c>
      <c r="AK203" s="1"/>
      <c r="AL203" s="1"/>
      <c r="AM203" s="1">
        <v>0</v>
      </c>
    </row>
    <row r="204" spans="1:39" x14ac:dyDescent="0.25">
      <c r="A204" s="208" t="s">
        <v>209</v>
      </c>
      <c r="B204" s="1">
        <v>1</v>
      </c>
      <c r="C204" s="1" t="s">
        <v>418</v>
      </c>
      <c r="D204" s="13">
        <v>38687</v>
      </c>
      <c r="E204" s="1">
        <f t="shared" si="67"/>
        <v>3414</v>
      </c>
      <c r="F204" s="1"/>
      <c r="G204" s="13">
        <v>42101</v>
      </c>
      <c r="H204" s="13">
        <f t="shared" si="66"/>
        <v>41968</v>
      </c>
      <c r="I204" s="13">
        <v>42101</v>
      </c>
      <c r="J204" s="13"/>
      <c r="K204" s="1">
        <f t="shared" si="49"/>
        <v>3414</v>
      </c>
      <c r="L204" s="1">
        <f t="shared" si="64"/>
        <v>133</v>
      </c>
      <c r="M204" s="1">
        <f t="shared" si="51"/>
        <v>0</v>
      </c>
      <c r="N204" s="1"/>
      <c r="O204" s="1" t="s">
        <v>434</v>
      </c>
      <c r="P204" s="1">
        <v>4.4800000000000004</v>
      </c>
      <c r="Q204" s="1"/>
      <c r="R204" s="1"/>
      <c r="S204" s="1"/>
      <c r="T204" s="1"/>
      <c r="U204" s="1"/>
      <c r="Z204" s="1"/>
      <c r="AA204" s="1">
        <v>0</v>
      </c>
      <c r="AB204" s="1"/>
      <c r="AC204" s="1">
        <v>0</v>
      </c>
      <c r="AD204" s="1">
        <v>2</v>
      </c>
      <c r="AE204" s="1">
        <v>30</v>
      </c>
      <c r="AG204" s="1"/>
      <c r="AH204" s="1"/>
      <c r="AI204" s="1">
        <v>2</v>
      </c>
      <c r="AJ204" s="1">
        <v>0.35</v>
      </c>
      <c r="AK204" s="1"/>
      <c r="AL204" s="1"/>
      <c r="AM204" s="1">
        <v>0</v>
      </c>
    </row>
    <row r="205" spans="1:39" x14ac:dyDescent="0.25">
      <c r="A205" s="209" t="s">
        <v>433</v>
      </c>
      <c r="B205" s="1">
        <v>2</v>
      </c>
      <c r="C205" s="1" t="s">
        <v>418</v>
      </c>
      <c r="D205" s="13">
        <v>39833</v>
      </c>
      <c r="E205" s="1">
        <f t="shared" si="67"/>
        <v>2079</v>
      </c>
      <c r="F205" s="1"/>
      <c r="G205" s="13">
        <v>40687</v>
      </c>
      <c r="H205" s="13">
        <v>39833</v>
      </c>
      <c r="I205" s="13">
        <v>41912</v>
      </c>
      <c r="J205" s="13"/>
      <c r="K205" s="1">
        <f t="shared" si="49"/>
        <v>854</v>
      </c>
      <c r="L205" s="1">
        <f t="shared" si="64"/>
        <v>854</v>
      </c>
      <c r="M205" s="1">
        <f t="shared" si="51"/>
        <v>1225</v>
      </c>
      <c r="N205" s="1"/>
      <c r="O205" s="1" t="s">
        <v>417</v>
      </c>
      <c r="P205" s="1">
        <v>6.37</v>
      </c>
      <c r="Q205" s="1">
        <f t="shared" si="57"/>
        <v>1</v>
      </c>
      <c r="R205" s="1">
        <f t="shared" si="58"/>
        <v>1</v>
      </c>
      <c r="S205" s="1">
        <f t="shared" si="59"/>
        <v>1</v>
      </c>
      <c r="T205" s="1">
        <f t="shared" si="60"/>
        <v>1</v>
      </c>
      <c r="U205" s="1" t="s">
        <v>437</v>
      </c>
      <c r="V205" s="1"/>
      <c r="W205" s="1"/>
      <c r="X205" s="1"/>
      <c r="Y205" s="1"/>
      <c r="Z205" s="1">
        <v>0</v>
      </c>
      <c r="AA205" s="1">
        <v>0</v>
      </c>
      <c r="AB205" s="1"/>
      <c r="AC205" s="1">
        <v>0</v>
      </c>
      <c r="AD205" s="1">
        <v>0</v>
      </c>
      <c r="AE205" s="1">
        <v>60</v>
      </c>
      <c r="AF205" s="1" t="s">
        <v>417</v>
      </c>
      <c r="AG205" s="1">
        <v>2.5</v>
      </c>
      <c r="AH205" s="1">
        <v>0.35</v>
      </c>
      <c r="AI205" s="1">
        <v>2.5</v>
      </c>
      <c r="AJ205" s="1">
        <v>0.35</v>
      </c>
      <c r="AK205" s="1"/>
      <c r="AL205" s="1"/>
      <c r="AM205" s="1">
        <v>0</v>
      </c>
    </row>
    <row r="206" spans="1:39" x14ac:dyDescent="0.25">
      <c r="A206" s="209" t="s">
        <v>433</v>
      </c>
      <c r="B206" s="1">
        <v>2</v>
      </c>
      <c r="C206" s="1" t="s">
        <v>418</v>
      </c>
      <c r="D206" s="13">
        <v>39833</v>
      </c>
      <c r="E206" s="1">
        <f t="shared" si="67"/>
        <v>2079</v>
      </c>
      <c r="F206" s="1"/>
      <c r="G206" s="13">
        <v>40890</v>
      </c>
      <c r="H206" s="13">
        <f>G205</f>
        <v>40687</v>
      </c>
      <c r="I206" s="13">
        <v>41912</v>
      </c>
      <c r="J206" s="13"/>
      <c r="K206" s="1">
        <f t="shared" si="49"/>
        <v>1057</v>
      </c>
      <c r="L206" s="1">
        <f t="shared" si="64"/>
        <v>203</v>
      </c>
      <c r="M206" s="1">
        <f t="shared" si="51"/>
        <v>1022</v>
      </c>
      <c r="N206" s="1"/>
      <c r="O206" s="1" t="s">
        <v>417</v>
      </c>
      <c r="P206" s="1">
        <v>6.29</v>
      </c>
      <c r="Q206" s="1">
        <f t="shared" si="57"/>
        <v>1</v>
      </c>
      <c r="R206" s="1">
        <f t="shared" si="58"/>
        <v>1</v>
      </c>
      <c r="S206" s="1">
        <f t="shared" si="59"/>
        <v>1</v>
      </c>
      <c r="T206" s="1">
        <f t="shared" si="60"/>
        <v>1</v>
      </c>
      <c r="U206" s="1" t="s">
        <v>437</v>
      </c>
      <c r="V206" s="1"/>
      <c r="W206" s="1"/>
      <c r="X206" s="1"/>
      <c r="Y206" s="1"/>
      <c r="Z206" s="1">
        <v>0</v>
      </c>
      <c r="AA206" s="1">
        <v>0</v>
      </c>
      <c r="AB206" s="1"/>
      <c r="AC206" s="1">
        <v>0</v>
      </c>
      <c r="AD206" s="1">
        <v>0</v>
      </c>
      <c r="AE206" s="1">
        <v>60</v>
      </c>
      <c r="AF206" s="1" t="s">
        <v>417</v>
      </c>
      <c r="AG206" s="1">
        <v>2.5</v>
      </c>
      <c r="AH206" s="1">
        <v>0.35</v>
      </c>
      <c r="AI206" s="1">
        <v>2.5</v>
      </c>
      <c r="AJ206" s="1">
        <v>0.35</v>
      </c>
      <c r="AK206" s="1"/>
      <c r="AL206" s="1"/>
      <c r="AM206" s="1">
        <v>0</v>
      </c>
    </row>
    <row r="207" spans="1:39" x14ac:dyDescent="0.25">
      <c r="A207" s="209" t="s">
        <v>433</v>
      </c>
      <c r="B207" s="1">
        <v>2</v>
      </c>
      <c r="C207" s="1" t="s">
        <v>418</v>
      </c>
      <c r="D207" s="13">
        <v>39833</v>
      </c>
      <c r="E207" s="1">
        <f t="shared" si="67"/>
        <v>2079</v>
      </c>
      <c r="F207" s="1"/>
      <c r="G207" s="13">
        <v>41168</v>
      </c>
      <c r="H207" s="13">
        <f t="shared" ref="H207:H211" si="68">G206</f>
        <v>40890</v>
      </c>
      <c r="I207" s="13">
        <v>41912</v>
      </c>
      <c r="J207" s="13"/>
      <c r="K207" s="1">
        <f t="shared" si="49"/>
        <v>1335</v>
      </c>
      <c r="L207" s="1">
        <f t="shared" si="64"/>
        <v>278</v>
      </c>
      <c r="M207" s="1">
        <f t="shared" si="51"/>
        <v>744</v>
      </c>
      <c r="N207" s="1"/>
      <c r="O207" s="1" t="s">
        <v>417</v>
      </c>
      <c r="P207" s="1">
        <v>6.13</v>
      </c>
      <c r="Q207" s="1">
        <f t="shared" si="57"/>
        <v>1</v>
      </c>
      <c r="R207" s="1">
        <f t="shared" si="58"/>
        <v>1</v>
      </c>
      <c r="S207" s="1">
        <f t="shared" si="59"/>
        <v>1</v>
      </c>
      <c r="T207" s="1">
        <f t="shared" si="60"/>
        <v>1</v>
      </c>
      <c r="U207" s="1" t="s">
        <v>437</v>
      </c>
      <c r="V207" s="1"/>
      <c r="W207" s="1"/>
      <c r="X207" s="1"/>
      <c r="Y207" s="1"/>
      <c r="Z207" s="1">
        <v>0</v>
      </c>
      <c r="AA207" s="1">
        <v>0</v>
      </c>
      <c r="AB207" s="1"/>
      <c r="AC207" s="1">
        <v>0</v>
      </c>
      <c r="AD207" s="1">
        <v>0</v>
      </c>
      <c r="AE207" s="1">
        <v>60</v>
      </c>
      <c r="AF207" s="1" t="s">
        <v>417</v>
      </c>
      <c r="AG207" s="1">
        <v>2.5</v>
      </c>
      <c r="AH207" s="1">
        <v>0.35</v>
      </c>
      <c r="AI207" s="1">
        <v>2.5</v>
      </c>
      <c r="AJ207" s="1">
        <v>0.35</v>
      </c>
      <c r="AK207" s="1"/>
      <c r="AL207" s="1"/>
      <c r="AM207" s="1">
        <v>0</v>
      </c>
    </row>
    <row r="208" spans="1:39" x14ac:dyDescent="0.25">
      <c r="A208" s="209" t="s">
        <v>433</v>
      </c>
      <c r="B208" s="1">
        <v>2</v>
      </c>
      <c r="C208" s="1" t="s">
        <v>418</v>
      </c>
      <c r="D208" s="13">
        <v>39833</v>
      </c>
      <c r="E208" s="1">
        <f t="shared" si="67"/>
        <v>2079</v>
      </c>
      <c r="F208" s="1"/>
      <c r="G208" s="13">
        <v>41324</v>
      </c>
      <c r="H208" s="13">
        <f t="shared" si="68"/>
        <v>41168</v>
      </c>
      <c r="I208" s="13">
        <v>41912</v>
      </c>
      <c r="J208" s="13"/>
      <c r="K208" s="1">
        <f t="shared" si="49"/>
        <v>1491</v>
      </c>
      <c r="L208" s="1">
        <f t="shared" si="64"/>
        <v>156</v>
      </c>
      <c r="M208" s="1">
        <f t="shared" si="51"/>
        <v>588</v>
      </c>
      <c r="N208" s="1"/>
      <c r="O208" s="1" t="s">
        <v>417</v>
      </c>
      <c r="P208" s="1">
        <v>5.85</v>
      </c>
      <c r="Q208" s="1">
        <f t="shared" si="57"/>
        <v>1</v>
      </c>
      <c r="R208" s="1">
        <f t="shared" si="58"/>
        <v>1</v>
      </c>
      <c r="S208" s="1">
        <f t="shared" si="59"/>
        <v>1</v>
      </c>
      <c r="T208" s="1">
        <f t="shared" si="60"/>
        <v>1</v>
      </c>
      <c r="U208" s="1" t="s">
        <v>437</v>
      </c>
      <c r="V208" s="1"/>
      <c r="W208" s="1"/>
      <c r="X208" s="1"/>
      <c r="Y208" s="1"/>
      <c r="Z208" s="1">
        <v>0</v>
      </c>
      <c r="AA208" s="1">
        <v>0</v>
      </c>
      <c r="AB208" s="1"/>
      <c r="AC208" s="1">
        <v>0</v>
      </c>
      <c r="AD208" s="1">
        <v>0</v>
      </c>
      <c r="AE208" s="1">
        <v>60</v>
      </c>
      <c r="AF208" s="1" t="s">
        <v>417</v>
      </c>
      <c r="AG208" s="1">
        <v>2.5</v>
      </c>
      <c r="AH208" s="1">
        <v>0.35</v>
      </c>
      <c r="AI208" s="1">
        <v>2.5</v>
      </c>
      <c r="AJ208" s="1">
        <v>0.35</v>
      </c>
      <c r="AK208" s="1"/>
      <c r="AL208" s="1"/>
      <c r="AM208" s="1">
        <v>0</v>
      </c>
    </row>
    <row r="209" spans="1:39" x14ac:dyDescent="0.25">
      <c r="A209" s="209" t="s">
        <v>433</v>
      </c>
      <c r="B209" s="1">
        <v>2</v>
      </c>
      <c r="C209" s="1" t="s">
        <v>418</v>
      </c>
      <c r="D209" s="13">
        <v>39833</v>
      </c>
      <c r="E209" s="1">
        <f t="shared" si="67"/>
        <v>2079</v>
      </c>
      <c r="F209" s="1"/>
      <c r="G209" s="13">
        <v>41478</v>
      </c>
      <c r="H209" s="13">
        <f t="shared" si="68"/>
        <v>41324</v>
      </c>
      <c r="I209" s="13">
        <v>41912</v>
      </c>
      <c r="J209" s="13"/>
      <c r="K209" s="1">
        <f t="shared" si="49"/>
        <v>1645</v>
      </c>
      <c r="L209" s="1">
        <f t="shared" si="64"/>
        <v>154</v>
      </c>
      <c r="M209" s="1">
        <f t="shared" si="51"/>
        <v>434</v>
      </c>
      <c r="N209" s="1"/>
      <c r="O209" s="1" t="s">
        <v>417</v>
      </c>
      <c r="P209" s="1">
        <v>5.55</v>
      </c>
      <c r="Q209" s="1"/>
      <c r="R209" s="1">
        <f t="shared" si="58"/>
        <v>1</v>
      </c>
      <c r="S209" s="1">
        <f t="shared" si="59"/>
        <v>1</v>
      </c>
      <c r="T209" s="1">
        <f t="shared" si="60"/>
        <v>1</v>
      </c>
      <c r="U209" s="1"/>
      <c r="V209" s="1"/>
      <c r="W209" s="1"/>
      <c r="X209" s="1"/>
      <c r="Y209" s="1"/>
      <c r="Z209" s="1">
        <v>0</v>
      </c>
      <c r="AA209" s="1">
        <v>0</v>
      </c>
      <c r="AB209" s="1"/>
      <c r="AC209" s="1">
        <v>0</v>
      </c>
      <c r="AD209" s="1">
        <v>0</v>
      </c>
      <c r="AE209" s="1">
        <v>60</v>
      </c>
      <c r="AF209" s="1" t="s">
        <v>417</v>
      </c>
      <c r="AG209" s="1">
        <v>2.5</v>
      </c>
      <c r="AH209" s="1">
        <v>0.35</v>
      </c>
      <c r="AI209" s="1">
        <v>2.5</v>
      </c>
      <c r="AJ209" s="1">
        <v>0.35</v>
      </c>
      <c r="AK209" s="1"/>
      <c r="AL209" s="1"/>
      <c r="AM209" s="1">
        <v>0</v>
      </c>
    </row>
    <row r="210" spans="1:39" x14ac:dyDescent="0.25">
      <c r="A210" s="209" t="s">
        <v>433</v>
      </c>
      <c r="B210" s="1">
        <v>2</v>
      </c>
      <c r="C210" s="1" t="s">
        <v>418</v>
      </c>
      <c r="D210" s="13">
        <v>39833</v>
      </c>
      <c r="E210" s="1">
        <f t="shared" si="67"/>
        <v>2079</v>
      </c>
      <c r="F210" s="1"/>
      <c r="G210" s="13">
        <v>41754</v>
      </c>
      <c r="H210" s="13">
        <f t="shared" si="68"/>
        <v>41478</v>
      </c>
      <c r="I210" s="13">
        <v>41912</v>
      </c>
      <c r="J210" s="13"/>
      <c r="K210" s="1">
        <f t="shared" si="49"/>
        <v>1921</v>
      </c>
      <c r="L210" s="1">
        <f t="shared" si="64"/>
        <v>276</v>
      </c>
      <c r="M210" s="1">
        <f t="shared" si="51"/>
        <v>158</v>
      </c>
      <c r="N210" s="1"/>
      <c r="O210" s="1" t="s">
        <v>417</v>
      </c>
      <c r="P210" s="1">
        <v>5.28</v>
      </c>
      <c r="Q210" s="1"/>
      <c r="R210" s="1"/>
      <c r="S210" s="1"/>
      <c r="T210" s="1">
        <f t="shared" si="60"/>
        <v>1</v>
      </c>
      <c r="U210" s="1"/>
      <c r="V210" s="1"/>
      <c r="W210" s="1"/>
      <c r="X210" s="1"/>
      <c r="Y210" s="1"/>
      <c r="Z210" s="1">
        <v>0</v>
      </c>
      <c r="AA210" s="1">
        <v>0</v>
      </c>
      <c r="AB210" s="1"/>
      <c r="AC210" s="1">
        <v>0</v>
      </c>
      <c r="AD210" s="1">
        <v>0</v>
      </c>
      <c r="AE210" s="1">
        <v>60</v>
      </c>
      <c r="AF210" s="1" t="s">
        <v>417</v>
      </c>
      <c r="AG210" s="1">
        <v>2.5</v>
      </c>
      <c r="AH210" s="1">
        <v>0.35</v>
      </c>
      <c r="AI210" s="1">
        <v>2.5</v>
      </c>
      <c r="AJ210" s="1">
        <v>0.35</v>
      </c>
      <c r="AK210" s="1"/>
      <c r="AL210" s="1"/>
      <c r="AM210" s="1">
        <v>0</v>
      </c>
    </row>
    <row r="211" spans="1:39" x14ac:dyDescent="0.25">
      <c r="A211" s="209" t="s">
        <v>433</v>
      </c>
      <c r="B211" s="1">
        <v>2</v>
      </c>
      <c r="C211" s="1" t="s">
        <v>418</v>
      </c>
      <c r="D211" s="13">
        <v>39833</v>
      </c>
      <c r="E211" s="1">
        <f t="shared" si="67"/>
        <v>2079</v>
      </c>
      <c r="F211" s="1"/>
      <c r="G211" s="13">
        <v>41912</v>
      </c>
      <c r="H211" s="13">
        <f t="shared" si="68"/>
        <v>41754</v>
      </c>
      <c r="I211" s="13">
        <v>41912</v>
      </c>
      <c r="J211" s="13"/>
      <c r="K211" s="1">
        <f t="shared" si="49"/>
        <v>2079</v>
      </c>
      <c r="L211" s="1">
        <f t="shared" si="64"/>
        <v>158</v>
      </c>
      <c r="M211" s="1">
        <f t="shared" si="51"/>
        <v>0</v>
      </c>
      <c r="N211" s="1"/>
      <c r="O211" s="1" t="s">
        <v>417</v>
      </c>
      <c r="P211" s="1">
        <v>5.18</v>
      </c>
      <c r="Q211" s="1"/>
      <c r="R211" s="1"/>
      <c r="S211" s="1"/>
      <c r="T211" s="1"/>
      <c r="U211" s="1"/>
      <c r="V211" s="1"/>
      <c r="W211" s="1"/>
      <c r="X211" s="1"/>
      <c r="Y211" s="1"/>
      <c r="Z211" s="1">
        <v>0</v>
      </c>
      <c r="AA211" s="1">
        <v>0</v>
      </c>
      <c r="AB211" s="1"/>
      <c r="AC211" s="1">
        <v>0</v>
      </c>
      <c r="AD211" s="1">
        <v>0</v>
      </c>
      <c r="AE211" s="1">
        <v>60</v>
      </c>
      <c r="AF211" s="1" t="s">
        <v>417</v>
      </c>
      <c r="AG211" s="1">
        <v>2.5</v>
      </c>
      <c r="AH211" s="1">
        <v>0.35</v>
      </c>
      <c r="AI211" s="1">
        <v>2.5</v>
      </c>
      <c r="AJ211" s="1">
        <v>0.35</v>
      </c>
      <c r="AK211" s="1"/>
      <c r="AL211" s="1"/>
      <c r="AM211" s="1">
        <v>0</v>
      </c>
    </row>
    <row r="212" spans="1:39" x14ac:dyDescent="0.25">
      <c r="A212" s="211" t="s">
        <v>211</v>
      </c>
      <c r="B212" s="1">
        <v>2</v>
      </c>
      <c r="C212" s="1" t="s">
        <v>418</v>
      </c>
      <c r="D212" s="13">
        <v>38882</v>
      </c>
      <c r="E212" s="1">
        <f t="shared" si="67"/>
        <v>2441</v>
      </c>
      <c r="F212" s="1"/>
      <c r="G212" s="13">
        <v>40827</v>
      </c>
      <c r="H212" s="13">
        <v>38882</v>
      </c>
      <c r="I212" s="13">
        <v>41323</v>
      </c>
      <c r="J212" s="13"/>
      <c r="K212" s="1">
        <f t="shared" si="49"/>
        <v>1945</v>
      </c>
      <c r="L212" s="1">
        <f t="shared" si="64"/>
        <v>1945</v>
      </c>
      <c r="M212" s="1">
        <f t="shared" si="51"/>
        <v>496</v>
      </c>
      <c r="N212" s="1"/>
      <c r="O212" s="1" t="s">
        <v>417</v>
      </c>
      <c r="P212" s="1">
        <v>5.15</v>
      </c>
      <c r="Q212" s="1"/>
      <c r="R212" s="1">
        <f t="shared" si="58"/>
        <v>1</v>
      </c>
      <c r="S212" s="1">
        <f t="shared" si="59"/>
        <v>1</v>
      </c>
      <c r="T212" s="1">
        <f t="shared" si="60"/>
        <v>1</v>
      </c>
      <c r="U212" s="1"/>
      <c r="V212" s="1"/>
      <c r="W212" s="1"/>
      <c r="X212" s="1"/>
      <c r="Y212" s="1"/>
      <c r="Z212" s="1">
        <v>2</v>
      </c>
      <c r="AA212" s="1">
        <v>0</v>
      </c>
      <c r="AB212" s="1"/>
      <c r="AC212" s="1">
        <v>1</v>
      </c>
      <c r="AD212" s="1">
        <v>0</v>
      </c>
      <c r="AE212" s="1">
        <v>50</v>
      </c>
      <c r="AF212" s="1" t="s">
        <v>417</v>
      </c>
      <c r="AG212" s="1">
        <v>2.5</v>
      </c>
      <c r="AH212" s="1">
        <v>0.35</v>
      </c>
      <c r="AI212" s="1">
        <v>2.5</v>
      </c>
      <c r="AJ212" s="1">
        <v>0.35</v>
      </c>
      <c r="AK212" s="1"/>
      <c r="AL212" s="1"/>
      <c r="AM212" s="1">
        <v>0</v>
      </c>
    </row>
    <row r="213" spans="1:39" x14ac:dyDescent="0.25">
      <c r="A213" s="211" t="s">
        <v>211</v>
      </c>
      <c r="B213" s="1">
        <v>2</v>
      </c>
      <c r="C213" s="1" t="s">
        <v>418</v>
      </c>
      <c r="D213" s="13">
        <v>38882</v>
      </c>
      <c r="E213" s="1">
        <f t="shared" si="67"/>
        <v>2441</v>
      </c>
      <c r="F213" s="1"/>
      <c r="G213" s="13">
        <v>41023</v>
      </c>
      <c r="H213" s="13">
        <f>G212</f>
        <v>40827</v>
      </c>
      <c r="I213" s="13">
        <v>41323</v>
      </c>
      <c r="J213" s="13"/>
      <c r="K213" s="1">
        <f t="shared" si="49"/>
        <v>2141</v>
      </c>
      <c r="L213" s="1">
        <f t="shared" si="64"/>
        <v>196</v>
      </c>
      <c r="M213" s="1">
        <f t="shared" si="51"/>
        <v>300</v>
      </c>
      <c r="N213" s="1"/>
      <c r="O213" s="1" t="s">
        <v>417</v>
      </c>
      <c r="P213" s="1">
        <v>5.15</v>
      </c>
      <c r="Q213" s="1"/>
      <c r="R213" s="1"/>
      <c r="S213" s="1">
        <f t="shared" si="59"/>
        <v>1</v>
      </c>
      <c r="T213" s="1">
        <f t="shared" si="60"/>
        <v>1</v>
      </c>
      <c r="U213" s="1"/>
      <c r="V213" s="1"/>
      <c r="W213" s="1"/>
      <c r="X213" s="1"/>
      <c r="Y213" s="1"/>
      <c r="Z213" s="1">
        <v>2</v>
      </c>
      <c r="AA213" s="1">
        <v>0</v>
      </c>
      <c r="AB213" s="1"/>
      <c r="AC213" s="1">
        <v>0</v>
      </c>
      <c r="AD213" s="1">
        <v>0</v>
      </c>
      <c r="AE213" s="1">
        <v>50</v>
      </c>
      <c r="AF213" s="1" t="s">
        <v>417</v>
      </c>
      <c r="AG213" s="1">
        <v>2.5</v>
      </c>
      <c r="AH213" s="1">
        <v>0.35</v>
      </c>
      <c r="AI213" s="1">
        <v>2.5</v>
      </c>
      <c r="AJ213" s="1">
        <v>0.35</v>
      </c>
      <c r="AK213" s="1"/>
      <c r="AL213" s="1"/>
      <c r="AM213" s="1">
        <v>0</v>
      </c>
    </row>
    <row r="214" spans="1:39" x14ac:dyDescent="0.25">
      <c r="A214" s="211" t="s">
        <v>211</v>
      </c>
      <c r="B214" s="1">
        <v>2</v>
      </c>
      <c r="C214" s="1" t="s">
        <v>418</v>
      </c>
      <c r="D214" s="13">
        <v>38882</v>
      </c>
      <c r="E214" s="1">
        <f t="shared" si="67"/>
        <v>2441</v>
      </c>
      <c r="F214" s="1"/>
      <c r="G214" s="13">
        <v>41212</v>
      </c>
      <c r="H214" s="13">
        <f t="shared" ref="H214:H215" si="69">G213</f>
        <v>41023</v>
      </c>
      <c r="I214" s="13">
        <v>41323</v>
      </c>
      <c r="J214" s="13"/>
      <c r="K214" s="1">
        <f t="shared" si="49"/>
        <v>2330</v>
      </c>
      <c r="L214" s="1">
        <f t="shared" si="64"/>
        <v>189</v>
      </c>
      <c r="M214" s="1">
        <f t="shared" si="51"/>
        <v>111</v>
      </c>
      <c r="N214" s="1"/>
      <c r="O214" s="1" t="s">
        <v>417</v>
      </c>
      <c r="P214" s="1">
        <v>5.13</v>
      </c>
      <c r="Q214" s="1"/>
      <c r="R214" s="1"/>
      <c r="S214" s="1"/>
      <c r="T214" s="1">
        <f t="shared" si="60"/>
        <v>1</v>
      </c>
      <c r="U214" s="1"/>
      <c r="V214" s="1"/>
      <c r="W214" s="1"/>
      <c r="X214" s="1"/>
      <c r="Y214" s="1"/>
      <c r="Z214" s="1">
        <v>1</v>
      </c>
      <c r="AA214" s="1">
        <v>0</v>
      </c>
      <c r="AB214" s="1"/>
      <c r="AC214" s="1">
        <v>0</v>
      </c>
      <c r="AD214" s="1">
        <v>0</v>
      </c>
      <c r="AE214" s="1">
        <v>50</v>
      </c>
      <c r="AF214" s="1" t="s">
        <v>417</v>
      </c>
      <c r="AG214" s="1">
        <v>2.5</v>
      </c>
      <c r="AH214" s="1">
        <v>0.35</v>
      </c>
      <c r="AI214" s="1">
        <v>2.5</v>
      </c>
      <c r="AJ214" s="1">
        <v>0.35</v>
      </c>
      <c r="AK214" s="1"/>
      <c r="AL214" s="1"/>
      <c r="AM214" s="1">
        <v>0</v>
      </c>
    </row>
    <row r="215" spans="1:39" x14ac:dyDescent="0.25">
      <c r="A215" s="211" t="s">
        <v>211</v>
      </c>
      <c r="B215" s="1">
        <v>2</v>
      </c>
      <c r="C215" s="1" t="s">
        <v>418</v>
      </c>
      <c r="D215" s="13">
        <v>38882</v>
      </c>
      <c r="E215" s="1">
        <f t="shared" si="67"/>
        <v>2441</v>
      </c>
      <c r="F215" s="1"/>
      <c r="G215" s="13">
        <v>41323</v>
      </c>
      <c r="H215" s="13">
        <f t="shared" si="69"/>
        <v>41212</v>
      </c>
      <c r="I215" s="13">
        <v>41323</v>
      </c>
      <c r="J215" s="13"/>
      <c r="K215" s="1">
        <f t="shared" si="49"/>
        <v>2441</v>
      </c>
      <c r="L215" s="1">
        <f t="shared" si="64"/>
        <v>111</v>
      </c>
      <c r="M215" s="1">
        <f t="shared" si="51"/>
        <v>0</v>
      </c>
      <c r="N215" s="1"/>
      <c r="O215" s="1" t="s">
        <v>417</v>
      </c>
      <c r="P215" s="1">
        <v>5.07</v>
      </c>
      <c r="Q215" s="1"/>
      <c r="R215" s="1"/>
      <c r="S215" s="1"/>
      <c r="T215" s="1"/>
      <c r="U215" s="1"/>
      <c r="V215" s="1"/>
      <c r="W215" s="1"/>
      <c r="X215" s="1"/>
      <c r="Y215" s="1"/>
      <c r="Z215" s="1">
        <v>5</v>
      </c>
      <c r="AA215" s="1">
        <v>0</v>
      </c>
      <c r="AB215" s="1"/>
      <c r="AC215" s="1">
        <v>0</v>
      </c>
      <c r="AD215" s="1">
        <v>0</v>
      </c>
      <c r="AE215" s="1">
        <v>50</v>
      </c>
      <c r="AF215" s="1" t="s">
        <v>417</v>
      </c>
      <c r="AG215" s="1">
        <v>2.5</v>
      </c>
      <c r="AH215" s="1">
        <v>0.35</v>
      </c>
      <c r="AI215" s="1">
        <v>2.5</v>
      </c>
      <c r="AJ215" s="1">
        <v>0.35</v>
      </c>
      <c r="AK215" s="1"/>
      <c r="AL215" s="1"/>
      <c r="AM215" s="1">
        <v>0</v>
      </c>
    </row>
    <row r="216" spans="1:39" x14ac:dyDescent="0.25">
      <c r="A216" s="213" t="s">
        <v>212</v>
      </c>
      <c r="B216" s="1">
        <v>2</v>
      </c>
      <c r="C216" s="1" t="s">
        <v>418</v>
      </c>
      <c r="D216" s="13">
        <v>38748</v>
      </c>
      <c r="E216" s="1">
        <f t="shared" si="67"/>
        <v>2922</v>
      </c>
      <c r="F216" s="1"/>
      <c r="G216" s="13">
        <v>41162</v>
      </c>
      <c r="H216" s="13">
        <v>38748</v>
      </c>
      <c r="I216" s="13">
        <v>41670</v>
      </c>
      <c r="J216" s="13"/>
      <c r="K216" s="1">
        <f t="shared" si="49"/>
        <v>2414</v>
      </c>
      <c r="L216" s="1">
        <f t="shared" si="64"/>
        <v>2414</v>
      </c>
      <c r="M216" s="1">
        <f t="shared" si="51"/>
        <v>508</v>
      </c>
      <c r="N216" s="1"/>
      <c r="O216" s="1" t="s">
        <v>417</v>
      </c>
      <c r="P216" s="1">
        <v>5.15</v>
      </c>
      <c r="Q216" s="1"/>
      <c r="R216" s="1">
        <f t="shared" ref="R216:R279" si="70">IF(M216&gt;=360,1,"nulo")</f>
        <v>1</v>
      </c>
      <c r="S216" s="1">
        <f t="shared" ref="S216:S279" si="71">IF(M216&gt;=180,1,"nulo")</f>
        <v>1</v>
      </c>
      <c r="T216" s="1">
        <f t="shared" ref="T216:T279" si="72">IF(M216&gt;=90,1,"nulo")</f>
        <v>1</v>
      </c>
      <c r="U216" s="1"/>
      <c r="V216" s="1"/>
      <c r="W216" s="1"/>
      <c r="X216" s="1"/>
      <c r="Y216" s="1"/>
      <c r="Z216" s="1">
        <v>1</v>
      </c>
      <c r="AA216" s="1">
        <v>0</v>
      </c>
      <c r="AB216" s="1"/>
      <c r="AC216" s="1">
        <v>0</v>
      </c>
      <c r="AD216" s="1">
        <v>1</v>
      </c>
      <c r="AE216" s="1">
        <v>45</v>
      </c>
      <c r="AF216" s="1" t="s">
        <v>417</v>
      </c>
      <c r="AG216" s="1">
        <v>2.5</v>
      </c>
      <c r="AH216" s="1">
        <v>0.35</v>
      </c>
      <c r="AI216" s="1">
        <v>2.5</v>
      </c>
      <c r="AJ216" s="1">
        <v>0.35</v>
      </c>
      <c r="AK216" s="1"/>
      <c r="AL216" s="1"/>
      <c r="AM216" s="1">
        <v>0</v>
      </c>
    </row>
    <row r="217" spans="1:39" x14ac:dyDescent="0.25">
      <c r="A217" s="213" t="s">
        <v>212</v>
      </c>
      <c r="B217" s="1">
        <v>2</v>
      </c>
      <c r="C217" s="1" t="s">
        <v>418</v>
      </c>
      <c r="D217" s="13">
        <v>38748</v>
      </c>
      <c r="E217" s="1">
        <f t="shared" si="67"/>
        <v>2922</v>
      </c>
      <c r="F217" s="1"/>
      <c r="G217" s="13">
        <v>41261</v>
      </c>
      <c r="H217" s="13">
        <f>G216</f>
        <v>41162</v>
      </c>
      <c r="I217" s="13">
        <v>41670</v>
      </c>
      <c r="J217" s="13"/>
      <c r="K217" s="1">
        <f t="shared" si="49"/>
        <v>2513</v>
      </c>
      <c r="L217" s="1">
        <f t="shared" si="64"/>
        <v>99</v>
      </c>
      <c r="M217" s="1">
        <f t="shared" si="51"/>
        <v>409</v>
      </c>
      <c r="N217" s="1"/>
      <c r="O217" s="1" t="s">
        <v>417</v>
      </c>
      <c r="P217" s="1">
        <v>5.15</v>
      </c>
      <c r="Q217" s="1"/>
      <c r="R217" s="1">
        <f t="shared" si="70"/>
        <v>1</v>
      </c>
      <c r="S217" s="1">
        <f t="shared" si="71"/>
        <v>1</v>
      </c>
      <c r="T217" s="1">
        <f t="shared" si="72"/>
        <v>1</v>
      </c>
      <c r="U217" s="1"/>
      <c r="V217" s="1"/>
      <c r="W217" s="1"/>
      <c r="X217" s="1"/>
      <c r="Y217" s="1"/>
      <c r="Z217" s="1">
        <v>1</v>
      </c>
      <c r="AA217" s="1">
        <v>0</v>
      </c>
      <c r="AB217" s="1"/>
      <c r="AC217" s="1">
        <v>0</v>
      </c>
      <c r="AD217" s="1">
        <v>1</v>
      </c>
      <c r="AE217" s="1">
        <v>45</v>
      </c>
      <c r="AF217" s="1" t="s">
        <v>417</v>
      </c>
      <c r="AG217" s="1">
        <v>2.5</v>
      </c>
      <c r="AH217" s="1">
        <v>0.35</v>
      </c>
      <c r="AI217" s="1">
        <v>2.5</v>
      </c>
      <c r="AJ217" s="1">
        <v>0.35</v>
      </c>
      <c r="AK217" s="1"/>
      <c r="AL217" s="1"/>
      <c r="AM217" s="1">
        <v>0</v>
      </c>
    </row>
    <row r="218" spans="1:39" x14ac:dyDescent="0.25">
      <c r="A218" s="213" t="s">
        <v>212</v>
      </c>
      <c r="B218" s="1">
        <v>2</v>
      </c>
      <c r="C218" s="1" t="s">
        <v>418</v>
      </c>
      <c r="D218" s="13">
        <v>38748</v>
      </c>
      <c r="E218" s="1">
        <f t="shared" si="67"/>
        <v>2922</v>
      </c>
      <c r="F218" s="1"/>
      <c r="G218" s="13">
        <v>41323</v>
      </c>
      <c r="H218" s="13">
        <f t="shared" ref="H218:H221" si="73">G217</f>
        <v>41261</v>
      </c>
      <c r="I218" s="13">
        <v>41670</v>
      </c>
      <c r="J218" s="13"/>
      <c r="K218" s="1">
        <f t="shared" si="49"/>
        <v>2575</v>
      </c>
      <c r="L218" s="1">
        <f t="shared" si="64"/>
        <v>62</v>
      </c>
      <c r="M218" s="1">
        <f t="shared" si="51"/>
        <v>347</v>
      </c>
      <c r="N218" s="1"/>
      <c r="O218" s="1" t="s">
        <v>417</v>
      </c>
      <c r="P218" s="1">
        <v>5.13</v>
      </c>
      <c r="Q218" s="1"/>
      <c r="R218" s="1"/>
      <c r="S218" s="1">
        <f t="shared" si="71"/>
        <v>1</v>
      </c>
      <c r="T218" s="1">
        <f t="shared" si="72"/>
        <v>1</v>
      </c>
      <c r="U218" s="1"/>
      <c r="V218" s="1"/>
      <c r="W218" s="1"/>
      <c r="X218" s="1"/>
      <c r="Y218" s="1"/>
      <c r="Z218" s="1">
        <v>1</v>
      </c>
      <c r="AA218" s="1">
        <v>0</v>
      </c>
      <c r="AB218" s="1"/>
      <c r="AC218" s="1">
        <v>0</v>
      </c>
      <c r="AD218" s="1">
        <v>0</v>
      </c>
      <c r="AE218" s="1">
        <v>45</v>
      </c>
      <c r="AF218" s="1" t="s">
        <v>417</v>
      </c>
      <c r="AG218" s="1">
        <v>2.5</v>
      </c>
      <c r="AH218" s="1">
        <v>0.35</v>
      </c>
      <c r="AI218" s="1">
        <v>2.5</v>
      </c>
      <c r="AJ218" s="1">
        <v>0.35</v>
      </c>
      <c r="AK218" s="1"/>
      <c r="AL218" s="1"/>
      <c r="AM218" s="1">
        <v>0</v>
      </c>
    </row>
    <row r="219" spans="1:39" x14ac:dyDescent="0.25">
      <c r="A219" s="213" t="s">
        <v>212</v>
      </c>
      <c r="B219" s="1">
        <v>2</v>
      </c>
      <c r="C219" s="1" t="s">
        <v>418</v>
      </c>
      <c r="D219" s="13">
        <v>38748</v>
      </c>
      <c r="E219" s="1">
        <f t="shared" si="67"/>
        <v>2922</v>
      </c>
      <c r="F219" s="1"/>
      <c r="G219" s="13">
        <v>41415</v>
      </c>
      <c r="H219" s="13">
        <f t="shared" si="73"/>
        <v>41323</v>
      </c>
      <c r="I219" s="13">
        <v>41670</v>
      </c>
      <c r="J219" s="13"/>
      <c r="K219" s="1">
        <f t="shared" si="49"/>
        <v>2667</v>
      </c>
      <c r="L219" s="1">
        <f t="shared" si="64"/>
        <v>92</v>
      </c>
      <c r="M219" s="1">
        <f t="shared" si="51"/>
        <v>255</v>
      </c>
      <c r="N219" s="1"/>
      <c r="O219" s="1" t="s">
        <v>417</v>
      </c>
      <c r="P219" s="1">
        <v>5.09</v>
      </c>
      <c r="Q219" s="1"/>
      <c r="R219" s="1"/>
      <c r="S219" s="1">
        <f t="shared" si="71"/>
        <v>1</v>
      </c>
      <c r="T219" s="1">
        <f t="shared" si="72"/>
        <v>1</v>
      </c>
      <c r="U219" s="1"/>
      <c r="V219" s="1"/>
      <c r="W219" s="1"/>
      <c r="X219" s="1"/>
      <c r="Y219" s="1"/>
      <c r="Z219" s="1">
        <v>1</v>
      </c>
      <c r="AA219" s="1">
        <v>0</v>
      </c>
      <c r="AB219" s="1"/>
      <c r="AC219" s="1">
        <v>0</v>
      </c>
      <c r="AD219" s="1">
        <v>0</v>
      </c>
      <c r="AE219" s="1">
        <v>45</v>
      </c>
      <c r="AF219" s="1" t="s">
        <v>417</v>
      </c>
      <c r="AG219" s="1">
        <v>2.5</v>
      </c>
      <c r="AH219" s="1">
        <v>0.35</v>
      </c>
      <c r="AI219" s="1">
        <v>2.5</v>
      </c>
      <c r="AJ219" s="1">
        <v>0.35</v>
      </c>
      <c r="AK219" s="1"/>
      <c r="AL219" s="1"/>
      <c r="AM219" s="1">
        <v>0</v>
      </c>
    </row>
    <row r="220" spans="1:39" x14ac:dyDescent="0.25">
      <c r="A220" s="213" t="s">
        <v>212</v>
      </c>
      <c r="B220" s="1">
        <v>2</v>
      </c>
      <c r="C220" s="1" t="s">
        <v>418</v>
      </c>
      <c r="D220" s="13">
        <v>38748</v>
      </c>
      <c r="E220" s="1">
        <f t="shared" si="67"/>
        <v>2922</v>
      </c>
      <c r="F220" s="1"/>
      <c r="G220" s="13">
        <v>41486</v>
      </c>
      <c r="H220" s="13">
        <f t="shared" si="73"/>
        <v>41415</v>
      </c>
      <c r="I220" s="13">
        <v>41670</v>
      </c>
      <c r="J220" s="13"/>
      <c r="K220" s="1">
        <f t="shared" si="49"/>
        <v>2738</v>
      </c>
      <c r="L220" s="1">
        <f t="shared" si="64"/>
        <v>71</v>
      </c>
      <c r="M220" s="1">
        <f t="shared" si="51"/>
        <v>184</v>
      </c>
      <c r="N220" s="1"/>
      <c r="O220" s="1" t="s">
        <v>417</v>
      </c>
      <c r="P220" s="1">
        <v>5.05</v>
      </c>
      <c r="Q220" s="1"/>
      <c r="R220" s="1"/>
      <c r="S220" s="1">
        <f t="shared" si="71"/>
        <v>1</v>
      </c>
      <c r="T220" s="1">
        <f t="shared" si="72"/>
        <v>1</v>
      </c>
      <c r="U220" s="1"/>
      <c r="V220" s="1"/>
      <c r="W220" s="1"/>
      <c r="X220" s="1"/>
      <c r="Y220" s="1"/>
      <c r="Z220" s="1">
        <v>4</v>
      </c>
      <c r="AA220" s="1">
        <v>0</v>
      </c>
      <c r="AB220" s="1"/>
      <c r="AC220" s="1">
        <v>0</v>
      </c>
      <c r="AD220" s="1">
        <v>0</v>
      </c>
      <c r="AE220" s="1">
        <v>45</v>
      </c>
      <c r="AF220" s="1" t="s">
        <v>417</v>
      </c>
      <c r="AG220" s="1">
        <v>2.5</v>
      </c>
      <c r="AH220" s="1">
        <v>0.35</v>
      </c>
      <c r="AI220" s="1">
        <v>2.5</v>
      </c>
      <c r="AJ220" s="1">
        <v>0.35</v>
      </c>
      <c r="AK220" s="1"/>
      <c r="AL220" s="1"/>
      <c r="AM220" s="1">
        <v>0</v>
      </c>
    </row>
    <row r="221" spans="1:39" x14ac:dyDescent="0.25">
      <c r="A221" s="213" t="s">
        <v>212</v>
      </c>
      <c r="B221" s="1">
        <v>2</v>
      </c>
      <c r="C221" s="1" t="s">
        <v>418</v>
      </c>
      <c r="D221" s="13">
        <v>38748</v>
      </c>
      <c r="E221" s="1">
        <f t="shared" si="67"/>
        <v>2922</v>
      </c>
      <c r="F221" s="1"/>
      <c r="G221" s="13">
        <v>41670</v>
      </c>
      <c r="H221" s="13">
        <f t="shared" si="73"/>
        <v>41486</v>
      </c>
      <c r="I221" s="13">
        <v>41670</v>
      </c>
      <c r="J221" s="13"/>
      <c r="K221" s="1">
        <f t="shared" si="49"/>
        <v>2922</v>
      </c>
      <c r="L221" s="1">
        <f t="shared" si="64"/>
        <v>184</v>
      </c>
      <c r="M221" s="1">
        <f t="shared" si="51"/>
        <v>0</v>
      </c>
      <c r="N221" s="1"/>
      <c r="O221" s="1" t="s">
        <v>434</v>
      </c>
      <c r="P221" s="1">
        <v>4.79</v>
      </c>
      <c r="Q221" s="1"/>
      <c r="R221" s="1"/>
      <c r="S221" s="1"/>
      <c r="T221" s="1"/>
      <c r="U221" s="1"/>
      <c r="V221" s="1">
        <v>0</v>
      </c>
      <c r="W221" s="1">
        <v>0</v>
      </c>
      <c r="X221" s="1">
        <v>1</v>
      </c>
      <c r="Y221" s="1">
        <v>1</v>
      </c>
      <c r="Z221" s="1">
        <v>2</v>
      </c>
      <c r="AA221" s="1">
        <v>0</v>
      </c>
      <c r="AB221" s="1"/>
      <c r="AC221" s="1">
        <v>12</v>
      </c>
      <c r="AD221" s="1">
        <v>0</v>
      </c>
      <c r="AE221" s="1">
        <v>45</v>
      </c>
      <c r="AF221" s="1" t="s">
        <v>417</v>
      </c>
      <c r="AG221" s="1">
        <v>2.5</v>
      </c>
      <c r="AH221" s="1">
        <v>0.35</v>
      </c>
      <c r="AI221" s="1">
        <v>2.5</v>
      </c>
      <c r="AJ221" s="1">
        <v>0.35</v>
      </c>
      <c r="AK221" s="1"/>
      <c r="AL221" s="1"/>
      <c r="AM221" s="1">
        <v>0</v>
      </c>
    </row>
    <row r="222" spans="1:39" x14ac:dyDescent="0.25">
      <c r="A222" s="212" t="s">
        <v>215</v>
      </c>
      <c r="B222" s="1">
        <v>2</v>
      </c>
      <c r="C222" s="1" t="s">
        <v>418</v>
      </c>
      <c r="D222" s="13">
        <v>39868</v>
      </c>
      <c r="E222" s="1">
        <f t="shared" si="67"/>
        <v>2360</v>
      </c>
      <c r="F222" s="1"/>
      <c r="G222" s="13">
        <v>40750</v>
      </c>
      <c r="H222" s="13">
        <v>39868</v>
      </c>
      <c r="I222" s="13">
        <v>42228</v>
      </c>
      <c r="J222" s="13"/>
      <c r="K222" s="1">
        <f t="shared" si="49"/>
        <v>882</v>
      </c>
      <c r="L222" s="1">
        <f t="shared" si="64"/>
        <v>882</v>
      </c>
      <c r="M222" s="1">
        <f t="shared" si="51"/>
        <v>1478</v>
      </c>
      <c r="N222" s="1"/>
      <c r="O222" s="1" t="s">
        <v>417</v>
      </c>
      <c r="P222" s="1">
        <v>6.01</v>
      </c>
      <c r="Q222" s="1">
        <f t="shared" ref="Q222:Q279" si="74">IF(M222&gt;=540,1,"nulo")</f>
        <v>1</v>
      </c>
      <c r="R222" s="1">
        <f t="shared" si="70"/>
        <v>1</v>
      </c>
      <c r="S222" s="1">
        <f t="shared" si="71"/>
        <v>1</v>
      </c>
      <c r="T222" s="1">
        <f t="shared" si="72"/>
        <v>1</v>
      </c>
      <c r="U222" s="1" t="s">
        <v>437</v>
      </c>
      <c r="V222" s="1"/>
      <c r="W222" s="1"/>
      <c r="X222" s="1"/>
      <c r="Y222" s="1"/>
      <c r="Z222" s="1">
        <v>100</v>
      </c>
      <c r="AA222" s="1">
        <v>85</v>
      </c>
      <c r="AB222" s="1"/>
      <c r="AC222" s="1">
        <v>0</v>
      </c>
      <c r="AD222" s="1">
        <v>0</v>
      </c>
      <c r="AE222" s="1">
        <v>60</v>
      </c>
      <c r="AF222" s="1" t="s">
        <v>434</v>
      </c>
      <c r="AG222" s="1">
        <v>3.5</v>
      </c>
      <c r="AH222" s="1">
        <v>0.35</v>
      </c>
      <c r="AI222" s="1">
        <v>3.5</v>
      </c>
      <c r="AJ222" s="1">
        <v>0.35</v>
      </c>
      <c r="AK222" s="1"/>
      <c r="AL222" s="1"/>
      <c r="AM222" s="1">
        <v>0</v>
      </c>
    </row>
    <row r="223" spans="1:39" x14ac:dyDescent="0.25">
      <c r="A223" s="212" t="s">
        <v>215</v>
      </c>
      <c r="B223" s="1">
        <v>2</v>
      </c>
      <c r="C223" s="1" t="s">
        <v>418</v>
      </c>
      <c r="D223" s="13">
        <v>39868</v>
      </c>
      <c r="E223" s="1">
        <f t="shared" si="67"/>
        <v>2360</v>
      </c>
      <c r="F223" s="1"/>
      <c r="G223" s="13">
        <v>40778</v>
      </c>
      <c r="H223" s="13">
        <f>G222</f>
        <v>40750</v>
      </c>
      <c r="I223" s="13">
        <v>42228</v>
      </c>
      <c r="J223" s="13"/>
      <c r="K223" s="1">
        <f t="shared" si="49"/>
        <v>910</v>
      </c>
      <c r="L223" s="1">
        <f t="shared" si="64"/>
        <v>28</v>
      </c>
      <c r="M223" s="1">
        <f t="shared" si="51"/>
        <v>1450</v>
      </c>
      <c r="N223" s="1"/>
      <c r="O223" s="1" t="s">
        <v>417</v>
      </c>
      <c r="P223" s="1">
        <v>6</v>
      </c>
      <c r="Q223" s="1">
        <f t="shared" si="74"/>
        <v>1</v>
      </c>
      <c r="R223" s="1">
        <f t="shared" si="70"/>
        <v>1</v>
      </c>
      <c r="S223" s="1">
        <f t="shared" si="71"/>
        <v>1</v>
      </c>
      <c r="T223" s="1">
        <f t="shared" si="72"/>
        <v>1</v>
      </c>
      <c r="U223" s="1" t="s">
        <v>437</v>
      </c>
      <c r="V223" s="1"/>
      <c r="W223" s="1"/>
      <c r="X223" s="1"/>
      <c r="Y223" s="1"/>
      <c r="Z223" s="1">
        <v>75</v>
      </c>
      <c r="AA223" s="1">
        <v>51</v>
      </c>
      <c r="AB223" s="1"/>
      <c r="AC223" s="1">
        <v>0</v>
      </c>
      <c r="AD223" s="1">
        <v>0</v>
      </c>
      <c r="AE223" s="1">
        <v>60</v>
      </c>
      <c r="AF223" s="1" t="s">
        <v>434</v>
      </c>
      <c r="AG223" s="1">
        <v>3.5</v>
      </c>
      <c r="AH223" s="1">
        <v>0.35</v>
      </c>
      <c r="AI223" s="1">
        <v>3.5</v>
      </c>
      <c r="AJ223" s="1">
        <v>0.35</v>
      </c>
      <c r="AK223" s="1"/>
      <c r="AL223" s="1"/>
      <c r="AM223" s="1">
        <v>0</v>
      </c>
    </row>
    <row r="224" spans="1:39" x14ac:dyDescent="0.25">
      <c r="A224" s="212" t="s">
        <v>215</v>
      </c>
      <c r="B224" s="1">
        <v>2</v>
      </c>
      <c r="C224" s="1" t="s">
        <v>418</v>
      </c>
      <c r="D224" s="13">
        <v>39868</v>
      </c>
      <c r="E224" s="1">
        <f t="shared" si="67"/>
        <v>2360</v>
      </c>
      <c r="F224" s="1"/>
      <c r="G224" s="13">
        <v>40806</v>
      </c>
      <c r="H224" s="13">
        <f t="shared" ref="H224:H233" si="75">G223</f>
        <v>40778</v>
      </c>
      <c r="I224" s="13">
        <v>42228</v>
      </c>
      <c r="J224" s="13"/>
      <c r="K224" s="1">
        <f t="shared" si="49"/>
        <v>938</v>
      </c>
      <c r="L224" s="1">
        <f t="shared" si="64"/>
        <v>28</v>
      </c>
      <c r="M224" s="1">
        <f t="shared" si="51"/>
        <v>1422</v>
      </c>
      <c r="N224" s="1"/>
      <c r="O224" s="1" t="s">
        <v>417</v>
      </c>
      <c r="P224" s="1">
        <v>5.96</v>
      </c>
      <c r="Q224" s="1">
        <f t="shared" si="74"/>
        <v>1</v>
      </c>
      <c r="R224" s="1">
        <f t="shared" si="70"/>
        <v>1</v>
      </c>
      <c r="S224" s="1">
        <f t="shared" si="71"/>
        <v>1</v>
      </c>
      <c r="T224" s="1">
        <f t="shared" si="72"/>
        <v>1</v>
      </c>
      <c r="U224" s="1" t="s">
        <v>437</v>
      </c>
      <c r="V224" s="1"/>
      <c r="W224" s="1"/>
      <c r="X224" s="1"/>
      <c r="Y224" s="1"/>
      <c r="Z224" s="1">
        <v>27</v>
      </c>
      <c r="AA224" s="1">
        <v>8</v>
      </c>
      <c r="AB224" s="1"/>
      <c r="AC224" s="1">
        <v>0</v>
      </c>
      <c r="AD224" s="1">
        <v>0</v>
      </c>
      <c r="AE224" s="1">
        <v>60</v>
      </c>
      <c r="AF224" s="1" t="s">
        <v>434</v>
      </c>
      <c r="AG224" s="1">
        <v>3.5</v>
      </c>
      <c r="AH224" s="1">
        <v>0.35</v>
      </c>
      <c r="AI224" s="1">
        <v>3.5</v>
      </c>
      <c r="AJ224" s="1">
        <v>0.35</v>
      </c>
      <c r="AK224" s="1"/>
      <c r="AL224" s="1"/>
      <c r="AM224" s="1">
        <v>0</v>
      </c>
    </row>
    <row r="225" spans="1:39" x14ac:dyDescent="0.25">
      <c r="A225" s="212" t="s">
        <v>215</v>
      </c>
      <c r="B225" s="1">
        <v>2</v>
      </c>
      <c r="C225" s="1" t="s">
        <v>418</v>
      </c>
      <c r="D225" s="13">
        <v>39868</v>
      </c>
      <c r="E225" s="1">
        <f t="shared" si="67"/>
        <v>2360</v>
      </c>
      <c r="F225" s="1"/>
      <c r="G225" s="13">
        <v>40960</v>
      </c>
      <c r="H225" s="13">
        <f t="shared" si="75"/>
        <v>40806</v>
      </c>
      <c r="I225" s="13">
        <v>42228</v>
      </c>
      <c r="J225" s="13"/>
      <c r="K225" s="1">
        <f t="shared" si="49"/>
        <v>1092</v>
      </c>
      <c r="L225" s="1">
        <f t="shared" si="64"/>
        <v>154</v>
      </c>
      <c r="M225" s="1">
        <f t="shared" si="51"/>
        <v>1268</v>
      </c>
      <c r="N225" s="1"/>
      <c r="O225" s="1" t="s">
        <v>417</v>
      </c>
      <c r="P225" s="1">
        <v>5.79</v>
      </c>
      <c r="Q225" s="1">
        <f t="shared" si="74"/>
        <v>1</v>
      </c>
      <c r="R225" s="1">
        <f t="shared" si="70"/>
        <v>1</v>
      </c>
      <c r="S225" s="1">
        <f t="shared" si="71"/>
        <v>1</v>
      </c>
      <c r="T225" s="1">
        <f t="shared" si="72"/>
        <v>1</v>
      </c>
      <c r="U225" s="1" t="s">
        <v>437</v>
      </c>
      <c r="V225" s="1"/>
      <c r="W225" s="1"/>
      <c r="X225" s="1"/>
      <c r="Y225" s="1"/>
      <c r="Z225" s="1">
        <v>27</v>
      </c>
      <c r="AA225" s="1">
        <v>26</v>
      </c>
      <c r="AB225" s="1"/>
      <c r="AC225" s="1">
        <v>0</v>
      </c>
      <c r="AD225" s="1">
        <v>0</v>
      </c>
      <c r="AE225" s="1">
        <v>60</v>
      </c>
      <c r="AF225" s="1" t="s">
        <v>434</v>
      </c>
      <c r="AG225" s="1">
        <v>3.5</v>
      </c>
      <c r="AH225" s="1">
        <v>0.35</v>
      </c>
      <c r="AI225" s="1">
        <v>3.5</v>
      </c>
      <c r="AJ225" s="1">
        <v>0.35</v>
      </c>
      <c r="AK225" s="1"/>
      <c r="AL225" s="1"/>
      <c r="AM225" s="1">
        <v>0</v>
      </c>
    </row>
    <row r="226" spans="1:39" x14ac:dyDescent="0.25">
      <c r="A226" s="212" t="s">
        <v>215</v>
      </c>
      <c r="B226" s="1">
        <v>2</v>
      </c>
      <c r="C226" s="1" t="s">
        <v>418</v>
      </c>
      <c r="D226" s="13">
        <v>39868</v>
      </c>
      <c r="E226" s="1">
        <f t="shared" si="67"/>
        <v>2360</v>
      </c>
      <c r="F226" s="1"/>
      <c r="G226" s="13">
        <v>41163</v>
      </c>
      <c r="H226" s="13">
        <f t="shared" si="75"/>
        <v>40960</v>
      </c>
      <c r="I226" s="13">
        <v>42228</v>
      </c>
      <c r="J226" s="13"/>
      <c r="K226" s="1">
        <f t="shared" si="49"/>
        <v>1295</v>
      </c>
      <c r="L226" s="1">
        <f t="shared" si="64"/>
        <v>203</v>
      </c>
      <c r="M226" s="1">
        <f t="shared" si="51"/>
        <v>1065</v>
      </c>
      <c r="N226" s="1"/>
      <c r="O226" s="1" t="s">
        <v>417</v>
      </c>
      <c r="P226" s="1">
        <v>5.33</v>
      </c>
      <c r="Q226" s="1">
        <f t="shared" si="74"/>
        <v>1</v>
      </c>
      <c r="R226" s="1">
        <f t="shared" si="70"/>
        <v>1</v>
      </c>
      <c r="S226" s="1">
        <f t="shared" si="71"/>
        <v>1</v>
      </c>
      <c r="T226" s="1">
        <f t="shared" si="72"/>
        <v>1</v>
      </c>
      <c r="U226" s="1" t="s">
        <v>437</v>
      </c>
      <c r="V226" s="1"/>
      <c r="W226" s="1"/>
      <c r="X226" s="1"/>
      <c r="Y226" s="1"/>
      <c r="Z226" s="1">
        <v>55</v>
      </c>
      <c r="AA226" s="1">
        <v>21</v>
      </c>
      <c r="AB226" s="1"/>
      <c r="AC226" s="1">
        <v>0</v>
      </c>
      <c r="AD226" s="1">
        <v>0</v>
      </c>
      <c r="AE226" s="1">
        <v>60</v>
      </c>
      <c r="AF226" s="1" t="s">
        <v>434</v>
      </c>
      <c r="AG226" s="1">
        <v>3.5</v>
      </c>
      <c r="AH226" s="1">
        <v>0.35</v>
      </c>
      <c r="AI226" s="1">
        <v>3.5</v>
      </c>
      <c r="AJ226" s="1">
        <v>0.35</v>
      </c>
      <c r="AK226" s="1"/>
      <c r="AL226" s="1"/>
      <c r="AM226" s="1">
        <v>0</v>
      </c>
    </row>
    <row r="227" spans="1:39" x14ac:dyDescent="0.25">
      <c r="A227" s="212" t="s">
        <v>215</v>
      </c>
      <c r="B227" s="1">
        <v>2</v>
      </c>
      <c r="C227" s="1" t="s">
        <v>418</v>
      </c>
      <c r="D227" s="13">
        <v>39868</v>
      </c>
      <c r="E227" s="1">
        <f t="shared" si="67"/>
        <v>2360</v>
      </c>
      <c r="F227" s="1"/>
      <c r="G227" s="13">
        <v>41359</v>
      </c>
      <c r="H227" s="13">
        <f t="shared" si="75"/>
        <v>41163</v>
      </c>
      <c r="I227" s="13">
        <v>42228</v>
      </c>
      <c r="J227" s="13"/>
      <c r="K227" s="1">
        <f t="shared" si="49"/>
        <v>1491</v>
      </c>
      <c r="L227" s="1">
        <f t="shared" si="64"/>
        <v>196</v>
      </c>
      <c r="M227" s="1">
        <f t="shared" si="51"/>
        <v>869</v>
      </c>
      <c r="N227" s="1"/>
      <c r="O227" s="1" t="s">
        <v>417</v>
      </c>
      <c r="P227" s="1">
        <v>5.2</v>
      </c>
      <c r="Q227" s="1">
        <f t="shared" si="74"/>
        <v>1</v>
      </c>
      <c r="R227" s="1">
        <f t="shared" si="70"/>
        <v>1</v>
      </c>
      <c r="S227" s="1">
        <f t="shared" si="71"/>
        <v>1</v>
      </c>
      <c r="T227" s="1">
        <f t="shared" si="72"/>
        <v>1</v>
      </c>
      <c r="U227" s="1" t="s">
        <v>437</v>
      </c>
      <c r="V227" s="1"/>
      <c r="W227" s="1"/>
      <c r="X227" s="1"/>
      <c r="Y227" s="1"/>
      <c r="Z227" s="1">
        <v>70</v>
      </c>
      <c r="AA227" s="1">
        <v>34</v>
      </c>
      <c r="AB227" s="1"/>
      <c r="AC227" s="1">
        <v>0</v>
      </c>
      <c r="AD227" s="1">
        <v>1</v>
      </c>
      <c r="AE227" s="1">
        <v>60</v>
      </c>
      <c r="AF227" s="1" t="s">
        <v>434</v>
      </c>
      <c r="AG227" s="1">
        <v>3.5</v>
      </c>
      <c r="AH227" s="1">
        <v>0.35</v>
      </c>
      <c r="AI227" s="1">
        <v>3.5</v>
      </c>
      <c r="AJ227" s="1">
        <v>0.35</v>
      </c>
      <c r="AK227" s="1"/>
      <c r="AL227" s="1"/>
      <c r="AM227" s="1">
        <v>0</v>
      </c>
    </row>
    <row r="228" spans="1:39" x14ac:dyDescent="0.25">
      <c r="A228" s="212" t="s">
        <v>215</v>
      </c>
      <c r="B228" s="1">
        <v>2</v>
      </c>
      <c r="C228" s="1" t="s">
        <v>418</v>
      </c>
      <c r="D228" s="13">
        <v>39868</v>
      </c>
      <c r="E228" s="1">
        <f t="shared" si="67"/>
        <v>2360</v>
      </c>
      <c r="F228" s="1"/>
      <c r="G228" s="13">
        <v>41534</v>
      </c>
      <c r="H228" s="13">
        <f t="shared" si="75"/>
        <v>41359</v>
      </c>
      <c r="I228" s="13">
        <v>42228</v>
      </c>
      <c r="J228" s="13"/>
      <c r="K228" s="1">
        <f t="shared" si="49"/>
        <v>1666</v>
      </c>
      <c r="L228" s="1">
        <f t="shared" si="64"/>
        <v>175</v>
      </c>
      <c r="M228" s="1">
        <f t="shared" si="51"/>
        <v>694</v>
      </c>
      <c r="N228" s="1"/>
      <c r="O228" s="1" t="s">
        <v>417</v>
      </c>
      <c r="P228" s="1">
        <v>5.17</v>
      </c>
      <c r="Q228" s="1">
        <f t="shared" si="74"/>
        <v>1</v>
      </c>
      <c r="R228" s="1">
        <f t="shared" si="70"/>
        <v>1</v>
      </c>
      <c r="S228" s="1">
        <f t="shared" si="71"/>
        <v>1</v>
      </c>
      <c r="T228" s="1">
        <f t="shared" si="72"/>
        <v>1</v>
      </c>
      <c r="U228" s="1" t="s">
        <v>437</v>
      </c>
      <c r="V228" s="1"/>
      <c r="W228" s="1"/>
      <c r="X228" s="1"/>
      <c r="Y228" s="1"/>
      <c r="Z228" s="1">
        <v>91</v>
      </c>
      <c r="AA228" s="1">
        <v>84</v>
      </c>
      <c r="AB228" s="1"/>
      <c r="AC228" s="1">
        <v>0</v>
      </c>
      <c r="AD228" s="1">
        <v>2</v>
      </c>
      <c r="AE228" s="1">
        <v>60</v>
      </c>
      <c r="AF228" s="1" t="s">
        <v>434</v>
      </c>
      <c r="AG228" s="1">
        <v>2</v>
      </c>
      <c r="AH228" s="1">
        <v>0.35</v>
      </c>
      <c r="AI228" s="1">
        <v>2.5</v>
      </c>
      <c r="AJ228" s="1">
        <v>0.35</v>
      </c>
      <c r="AK228" s="1"/>
      <c r="AL228" s="1"/>
      <c r="AM228" s="1">
        <v>0</v>
      </c>
    </row>
    <row r="229" spans="1:39" x14ac:dyDescent="0.25">
      <c r="A229" s="212" t="s">
        <v>215</v>
      </c>
      <c r="B229" s="1">
        <v>2</v>
      </c>
      <c r="C229" s="1" t="s">
        <v>418</v>
      </c>
      <c r="D229" s="13">
        <v>39868</v>
      </c>
      <c r="E229" s="1">
        <f t="shared" si="67"/>
        <v>2360</v>
      </c>
      <c r="F229" s="1"/>
      <c r="G229" s="13">
        <v>41716</v>
      </c>
      <c r="H229" s="13">
        <f t="shared" si="75"/>
        <v>41534</v>
      </c>
      <c r="I229" s="13">
        <v>42228</v>
      </c>
      <c r="J229" s="13"/>
      <c r="K229" s="1">
        <f t="shared" si="49"/>
        <v>1848</v>
      </c>
      <c r="L229" s="1">
        <f t="shared" si="64"/>
        <v>182</v>
      </c>
      <c r="M229" s="1">
        <f t="shared" si="51"/>
        <v>512</v>
      </c>
      <c r="N229" s="1"/>
      <c r="O229" s="1" t="s">
        <v>417</v>
      </c>
      <c r="P229" s="1">
        <v>5.16</v>
      </c>
      <c r="Q229" s="1"/>
      <c r="R229" s="1">
        <f t="shared" si="70"/>
        <v>1</v>
      </c>
      <c r="S229" s="1">
        <f t="shared" si="71"/>
        <v>1</v>
      </c>
      <c r="T229" s="1">
        <f t="shared" si="72"/>
        <v>1</v>
      </c>
      <c r="U229" s="1"/>
      <c r="V229" s="1"/>
      <c r="W229" s="1"/>
      <c r="X229" s="1"/>
      <c r="Y229" s="1"/>
      <c r="Z229" s="1">
        <v>92</v>
      </c>
      <c r="AA229" s="1">
        <v>94</v>
      </c>
      <c r="AB229" s="1"/>
      <c r="AC229" s="1">
        <v>0</v>
      </c>
      <c r="AD229" s="1">
        <v>0</v>
      </c>
      <c r="AE229" s="1">
        <v>60</v>
      </c>
      <c r="AF229" s="1" t="s">
        <v>434</v>
      </c>
      <c r="AG229" s="1">
        <v>2</v>
      </c>
      <c r="AH229" s="1">
        <v>0.35</v>
      </c>
      <c r="AI229" s="1">
        <v>2.5</v>
      </c>
      <c r="AJ229" s="1">
        <v>0.35</v>
      </c>
      <c r="AK229" s="1"/>
      <c r="AL229" s="1"/>
      <c r="AM229" s="1">
        <v>0</v>
      </c>
    </row>
    <row r="230" spans="1:39" x14ac:dyDescent="0.25">
      <c r="A230" s="212" t="s">
        <v>215</v>
      </c>
      <c r="B230" s="1">
        <v>2</v>
      </c>
      <c r="C230" s="1" t="s">
        <v>418</v>
      </c>
      <c r="D230" s="13">
        <v>39868</v>
      </c>
      <c r="E230" s="1">
        <f t="shared" si="67"/>
        <v>2360</v>
      </c>
      <c r="F230" s="1"/>
      <c r="G230" s="13">
        <v>41897</v>
      </c>
      <c r="H230" s="13">
        <f t="shared" si="75"/>
        <v>41716</v>
      </c>
      <c r="I230" s="13">
        <v>42228</v>
      </c>
      <c r="J230" s="13"/>
      <c r="K230" s="1">
        <f t="shared" si="49"/>
        <v>2029</v>
      </c>
      <c r="L230" s="1">
        <f t="shared" si="64"/>
        <v>181</v>
      </c>
      <c r="M230" s="1">
        <f t="shared" si="51"/>
        <v>331</v>
      </c>
      <c r="N230" s="1"/>
      <c r="O230" s="1" t="s">
        <v>417</v>
      </c>
      <c r="P230" s="1">
        <v>5.14</v>
      </c>
      <c r="Q230" s="1"/>
      <c r="R230" s="1"/>
      <c r="S230" s="1">
        <f t="shared" si="71"/>
        <v>1</v>
      </c>
      <c r="T230" s="1">
        <f t="shared" si="72"/>
        <v>1</v>
      </c>
      <c r="U230" s="1"/>
      <c r="V230" s="1"/>
      <c r="W230" s="1"/>
      <c r="X230" s="1"/>
      <c r="Y230" s="1"/>
      <c r="Z230" s="1">
        <v>85</v>
      </c>
      <c r="AA230" s="1">
        <v>86</v>
      </c>
      <c r="AB230" s="1"/>
      <c r="AC230" s="1">
        <v>0</v>
      </c>
      <c r="AD230" s="1">
        <v>0</v>
      </c>
      <c r="AE230" s="1">
        <v>60</v>
      </c>
      <c r="AF230" s="1" t="s">
        <v>434</v>
      </c>
      <c r="AG230" s="1">
        <v>2</v>
      </c>
      <c r="AH230" s="1">
        <v>0.35</v>
      </c>
      <c r="AI230" s="1">
        <v>2.5</v>
      </c>
      <c r="AJ230" s="1">
        <v>0.35</v>
      </c>
      <c r="AK230" s="1"/>
      <c r="AL230" s="1"/>
      <c r="AM230" s="1">
        <v>0</v>
      </c>
    </row>
    <row r="231" spans="1:39" x14ac:dyDescent="0.25">
      <c r="A231" s="212" t="s">
        <v>215</v>
      </c>
      <c r="B231" s="1">
        <v>2</v>
      </c>
      <c r="C231" s="1" t="s">
        <v>418</v>
      </c>
      <c r="D231" s="13">
        <v>39868</v>
      </c>
      <c r="E231" s="1">
        <f t="shared" si="67"/>
        <v>2360</v>
      </c>
      <c r="F231" s="1"/>
      <c r="G231" s="13">
        <v>42066</v>
      </c>
      <c r="H231" s="13">
        <f t="shared" si="75"/>
        <v>41897</v>
      </c>
      <c r="I231" s="13">
        <v>42228</v>
      </c>
      <c r="J231" s="13"/>
      <c r="K231" s="1">
        <f t="shared" si="49"/>
        <v>2198</v>
      </c>
      <c r="L231" s="1">
        <f t="shared" si="64"/>
        <v>169</v>
      </c>
      <c r="M231" s="1">
        <f t="shared" si="51"/>
        <v>162</v>
      </c>
      <c r="N231" s="1"/>
      <c r="O231" s="1" t="s">
        <v>417</v>
      </c>
      <c r="P231" s="1">
        <v>5.04</v>
      </c>
      <c r="Q231" s="1"/>
      <c r="R231" s="1"/>
      <c r="S231" s="1"/>
      <c r="T231" s="1">
        <f t="shared" si="72"/>
        <v>1</v>
      </c>
      <c r="U231" s="1"/>
      <c r="V231" s="1"/>
      <c r="W231" s="1"/>
      <c r="X231" s="1"/>
      <c r="Y231" s="1"/>
      <c r="Z231" s="1">
        <v>97</v>
      </c>
      <c r="AA231" s="1">
        <v>91</v>
      </c>
      <c r="AB231" s="1"/>
      <c r="AC231" s="1">
        <v>0</v>
      </c>
      <c r="AD231" s="1">
        <v>1</v>
      </c>
      <c r="AE231" s="1">
        <v>60</v>
      </c>
      <c r="AF231" s="1" t="s">
        <v>434</v>
      </c>
      <c r="AG231" s="1">
        <v>2</v>
      </c>
      <c r="AH231" s="1">
        <v>0.35</v>
      </c>
      <c r="AI231" s="1">
        <v>2.5</v>
      </c>
      <c r="AJ231" s="1">
        <v>0.35</v>
      </c>
      <c r="AK231" s="1"/>
      <c r="AL231" s="1"/>
      <c r="AM231" s="1">
        <v>0</v>
      </c>
    </row>
    <row r="232" spans="1:39" x14ac:dyDescent="0.25">
      <c r="A232" s="212" t="s">
        <v>215</v>
      </c>
      <c r="B232" s="1">
        <v>2</v>
      </c>
      <c r="C232" s="1" t="s">
        <v>418</v>
      </c>
      <c r="D232" s="13">
        <v>39868</v>
      </c>
      <c r="E232" s="1">
        <f t="shared" si="67"/>
        <v>2360</v>
      </c>
      <c r="F232" s="1"/>
      <c r="G232" s="13">
        <v>42157</v>
      </c>
      <c r="H232" s="13">
        <f t="shared" si="75"/>
        <v>42066</v>
      </c>
      <c r="I232" s="13">
        <v>42228</v>
      </c>
      <c r="J232" s="13"/>
      <c r="K232" s="1">
        <f t="shared" si="49"/>
        <v>2289</v>
      </c>
      <c r="L232" s="1">
        <f t="shared" si="64"/>
        <v>91</v>
      </c>
      <c r="M232" s="1">
        <f t="shared" si="51"/>
        <v>71</v>
      </c>
      <c r="N232" s="1"/>
      <c r="O232" s="1" t="s">
        <v>417</v>
      </c>
      <c r="P232" s="1">
        <v>4.91</v>
      </c>
      <c r="Q232" s="1"/>
      <c r="R232" s="1"/>
      <c r="S232" s="1"/>
      <c r="T232" s="1"/>
      <c r="U232" s="1"/>
      <c r="V232" s="1"/>
      <c r="W232" s="1"/>
      <c r="X232" s="1"/>
      <c r="Y232" s="1"/>
      <c r="Z232" s="1">
        <v>97</v>
      </c>
      <c r="AA232" s="1">
        <v>93</v>
      </c>
      <c r="AB232" s="1"/>
      <c r="AC232" s="1">
        <v>0</v>
      </c>
      <c r="AD232" s="1">
        <v>1</v>
      </c>
      <c r="AE232" s="1">
        <v>60</v>
      </c>
      <c r="AF232" s="1" t="s">
        <v>434</v>
      </c>
      <c r="AG232" s="1">
        <v>2</v>
      </c>
      <c r="AH232" s="1">
        <v>0.35</v>
      </c>
      <c r="AI232" s="1">
        <v>2.5</v>
      </c>
      <c r="AJ232" s="1">
        <v>0.35</v>
      </c>
      <c r="AK232" s="1"/>
      <c r="AL232" s="1"/>
      <c r="AM232" s="1">
        <v>0</v>
      </c>
    </row>
    <row r="233" spans="1:39" x14ac:dyDescent="0.25">
      <c r="A233" s="212" t="s">
        <v>215</v>
      </c>
      <c r="B233" s="1">
        <v>2</v>
      </c>
      <c r="C233" s="1" t="s">
        <v>418</v>
      </c>
      <c r="D233" s="13">
        <v>39868</v>
      </c>
      <c r="E233" s="1">
        <f t="shared" si="67"/>
        <v>2360</v>
      </c>
      <c r="F233" s="1"/>
      <c r="G233" s="13">
        <v>42228</v>
      </c>
      <c r="H233" s="13">
        <f t="shared" si="75"/>
        <v>42157</v>
      </c>
      <c r="I233" s="13">
        <v>42228</v>
      </c>
      <c r="J233" s="13"/>
      <c r="K233" s="1">
        <f t="shared" si="49"/>
        <v>2360</v>
      </c>
      <c r="L233" s="1">
        <f t="shared" si="64"/>
        <v>71</v>
      </c>
      <c r="M233" s="1">
        <f t="shared" si="51"/>
        <v>0</v>
      </c>
      <c r="N233" s="1"/>
      <c r="O233" s="1" t="s">
        <v>434</v>
      </c>
      <c r="P233" s="1">
        <v>4.7300000000000004</v>
      </c>
      <c r="Q233" s="1"/>
      <c r="R233" s="1"/>
      <c r="S233" s="1"/>
      <c r="T233" s="1"/>
      <c r="U233" s="1"/>
      <c r="V233" s="1">
        <v>0</v>
      </c>
      <c r="W233" s="1">
        <v>0</v>
      </c>
      <c r="X233" s="1">
        <v>0</v>
      </c>
      <c r="Y233" s="1">
        <v>0</v>
      </c>
      <c r="Z233" s="1">
        <v>97</v>
      </c>
      <c r="AA233" s="1">
        <v>89</v>
      </c>
      <c r="AB233" s="1"/>
      <c r="AC233" s="1">
        <v>0</v>
      </c>
      <c r="AD233" s="1">
        <v>0</v>
      </c>
      <c r="AE233" s="1">
        <v>60</v>
      </c>
      <c r="AF233" s="1" t="s">
        <v>434</v>
      </c>
      <c r="AG233" s="1">
        <v>2</v>
      </c>
      <c r="AH233" s="1">
        <v>0.35</v>
      </c>
      <c r="AI233" s="1">
        <v>2.5</v>
      </c>
      <c r="AJ233" s="1">
        <v>0.35</v>
      </c>
      <c r="AK233" s="1"/>
      <c r="AL233" s="1"/>
      <c r="AM233" s="1">
        <v>0</v>
      </c>
    </row>
    <row r="234" spans="1:39" x14ac:dyDescent="0.25">
      <c r="A234" s="214" t="s">
        <v>238</v>
      </c>
      <c r="B234" s="1">
        <v>1</v>
      </c>
      <c r="C234" s="1" t="s">
        <v>418</v>
      </c>
      <c r="D234" s="13">
        <v>40085</v>
      </c>
      <c r="E234" s="1">
        <f t="shared" si="67"/>
        <v>843</v>
      </c>
      <c r="F234" s="1"/>
      <c r="G234" s="13">
        <v>40148</v>
      </c>
      <c r="H234" s="13">
        <v>40085</v>
      </c>
      <c r="I234" s="13">
        <v>40928</v>
      </c>
      <c r="J234" s="13"/>
      <c r="K234" s="1">
        <f t="shared" si="49"/>
        <v>63</v>
      </c>
      <c r="L234" s="1">
        <f t="shared" si="64"/>
        <v>63</v>
      </c>
      <c r="M234" s="1">
        <f t="shared" si="51"/>
        <v>780</v>
      </c>
      <c r="N234" s="1"/>
      <c r="O234" s="1" t="s">
        <v>417</v>
      </c>
      <c r="P234" s="1">
        <v>6.5</v>
      </c>
      <c r="Q234" s="1">
        <f t="shared" si="74"/>
        <v>1</v>
      </c>
      <c r="R234" s="1">
        <f t="shared" si="70"/>
        <v>1</v>
      </c>
      <c r="S234" s="1">
        <f t="shared" si="71"/>
        <v>1</v>
      </c>
      <c r="T234" s="1">
        <f t="shared" si="72"/>
        <v>1</v>
      </c>
      <c r="U234" s="1" t="s">
        <v>437</v>
      </c>
      <c r="V234" s="1"/>
      <c r="W234" s="1"/>
      <c r="X234" s="1"/>
      <c r="Y234" s="1"/>
      <c r="Z234" s="1"/>
      <c r="AA234" s="1">
        <v>4</v>
      </c>
      <c r="AB234" s="1"/>
      <c r="AC234" s="1">
        <v>0</v>
      </c>
      <c r="AD234" s="1">
        <v>0</v>
      </c>
      <c r="AE234" s="1">
        <v>40</v>
      </c>
      <c r="AF234" s="1" t="s">
        <v>417</v>
      </c>
      <c r="AG234" s="1"/>
      <c r="AH234" s="1"/>
      <c r="AI234" s="1">
        <v>3.5</v>
      </c>
      <c r="AJ234" s="1">
        <v>0.35</v>
      </c>
      <c r="AK234" s="1"/>
      <c r="AL234" s="1"/>
      <c r="AM234" s="1">
        <v>0</v>
      </c>
    </row>
    <row r="235" spans="1:39" x14ac:dyDescent="0.25">
      <c r="A235" s="214" t="s">
        <v>238</v>
      </c>
      <c r="B235" s="1">
        <v>1</v>
      </c>
      <c r="C235" s="1" t="s">
        <v>418</v>
      </c>
      <c r="D235" s="13">
        <v>40085</v>
      </c>
      <c r="E235" s="1">
        <f t="shared" si="67"/>
        <v>843</v>
      </c>
      <c r="F235" s="1"/>
      <c r="G235" s="13">
        <v>40330</v>
      </c>
      <c r="H235" s="13">
        <f>G234</f>
        <v>40148</v>
      </c>
      <c r="I235" s="13">
        <v>40928</v>
      </c>
      <c r="J235" s="13"/>
      <c r="K235" s="1">
        <f t="shared" ref="K235:K277" si="76">G235-D235</f>
        <v>245</v>
      </c>
      <c r="L235" s="1">
        <f t="shared" si="64"/>
        <v>182</v>
      </c>
      <c r="M235" s="1">
        <f t="shared" ref="M235:M272" si="77">I235-G235</f>
        <v>598</v>
      </c>
      <c r="N235" s="1"/>
      <c r="O235" s="1" t="s">
        <v>417</v>
      </c>
      <c r="P235" s="1">
        <v>6.47</v>
      </c>
      <c r="Q235" s="1">
        <f t="shared" si="74"/>
        <v>1</v>
      </c>
      <c r="R235" s="1">
        <f t="shared" si="70"/>
        <v>1</v>
      </c>
      <c r="S235" s="1">
        <f t="shared" si="71"/>
        <v>1</v>
      </c>
      <c r="T235" s="1">
        <f t="shared" si="72"/>
        <v>1</v>
      </c>
      <c r="U235" s="1" t="s">
        <v>437</v>
      </c>
      <c r="V235" s="1"/>
      <c r="W235" s="1"/>
      <c r="X235" s="1"/>
      <c r="Y235" s="1"/>
      <c r="Z235" s="1"/>
      <c r="AA235" s="1">
        <v>1</v>
      </c>
      <c r="AB235" s="1"/>
      <c r="AC235" s="1">
        <v>0</v>
      </c>
      <c r="AD235" s="1">
        <v>0</v>
      </c>
      <c r="AE235" s="1">
        <v>40</v>
      </c>
      <c r="AF235" s="1" t="s">
        <v>417</v>
      </c>
      <c r="AG235" s="1"/>
      <c r="AH235" s="1"/>
      <c r="AI235" s="1">
        <v>3.5</v>
      </c>
      <c r="AJ235" s="1">
        <v>0.35</v>
      </c>
      <c r="AK235" s="1"/>
      <c r="AL235" s="1"/>
      <c r="AM235" s="1">
        <v>0</v>
      </c>
    </row>
    <row r="236" spans="1:39" x14ac:dyDescent="0.25">
      <c r="A236" s="214" t="s">
        <v>238</v>
      </c>
      <c r="B236" s="1">
        <v>1</v>
      </c>
      <c r="C236" s="1" t="s">
        <v>418</v>
      </c>
      <c r="D236" s="13">
        <v>40085</v>
      </c>
      <c r="E236" s="1">
        <f t="shared" si="67"/>
        <v>843</v>
      </c>
      <c r="F236" s="1"/>
      <c r="G236" s="13">
        <v>40638</v>
      </c>
      <c r="H236" s="13">
        <f t="shared" ref="H236:H237" si="78">G235</f>
        <v>40330</v>
      </c>
      <c r="I236" s="13">
        <v>40928</v>
      </c>
      <c r="J236" s="13"/>
      <c r="K236" s="1">
        <f t="shared" si="76"/>
        <v>553</v>
      </c>
      <c r="L236" s="1">
        <f t="shared" si="64"/>
        <v>308</v>
      </c>
      <c r="M236" s="1">
        <f t="shared" si="77"/>
        <v>290</v>
      </c>
      <c r="N236" s="1"/>
      <c r="O236" s="1" t="s">
        <v>417</v>
      </c>
      <c r="P236" s="1">
        <v>6.4</v>
      </c>
      <c r="Q236" s="1"/>
      <c r="R236" s="1"/>
      <c r="S236" s="1">
        <f t="shared" si="71"/>
        <v>1</v>
      </c>
      <c r="T236" s="1">
        <f t="shared" si="72"/>
        <v>1</v>
      </c>
      <c r="U236" s="1"/>
      <c r="V236" s="1"/>
      <c r="W236" s="1"/>
      <c r="X236" s="1"/>
      <c r="Y236" s="1"/>
      <c r="Z236" s="1"/>
      <c r="AA236" s="1">
        <v>0</v>
      </c>
      <c r="AB236" s="1"/>
      <c r="AC236" s="1">
        <v>0</v>
      </c>
      <c r="AD236" s="1">
        <v>0</v>
      </c>
      <c r="AE236" s="1">
        <v>40</v>
      </c>
      <c r="AF236" s="1" t="s">
        <v>417</v>
      </c>
      <c r="AG236" s="1"/>
      <c r="AH236" s="1"/>
      <c r="AI236" s="1">
        <v>3.5</v>
      </c>
      <c r="AJ236" s="1">
        <v>0.35</v>
      </c>
      <c r="AK236" s="1"/>
      <c r="AL236" s="1"/>
      <c r="AM236" s="1">
        <v>0</v>
      </c>
    </row>
    <row r="237" spans="1:39" x14ac:dyDescent="0.25">
      <c r="A237" s="214" t="s">
        <v>238</v>
      </c>
      <c r="B237" s="1">
        <v>1</v>
      </c>
      <c r="C237" s="1" t="s">
        <v>418</v>
      </c>
      <c r="D237" s="13">
        <v>40085</v>
      </c>
      <c r="E237" s="1">
        <f t="shared" si="67"/>
        <v>843</v>
      </c>
      <c r="F237" s="1"/>
      <c r="G237" s="13">
        <v>40928</v>
      </c>
      <c r="H237" s="13">
        <f t="shared" si="78"/>
        <v>40638</v>
      </c>
      <c r="I237" s="13">
        <v>40928</v>
      </c>
      <c r="J237" s="13"/>
      <c r="K237" s="1">
        <f t="shared" si="76"/>
        <v>843</v>
      </c>
      <c r="L237" s="1">
        <f t="shared" si="64"/>
        <v>290</v>
      </c>
      <c r="M237" s="1">
        <f t="shared" si="77"/>
        <v>0</v>
      </c>
      <c r="N237" s="1"/>
      <c r="O237" s="1" t="s">
        <v>417</v>
      </c>
      <c r="P237" s="1">
        <v>6.36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>
        <v>0</v>
      </c>
      <c r="AB237" s="1"/>
      <c r="AC237" s="1">
        <v>0</v>
      </c>
      <c r="AD237" s="1">
        <v>0</v>
      </c>
      <c r="AE237" s="1">
        <v>40</v>
      </c>
      <c r="AF237" s="1" t="s">
        <v>417</v>
      </c>
      <c r="AG237" s="1"/>
      <c r="AH237" s="1"/>
      <c r="AI237" s="1">
        <v>3.5</v>
      </c>
      <c r="AJ237" s="1">
        <v>0.35</v>
      </c>
      <c r="AK237" s="1"/>
      <c r="AL237" s="1"/>
      <c r="AM237" s="1">
        <v>0</v>
      </c>
    </row>
    <row r="238" spans="1:39" x14ac:dyDescent="0.25">
      <c r="A238" s="215" t="s">
        <v>247</v>
      </c>
      <c r="B238" s="216">
        <v>2</v>
      </c>
      <c r="C238" s="1" t="s">
        <v>418</v>
      </c>
      <c r="D238" s="217">
        <v>39399</v>
      </c>
      <c r="E238" s="1">
        <f t="shared" si="67"/>
        <v>2499</v>
      </c>
      <c r="F238" s="1"/>
      <c r="G238" s="13">
        <v>40162</v>
      </c>
      <c r="H238" s="217">
        <v>39399</v>
      </c>
      <c r="I238" s="13">
        <v>41898</v>
      </c>
      <c r="J238" s="13"/>
      <c r="K238" s="1">
        <f t="shared" si="76"/>
        <v>763</v>
      </c>
      <c r="L238" s="1">
        <f t="shared" si="64"/>
        <v>763</v>
      </c>
      <c r="M238" s="1">
        <f t="shared" si="77"/>
        <v>1736</v>
      </c>
      <c r="N238" s="1"/>
      <c r="O238" s="1" t="s">
        <v>417</v>
      </c>
      <c r="P238" s="1">
        <v>6.37</v>
      </c>
      <c r="Q238" s="1">
        <f t="shared" si="74"/>
        <v>1</v>
      </c>
      <c r="R238" s="1">
        <f t="shared" si="70"/>
        <v>1</v>
      </c>
      <c r="S238" s="1">
        <f t="shared" si="71"/>
        <v>1</v>
      </c>
      <c r="T238" s="1">
        <f t="shared" si="72"/>
        <v>1</v>
      </c>
      <c r="U238" s="1" t="s">
        <v>437</v>
      </c>
      <c r="V238" s="1"/>
      <c r="W238" s="1"/>
      <c r="X238" s="1"/>
      <c r="Y238" s="1"/>
      <c r="Z238" s="1">
        <v>0</v>
      </c>
      <c r="AA238" s="1">
        <v>0</v>
      </c>
      <c r="AB238" s="1"/>
      <c r="AC238" s="1">
        <v>0</v>
      </c>
      <c r="AD238" s="1">
        <v>0</v>
      </c>
      <c r="AE238" s="1">
        <v>50</v>
      </c>
      <c r="AF238" s="1" t="s">
        <v>417</v>
      </c>
      <c r="AG238" s="1">
        <v>2.5</v>
      </c>
      <c r="AH238" s="1">
        <v>0.35</v>
      </c>
      <c r="AI238" s="1">
        <v>2.5</v>
      </c>
      <c r="AJ238" s="1">
        <v>0.6</v>
      </c>
      <c r="AK238" s="1"/>
      <c r="AL238" s="1"/>
      <c r="AM238" s="1">
        <v>0</v>
      </c>
    </row>
    <row r="239" spans="1:39" x14ac:dyDescent="0.25">
      <c r="A239" s="215" t="s">
        <v>247</v>
      </c>
      <c r="B239" s="216">
        <v>2</v>
      </c>
      <c r="C239" s="1" t="s">
        <v>418</v>
      </c>
      <c r="D239" s="217">
        <v>39399</v>
      </c>
      <c r="E239" s="1">
        <f t="shared" si="67"/>
        <v>2499</v>
      </c>
      <c r="F239" s="1"/>
      <c r="G239" s="13">
        <v>40351</v>
      </c>
      <c r="H239" s="13">
        <f>G238</f>
        <v>40162</v>
      </c>
      <c r="I239" s="13">
        <v>41898</v>
      </c>
      <c r="J239" s="13"/>
      <c r="K239" s="1">
        <f t="shared" si="76"/>
        <v>952</v>
      </c>
      <c r="L239" s="1">
        <f t="shared" si="64"/>
        <v>189</v>
      </c>
      <c r="M239" s="1">
        <f t="shared" si="77"/>
        <v>1547</v>
      </c>
      <c r="N239" s="1"/>
      <c r="O239" s="1" t="s">
        <v>417</v>
      </c>
      <c r="P239" s="1">
        <v>6.31</v>
      </c>
      <c r="Q239" s="1">
        <f t="shared" si="74"/>
        <v>1</v>
      </c>
      <c r="R239" s="1">
        <f t="shared" si="70"/>
        <v>1</v>
      </c>
      <c r="S239" s="1">
        <f t="shared" si="71"/>
        <v>1</v>
      </c>
      <c r="T239" s="1">
        <f t="shared" si="72"/>
        <v>1</v>
      </c>
      <c r="U239" s="1" t="s">
        <v>437</v>
      </c>
      <c r="V239" s="1"/>
      <c r="W239" s="1"/>
      <c r="X239" s="1"/>
      <c r="Y239" s="1"/>
      <c r="Z239" s="1">
        <v>0</v>
      </c>
      <c r="AA239" s="1">
        <v>0</v>
      </c>
      <c r="AB239" s="1"/>
      <c r="AC239" s="1">
        <v>0</v>
      </c>
      <c r="AD239" s="1">
        <v>0</v>
      </c>
      <c r="AE239" s="1">
        <v>50</v>
      </c>
      <c r="AF239" s="1" t="s">
        <v>417</v>
      </c>
      <c r="AG239" s="1">
        <v>2.5</v>
      </c>
      <c r="AH239" s="1">
        <v>0.35</v>
      </c>
      <c r="AI239" s="1">
        <v>2.5</v>
      </c>
      <c r="AJ239" s="1">
        <v>0.6</v>
      </c>
      <c r="AK239" s="1"/>
      <c r="AL239" s="1"/>
      <c r="AM239" s="1">
        <v>0</v>
      </c>
    </row>
    <row r="240" spans="1:39" x14ac:dyDescent="0.25">
      <c r="A240" s="215" t="s">
        <v>247</v>
      </c>
      <c r="B240" s="216">
        <v>2</v>
      </c>
      <c r="C240" s="1" t="s">
        <v>418</v>
      </c>
      <c r="D240" s="217">
        <v>39399</v>
      </c>
      <c r="E240" s="1">
        <f t="shared" si="67"/>
        <v>2499</v>
      </c>
      <c r="F240" s="1"/>
      <c r="G240" s="13">
        <v>40708</v>
      </c>
      <c r="H240" s="13">
        <f t="shared" ref="H240:H246" si="79">G239</f>
        <v>40351</v>
      </c>
      <c r="I240" s="13">
        <v>41898</v>
      </c>
      <c r="J240" s="13"/>
      <c r="K240" s="1">
        <f t="shared" si="76"/>
        <v>1309</v>
      </c>
      <c r="L240" s="1">
        <f t="shared" si="64"/>
        <v>357</v>
      </c>
      <c r="M240" s="1">
        <f t="shared" si="77"/>
        <v>1190</v>
      </c>
      <c r="N240" s="1"/>
      <c r="O240" s="1" t="s">
        <v>417</v>
      </c>
      <c r="P240" s="1">
        <v>6.01</v>
      </c>
      <c r="Q240" s="1">
        <f t="shared" si="74"/>
        <v>1</v>
      </c>
      <c r="R240" s="1">
        <f t="shared" si="70"/>
        <v>1</v>
      </c>
      <c r="S240" s="1">
        <f t="shared" si="71"/>
        <v>1</v>
      </c>
      <c r="T240" s="1">
        <f t="shared" si="72"/>
        <v>1</v>
      </c>
      <c r="U240" s="1" t="s">
        <v>437</v>
      </c>
      <c r="V240" s="1"/>
      <c r="W240" s="1"/>
      <c r="X240" s="1"/>
      <c r="Y240" s="1"/>
      <c r="Z240" s="1">
        <v>0</v>
      </c>
      <c r="AA240" s="1">
        <v>0</v>
      </c>
      <c r="AB240" s="1"/>
      <c r="AC240" s="1">
        <v>0</v>
      </c>
      <c r="AD240" s="1">
        <v>0</v>
      </c>
      <c r="AE240" s="1">
        <v>50</v>
      </c>
      <c r="AF240" s="1" t="s">
        <v>417</v>
      </c>
      <c r="AG240" s="1">
        <v>2.5</v>
      </c>
      <c r="AH240" s="1">
        <v>0.35</v>
      </c>
      <c r="AI240" s="1">
        <v>2.5</v>
      </c>
      <c r="AJ240" s="1">
        <v>0.5</v>
      </c>
      <c r="AK240" s="1"/>
      <c r="AL240" s="1"/>
      <c r="AM240" s="1">
        <v>0</v>
      </c>
    </row>
    <row r="241" spans="1:39" x14ac:dyDescent="0.25">
      <c r="A241" s="215" t="s">
        <v>247</v>
      </c>
      <c r="B241" s="216">
        <v>2</v>
      </c>
      <c r="C241" s="1" t="s">
        <v>418</v>
      </c>
      <c r="D241" s="217">
        <v>39399</v>
      </c>
      <c r="E241" s="1">
        <f t="shared" si="67"/>
        <v>2499</v>
      </c>
      <c r="F241" s="1"/>
      <c r="G241" s="13">
        <v>40932</v>
      </c>
      <c r="H241" s="13">
        <f t="shared" si="79"/>
        <v>40708</v>
      </c>
      <c r="I241" s="13">
        <v>41898</v>
      </c>
      <c r="J241" s="13"/>
      <c r="K241" s="1">
        <f t="shared" si="76"/>
        <v>1533</v>
      </c>
      <c r="L241" s="1">
        <f t="shared" si="64"/>
        <v>224</v>
      </c>
      <c r="M241" s="1">
        <f t="shared" si="77"/>
        <v>966</v>
      </c>
      <c r="N241" s="1"/>
      <c r="O241" s="1" t="s">
        <v>417</v>
      </c>
      <c r="P241" s="1">
        <v>5.79</v>
      </c>
      <c r="Q241" s="1">
        <f t="shared" si="74"/>
        <v>1</v>
      </c>
      <c r="R241" s="1">
        <f t="shared" si="70"/>
        <v>1</v>
      </c>
      <c r="S241" s="1">
        <f t="shared" si="71"/>
        <v>1</v>
      </c>
      <c r="T241" s="1">
        <f t="shared" si="72"/>
        <v>1</v>
      </c>
      <c r="U241" s="1" t="s">
        <v>437</v>
      </c>
      <c r="V241" s="1"/>
      <c r="W241" s="1"/>
      <c r="X241" s="1"/>
      <c r="Y241" s="1"/>
      <c r="Z241" s="1">
        <v>0</v>
      </c>
      <c r="AA241" s="1">
        <v>0</v>
      </c>
      <c r="AB241" s="1"/>
      <c r="AC241" s="1">
        <v>0</v>
      </c>
      <c r="AD241" s="1">
        <v>0</v>
      </c>
      <c r="AE241" s="1">
        <v>50</v>
      </c>
      <c r="AF241" s="1" t="s">
        <v>417</v>
      </c>
      <c r="AG241" s="1">
        <v>2.5</v>
      </c>
      <c r="AH241" s="1">
        <v>0.35</v>
      </c>
      <c r="AI241" s="1">
        <v>2.5</v>
      </c>
      <c r="AJ241" s="1">
        <v>0.5</v>
      </c>
      <c r="AK241" s="1"/>
      <c r="AL241" s="1"/>
      <c r="AM241" s="1">
        <v>0</v>
      </c>
    </row>
    <row r="242" spans="1:39" x14ac:dyDescent="0.25">
      <c r="A242" s="215" t="s">
        <v>247</v>
      </c>
      <c r="B242" s="216">
        <v>2</v>
      </c>
      <c r="C242" s="1" t="s">
        <v>418</v>
      </c>
      <c r="D242" s="217">
        <v>39399</v>
      </c>
      <c r="E242" s="1">
        <f t="shared" si="67"/>
        <v>2499</v>
      </c>
      <c r="F242" s="1"/>
      <c r="G242" s="13">
        <v>41107</v>
      </c>
      <c r="H242" s="13">
        <f t="shared" si="79"/>
        <v>40932</v>
      </c>
      <c r="I242" s="13">
        <v>41898</v>
      </c>
      <c r="J242" s="13"/>
      <c r="K242" s="1">
        <f t="shared" si="76"/>
        <v>1708</v>
      </c>
      <c r="L242" s="1">
        <f t="shared" si="64"/>
        <v>175</v>
      </c>
      <c r="M242" s="1">
        <f t="shared" si="77"/>
        <v>791</v>
      </c>
      <c r="N242" s="1"/>
      <c r="O242" s="1" t="s">
        <v>417</v>
      </c>
      <c r="P242" s="1">
        <v>5.41</v>
      </c>
      <c r="Q242" s="1">
        <f t="shared" si="74"/>
        <v>1</v>
      </c>
      <c r="R242" s="1">
        <f t="shared" si="70"/>
        <v>1</v>
      </c>
      <c r="S242" s="1">
        <f t="shared" si="71"/>
        <v>1</v>
      </c>
      <c r="T242" s="1">
        <f t="shared" si="72"/>
        <v>1</v>
      </c>
      <c r="U242" s="1" t="s">
        <v>437</v>
      </c>
      <c r="V242" s="1"/>
      <c r="W242" s="1"/>
      <c r="X242" s="1"/>
      <c r="Y242" s="1"/>
      <c r="Z242" s="1">
        <v>0</v>
      </c>
      <c r="AA242" s="1">
        <v>0</v>
      </c>
      <c r="AB242" s="1"/>
      <c r="AC242" s="1">
        <v>0</v>
      </c>
      <c r="AD242" s="1">
        <v>0</v>
      </c>
      <c r="AE242" s="1">
        <v>50</v>
      </c>
      <c r="AF242" s="1" t="s">
        <v>417</v>
      </c>
      <c r="AG242" s="1">
        <v>2.5</v>
      </c>
      <c r="AH242" s="1">
        <v>0.35</v>
      </c>
      <c r="AI242" s="1">
        <v>2.5</v>
      </c>
      <c r="AJ242" s="1">
        <v>0.5</v>
      </c>
      <c r="AK242" s="1"/>
      <c r="AL242" s="1"/>
      <c r="AM242" s="1">
        <v>0</v>
      </c>
    </row>
    <row r="243" spans="1:39" x14ac:dyDescent="0.25">
      <c r="A243" s="215" t="s">
        <v>247</v>
      </c>
      <c r="B243" s="216">
        <v>2</v>
      </c>
      <c r="C243" s="1" t="s">
        <v>418</v>
      </c>
      <c r="D243" s="217">
        <v>39399</v>
      </c>
      <c r="E243" s="1">
        <f t="shared" si="67"/>
        <v>2499</v>
      </c>
      <c r="F243" s="1"/>
      <c r="G243" s="13">
        <v>41310</v>
      </c>
      <c r="H243" s="13">
        <f t="shared" si="79"/>
        <v>41107</v>
      </c>
      <c r="I243" s="13">
        <v>41898</v>
      </c>
      <c r="J243" s="13"/>
      <c r="K243" s="1">
        <f t="shared" si="76"/>
        <v>1911</v>
      </c>
      <c r="L243" s="1">
        <f t="shared" si="64"/>
        <v>203</v>
      </c>
      <c r="M243" s="1">
        <f t="shared" si="77"/>
        <v>588</v>
      </c>
      <c r="N243" s="1"/>
      <c r="O243" s="1" t="s">
        <v>417</v>
      </c>
      <c r="P243" s="1">
        <v>5.24</v>
      </c>
      <c r="Q243" s="1">
        <f t="shared" si="74"/>
        <v>1</v>
      </c>
      <c r="R243" s="1">
        <f t="shared" si="70"/>
        <v>1</v>
      </c>
      <c r="S243" s="1">
        <f t="shared" si="71"/>
        <v>1</v>
      </c>
      <c r="T243" s="1">
        <f t="shared" si="72"/>
        <v>1</v>
      </c>
      <c r="U243" s="1" t="s">
        <v>437</v>
      </c>
      <c r="V243" s="1"/>
      <c r="W243" s="1"/>
      <c r="X243" s="1"/>
      <c r="Y243" s="1"/>
      <c r="Z243" s="1">
        <v>0</v>
      </c>
      <c r="AA243" s="1">
        <v>0</v>
      </c>
      <c r="AB243" s="1"/>
      <c r="AC243" s="1">
        <v>0</v>
      </c>
      <c r="AD243" s="1">
        <v>0</v>
      </c>
      <c r="AE243" s="1">
        <v>50</v>
      </c>
      <c r="AF243" s="1" t="s">
        <v>417</v>
      </c>
      <c r="AG243" s="1">
        <v>2.5</v>
      </c>
      <c r="AH243" s="1">
        <v>0.35</v>
      </c>
      <c r="AI243" s="1">
        <v>2.5</v>
      </c>
      <c r="AJ243" s="1">
        <v>0.5</v>
      </c>
      <c r="AK243" s="1"/>
      <c r="AL243" s="1"/>
      <c r="AM243" s="1">
        <v>0</v>
      </c>
    </row>
    <row r="244" spans="1:39" x14ac:dyDescent="0.25">
      <c r="A244" s="215" t="s">
        <v>247</v>
      </c>
      <c r="B244" s="216">
        <v>2</v>
      </c>
      <c r="C244" s="1" t="s">
        <v>418</v>
      </c>
      <c r="D244" s="217">
        <v>39399</v>
      </c>
      <c r="E244" s="1">
        <f t="shared" si="67"/>
        <v>2499</v>
      </c>
      <c r="F244" s="1"/>
      <c r="G244" s="13">
        <v>41478</v>
      </c>
      <c r="H244" s="13">
        <f t="shared" si="79"/>
        <v>41310</v>
      </c>
      <c r="I244" s="13">
        <v>41898</v>
      </c>
      <c r="J244" s="13"/>
      <c r="K244" s="1">
        <f t="shared" si="76"/>
        <v>2079</v>
      </c>
      <c r="L244" s="1">
        <f t="shared" si="64"/>
        <v>168</v>
      </c>
      <c r="M244" s="1">
        <f t="shared" si="77"/>
        <v>420</v>
      </c>
      <c r="N244" s="1"/>
      <c r="O244" s="1" t="s">
        <v>417</v>
      </c>
      <c r="P244" s="1">
        <v>5.17</v>
      </c>
      <c r="Q244" s="1"/>
      <c r="R244" s="1">
        <f t="shared" si="70"/>
        <v>1</v>
      </c>
      <c r="S244" s="1">
        <f t="shared" si="71"/>
        <v>1</v>
      </c>
      <c r="T244" s="1">
        <f t="shared" si="72"/>
        <v>1</v>
      </c>
      <c r="U244" s="1"/>
      <c r="V244" s="1"/>
      <c r="W244" s="1"/>
      <c r="X244" s="1"/>
      <c r="Y244" s="1"/>
      <c r="Z244" s="1">
        <v>0</v>
      </c>
      <c r="AA244" s="1">
        <v>0</v>
      </c>
      <c r="AB244" s="1"/>
      <c r="AC244" s="1">
        <v>0</v>
      </c>
      <c r="AD244" s="1">
        <v>0</v>
      </c>
      <c r="AE244" s="1">
        <v>50</v>
      </c>
      <c r="AF244" s="1" t="s">
        <v>417</v>
      </c>
      <c r="AG244" s="1">
        <v>2.5</v>
      </c>
      <c r="AH244" s="1">
        <v>0.35</v>
      </c>
      <c r="AI244" s="1">
        <v>2.5</v>
      </c>
      <c r="AJ244" s="1">
        <v>0.5</v>
      </c>
      <c r="AK244" s="1"/>
      <c r="AL244" s="1"/>
      <c r="AM244" s="1">
        <v>0</v>
      </c>
    </row>
    <row r="245" spans="1:39" x14ac:dyDescent="0.25">
      <c r="A245" s="215" t="s">
        <v>247</v>
      </c>
      <c r="B245" s="216">
        <v>2</v>
      </c>
      <c r="C245" s="1" t="s">
        <v>418</v>
      </c>
      <c r="D245" s="217">
        <v>39399</v>
      </c>
      <c r="E245" s="1">
        <f t="shared" si="67"/>
        <v>2499</v>
      </c>
      <c r="F245" s="1"/>
      <c r="G245" s="13">
        <v>41681</v>
      </c>
      <c r="H245" s="13">
        <f t="shared" si="79"/>
        <v>41478</v>
      </c>
      <c r="I245" s="13">
        <v>41898</v>
      </c>
      <c r="J245" s="13"/>
      <c r="K245" s="1">
        <f t="shared" si="76"/>
        <v>2282</v>
      </c>
      <c r="L245" s="1">
        <f t="shared" ref="L245:L272" si="80">G245-H245</f>
        <v>203</v>
      </c>
      <c r="M245" s="1">
        <f t="shared" si="77"/>
        <v>217</v>
      </c>
      <c r="N245" s="1"/>
      <c r="O245" s="1" t="s">
        <v>417</v>
      </c>
      <c r="P245" s="1">
        <v>5.14</v>
      </c>
      <c r="Q245" s="1"/>
      <c r="R245" s="1"/>
      <c r="S245" s="1">
        <f t="shared" si="71"/>
        <v>1</v>
      </c>
      <c r="T245" s="1">
        <f t="shared" si="72"/>
        <v>1</v>
      </c>
      <c r="U245" s="1"/>
      <c r="V245" s="1"/>
      <c r="W245" s="1"/>
      <c r="X245" s="1"/>
      <c r="Y245" s="1"/>
      <c r="Z245" s="1">
        <v>0</v>
      </c>
      <c r="AA245" s="1">
        <v>0</v>
      </c>
      <c r="AB245" s="1"/>
      <c r="AC245" s="1">
        <v>0</v>
      </c>
      <c r="AD245" s="1">
        <v>0</v>
      </c>
      <c r="AE245" s="1">
        <v>50</v>
      </c>
      <c r="AF245" s="1" t="s">
        <v>417</v>
      </c>
      <c r="AG245" s="1">
        <v>2.5</v>
      </c>
      <c r="AH245" s="1">
        <v>0.35</v>
      </c>
      <c r="AI245" s="1">
        <v>2.5</v>
      </c>
      <c r="AJ245" s="1">
        <v>0.5</v>
      </c>
      <c r="AK245" s="1"/>
      <c r="AL245" s="1"/>
      <c r="AM245" s="1">
        <v>0</v>
      </c>
    </row>
    <row r="246" spans="1:39" x14ac:dyDescent="0.25">
      <c r="A246" s="215" t="s">
        <v>247</v>
      </c>
      <c r="B246" s="216">
        <v>2</v>
      </c>
      <c r="C246" s="1" t="s">
        <v>418</v>
      </c>
      <c r="D246" s="217">
        <v>39399</v>
      </c>
      <c r="E246" s="1">
        <f t="shared" si="67"/>
        <v>2499</v>
      </c>
      <c r="F246" s="1"/>
      <c r="G246" s="13">
        <v>41898</v>
      </c>
      <c r="H246" s="13">
        <f t="shared" si="79"/>
        <v>41681</v>
      </c>
      <c r="I246" s="13">
        <v>41898</v>
      </c>
      <c r="J246" s="13"/>
      <c r="K246" s="1">
        <f t="shared" si="76"/>
        <v>2499</v>
      </c>
      <c r="L246" s="1">
        <f t="shared" si="80"/>
        <v>217</v>
      </c>
      <c r="M246" s="1">
        <f t="shared" si="77"/>
        <v>0</v>
      </c>
      <c r="N246" s="1"/>
      <c r="O246" s="1" t="s">
        <v>417</v>
      </c>
      <c r="P246" s="1">
        <v>5.13</v>
      </c>
      <c r="Q246" s="1"/>
      <c r="R246" s="1"/>
      <c r="S246" s="1"/>
      <c r="T246" s="1"/>
      <c r="U246" s="1"/>
      <c r="V246" s="1"/>
      <c r="W246" s="1"/>
      <c r="X246" s="1"/>
      <c r="Y246" s="1"/>
      <c r="Z246" s="1">
        <v>0</v>
      </c>
      <c r="AA246" s="1">
        <v>0</v>
      </c>
      <c r="AB246" s="1"/>
      <c r="AC246" s="1">
        <v>0</v>
      </c>
      <c r="AD246" s="1">
        <v>0</v>
      </c>
      <c r="AE246" s="1">
        <v>50</v>
      </c>
      <c r="AF246" s="1" t="s">
        <v>417</v>
      </c>
      <c r="AG246" s="1">
        <v>2.5</v>
      </c>
      <c r="AH246" s="1">
        <v>0.35</v>
      </c>
      <c r="AI246" s="1">
        <v>2.5</v>
      </c>
      <c r="AJ246" s="1">
        <v>0.5</v>
      </c>
      <c r="AK246" s="1"/>
      <c r="AL246" s="1"/>
      <c r="AM246" s="1">
        <v>0</v>
      </c>
    </row>
    <row r="247" spans="1:39" x14ac:dyDescent="0.25">
      <c r="A247" s="210" t="s">
        <v>248</v>
      </c>
      <c r="B247" s="216">
        <v>1</v>
      </c>
      <c r="C247" s="1" t="s">
        <v>418</v>
      </c>
      <c r="D247" s="13">
        <v>40133</v>
      </c>
      <c r="E247" s="1">
        <f t="shared" si="67"/>
        <v>2003</v>
      </c>
      <c r="F247" s="1"/>
      <c r="G247" s="13">
        <v>40337</v>
      </c>
      <c r="H247" s="13">
        <v>40133</v>
      </c>
      <c r="I247" s="13">
        <v>42136</v>
      </c>
      <c r="J247" s="13"/>
      <c r="K247" s="1">
        <f t="shared" si="76"/>
        <v>204</v>
      </c>
      <c r="L247" s="1">
        <f t="shared" si="80"/>
        <v>204</v>
      </c>
      <c r="M247" s="1">
        <f t="shared" si="77"/>
        <v>1799</v>
      </c>
      <c r="N247" s="1"/>
      <c r="O247" s="1" t="s">
        <v>417</v>
      </c>
      <c r="P247" s="1">
        <v>6.43</v>
      </c>
      <c r="Q247" s="1">
        <f t="shared" si="74"/>
        <v>1</v>
      </c>
      <c r="R247" s="1">
        <f t="shared" si="70"/>
        <v>1</v>
      </c>
      <c r="S247" s="1">
        <f t="shared" si="71"/>
        <v>1</v>
      </c>
      <c r="T247" s="1">
        <f t="shared" si="72"/>
        <v>1</v>
      </c>
      <c r="U247" s="1" t="s">
        <v>437</v>
      </c>
      <c r="V247" s="1"/>
      <c r="W247" s="1"/>
      <c r="X247" s="1"/>
      <c r="Y247" s="1"/>
      <c r="Z247" s="1"/>
      <c r="AA247" s="1">
        <v>87</v>
      </c>
      <c r="AB247" s="1"/>
      <c r="AC247" s="1">
        <v>0</v>
      </c>
      <c r="AD247" s="1">
        <v>0</v>
      </c>
      <c r="AE247" s="1">
        <v>70</v>
      </c>
      <c r="AF247" s="1" t="s">
        <v>434</v>
      </c>
      <c r="AG247" s="1"/>
      <c r="AH247" s="1"/>
      <c r="AI247" s="1">
        <v>2.5</v>
      </c>
      <c r="AJ247" s="1">
        <v>0.5</v>
      </c>
      <c r="AK247" s="1"/>
      <c r="AL247" s="1"/>
      <c r="AM247" s="1">
        <v>0</v>
      </c>
    </row>
    <row r="248" spans="1:39" x14ac:dyDescent="0.25">
      <c r="A248" s="210" t="s">
        <v>248</v>
      </c>
      <c r="B248" s="216">
        <v>1</v>
      </c>
      <c r="C248" s="1" t="s">
        <v>418</v>
      </c>
      <c r="D248" s="13">
        <v>40133</v>
      </c>
      <c r="E248" s="1">
        <f t="shared" si="67"/>
        <v>2003</v>
      </c>
      <c r="F248" s="1"/>
      <c r="G248" s="13">
        <v>40701</v>
      </c>
      <c r="H248" s="13">
        <f>G247</f>
        <v>40337</v>
      </c>
      <c r="I248" s="13">
        <v>42136</v>
      </c>
      <c r="J248" s="13"/>
      <c r="K248" s="1">
        <f t="shared" si="76"/>
        <v>568</v>
      </c>
      <c r="L248" s="1">
        <f t="shared" si="80"/>
        <v>364</v>
      </c>
      <c r="M248" s="1">
        <f t="shared" si="77"/>
        <v>1435</v>
      </c>
      <c r="N248" s="1"/>
      <c r="O248" s="1" t="s">
        <v>417</v>
      </c>
      <c r="P248" s="1">
        <v>6.34</v>
      </c>
      <c r="Q248" s="1">
        <f t="shared" si="74"/>
        <v>1</v>
      </c>
      <c r="R248" s="1">
        <f t="shared" si="70"/>
        <v>1</v>
      </c>
      <c r="S248" s="1">
        <f t="shared" si="71"/>
        <v>1</v>
      </c>
      <c r="T248" s="1">
        <f t="shared" si="72"/>
        <v>1</v>
      </c>
      <c r="U248" s="1" t="s">
        <v>437</v>
      </c>
      <c r="V248" s="1"/>
      <c r="W248" s="1"/>
      <c r="X248" s="1"/>
      <c r="Y248" s="1"/>
      <c r="Z248" s="1"/>
      <c r="AA248" s="1">
        <v>90</v>
      </c>
      <c r="AB248" s="1"/>
      <c r="AC248" s="1">
        <v>0</v>
      </c>
      <c r="AD248" s="1">
        <v>0</v>
      </c>
      <c r="AE248" s="1">
        <v>70</v>
      </c>
      <c r="AF248" s="1" t="s">
        <v>434</v>
      </c>
      <c r="AG248" s="1"/>
      <c r="AH248" s="1"/>
      <c r="AI248" s="1">
        <v>2.5</v>
      </c>
      <c r="AJ248" s="1">
        <v>0.5</v>
      </c>
      <c r="AK248" s="1"/>
      <c r="AL248" s="1"/>
      <c r="AM248" s="1">
        <v>0</v>
      </c>
    </row>
    <row r="249" spans="1:39" x14ac:dyDescent="0.25">
      <c r="A249" s="210" t="s">
        <v>248</v>
      </c>
      <c r="B249" s="216">
        <v>1</v>
      </c>
      <c r="C249" s="1" t="s">
        <v>418</v>
      </c>
      <c r="D249" s="13">
        <v>40133</v>
      </c>
      <c r="E249" s="1">
        <f t="shared" si="67"/>
        <v>2003</v>
      </c>
      <c r="F249" s="1"/>
      <c r="G249" s="13">
        <v>40925</v>
      </c>
      <c r="H249" s="13">
        <f t="shared" ref="H249:H254" si="81">G248</f>
        <v>40701</v>
      </c>
      <c r="I249" s="13">
        <v>42136</v>
      </c>
      <c r="J249" s="13"/>
      <c r="K249" s="1">
        <f t="shared" si="76"/>
        <v>792</v>
      </c>
      <c r="L249" s="1">
        <f t="shared" si="80"/>
        <v>224</v>
      </c>
      <c r="M249" s="1">
        <f t="shared" si="77"/>
        <v>1211</v>
      </c>
      <c r="N249" s="1"/>
      <c r="O249" s="1" t="s">
        <v>417</v>
      </c>
      <c r="P249" s="1">
        <v>6.19</v>
      </c>
      <c r="Q249" s="1">
        <f t="shared" si="74"/>
        <v>1</v>
      </c>
      <c r="R249" s="1">
        <f t="shared" si="70"/>
        <v>1</v>
      </c>
      <c r="S249" s="1">
        <f t="shared" si="71"/>
        <v>1</v>
      </c>
      <c r="T249" s="1">
        <f t="shared" si="72"/>
        <v>1</v>
      </c>
      <c r="U249" s="1" t="s">
        <v>437</v>
      </c>
      <c r="V249" s="1"/>
      <c r="W249" s="1"/>
      <c r="X249" s="1"/>
      <c r="Y249" s="1"/>
      <c r="Z249" s="1"/>
      <c r="AA249" s="1">
        <v>90</v>
      </c>
      <c r="AB249" s="1"/>
      <c r="AC249" s="1">
        <v>0</v>
      </c>
      <c r="AD249" s="1">
        <v>0</v>
      </c>
      <c r="AE249" s="1">
        <v>70</v>
      </c>
      <c r="AF249" s="1" t="s">
        <v>434</v>
      </c>
      <c r="AG249" s="1"/>
      <c r="AH249" s="1"/>
      <c r="AI249" s="1">
        <v>2.5</v>
      </c>
      <c r="AJ249" s="1">
        <v>0.5</v>
      </c>
      <c r="AK249" s="1"/>
      <c r="AL249" s="1"/>
      <c r="AM249" s="1">
        <v>0</v>
      </c>
    </row>
    <row r="250" spans="1:39" x14ac:dyDescent="0.25">
      <c r="A250" s="210" t="s">
        <v>248</v>
      </c>
      <c r="B250" s="216">
        <v>1</v>
      </c>
      <c r="C250" s="1" t="s">
        <v>418</v>
      </c>
      <c r="D250" s="13">
        <v>40133</v>
      </c>
      <c r="E250" s="1">
        <f t="shared" si="67"/>
        <v>2003</v>
      </c>
      <c r="F250" s="1"/>
      <c r="G250" s="13">
        <v>41107</v>
      </c>
      <c r="H250" s="13">
        <f t="shared" si="81"/>
        <v>40925</v>
      </c>
      <c r="I250" s="13">
        <v>42136</v>
      </c>
      <c r="J250" s="13"/>
      <c r="K250" s="1">
        <f t="shared" si="76"/>
        <v>974</v>
      </c>
      <c r="L250" s="1">
        <f t="shared" si="80"/>
        <v>182</v>
      </c>
      <c r="M250" s="1">
        <f t="shared" si="77"/>
        <v>1029</v>
      </c>
      <c r="N250" s="1"/>
      <c r="O250" s="1" t="s">
        <v>417</v>
      </c>
      <c r="P250" s="1">
        <v>5.93</v>
      </c>
      <c r="Q250" s="1">
        <f t="shared" si="74"/>
        <v>1</v>
      </c>
      <c r="R250" s="1">
        <f t="shared" si="70"/>
        <v>1</v>
      </c>
      <c r="S250" s="1">
        <f t="shared" si="71"/>
        <v>1</v>
      </c>
      <c r="T250" s="1">
        <f t="shared" si="72"/>
        <v>1</v>
      </c>
      <c r="U250" s="1" t="s">
        <v>437</v>
      </c>
      <c r="V250" s="1"/>
      <c r="W250" s="1"/>
      <c r="X250" s="1"/>
      <c r="Y250" s="1"/>
      <c r="Z250" s="1"/>
      <c r="AA250" s="1">
        <v>86</v>
      </c>
      <c r="AB250" s="1"/>
      <c r="AC250" s="1">
        <v>0</v>
      </c>
      <c r="AD250" s="1">
        <v>0</v>
      </c>
      <c r="AE250" s="1">
        <v>60</v>
      </c>
      <c r="AF250" s="1" t="s">
        <v>434</v>
      </c>
      <c r="AG250" s="1"/>
      <c r="AH250" s="1"/>
      <c r="AI250" s="1">
        <v>2.5</v>
      </c>
      <c r="AJ250" s="1">
        <v>0.5</v>
      </c>
      <c r="AK250" s="1"/>
      <c r="AL250" s="1"/>
      <c r="AM250" s="1">
        <v>0</v>
      </c>
    </row>
    <row r="251" spans="1:39" x14ac:dyDescent="0.25">
      <c r="A251" s="210" t="s">
        <v>248</v>
      </c>
      <c r="B251" s="216">
        <v>1</v>
      </c>
      <c r="C251" s="1" t="s">
        <v>418</v>
      </c>
      <c r="D251" s="13">
        <v>40133</v>
      </c>
      <c r="E251" s="1">
        <f t="shared" si="67"/>
        <v>2003</v>
      </c>
      <c r="F251" s="1"/>
      <c r="G251" s="13">
        <v>41390</v>
      </c>
      <c r="H251" s="13">
        <f t="shared" si="81"/>
        <v>41107</v>
      </c>
      <c r="I251" s="13">
        <v>42136</v>
      </c>
      <c r="J251" s="13"/>
      <c r="K251" s="1">
        <f t="shared" si="76"/>
        <v>1257</v>
      </c>
      <c r="L251" s="1">
        <f t="shared" si="80"/>
        <v>283</v>
      </c>
      <c r="M251" s="1">
        <f t="shared" si="77"/>
        <v>746</v>
      </c>
      <c r="N251" s="1"/>
      <c r="O251" s="1" t="s">
        <v>417</v>
      </c>
      <c r="P251" s="1">
        <v>5.39</v>
      </c>
      <c r="Q251" s="1">
        <f t="shared" si="74"/>
        <v>1</v>
      </c>
      <c r="R251" s="1">
        <f t="shared" si="70"/>
        <v>1</v>
      </c>
      <c r="S251" s="1">
        <f t="shared" si="71"/>
        <v>1</v>
      </c>
      <c r="T251" s="1">
        <f t="shared" si="72"/>
        <v>1</v>
      </c>
      <c r="U251" s="1" t="s">
        <v>437</v>
      </c>
      <c r="V251" s="1"/>
      <c r="W251" s="1"/>
      <c r="X251" s="1"/>
      <c r="Y251" s="1"/>
      <c r="Z251" s="1"/>
      <c r="AA251" s="1">
        <v>87</v>
      </c>
      <c r="AB251" s="1"/>
      <c r="AC251" s="1">
        <v>0</v>
      </c>
      <c r="AD251" s="1">
        <v>0</v>
      </c>
      <c r="AE251" s="1">
        <v>60</v>
      </c>
      <c r="AF251" s="1" t="s">
        <v>434</v>
      </c>
      <c r="AG251" s="1"/>
      <c r="AH251" s="1"/>
      <c r="AI251" s="1">
        <v>2.5</v>
      </c>
      <c r="AJ251" s="1">
        <v>0.5</v>
      </c>
      <c r="AK251" s="1"/>
      <c r="AL251" s="1"/>
      <c r="AM251" s="1">
        <v>0</v>
      </c>
    </row>
    <row r="252" spans="1:39" x14ac:dyDescent="0.25">
      <c r="A252" s="210" t="s">
        <v>248</v>
      </c>
      <c r="B252" s="216">
        <v>1</v>
      </c>
      <c r="C252" s="1" t="s">
        <v>418</v>
      </c>
      <c r="D252" s="13">
        <v>40133</v>
      </c>
      <c r="E252" s="1">
        <f t="shared" si="67"/>
        <v>2003</v>
      </c>
      <c r="F252" s="1"/>
      <c r="G252" s="13">
        <v>41597</v>
      </c>
      <c r="H252" s="13">
        <f t="shared" si="81"/>
        <v>41390</v>
      </c>
      <c r="I252" s="13">
        <v>42136</v>
      </c>
      <c r="J252" s="13"/>
      <c r="K252" s="1">
        <f t="shared" si="76"/>
        <v>1464</v>
      </c>
      <c r="L252" s="1">
        <f t="shared" si="80"/>
        <v>207</v>
      </c>
      <c r="M252" s="1">
        <f t="shared" si="77"/>
        <v>539</v>
      </c>
      <c r="N252" s="1"/>
      <c r="O252" s="1" t="s">
        <v>417</v>
      </c>
      <c r="P252" s="1">
        <v>5.2</v>
      </c>
      <c r="Q252" s="1"/>
      <c r="R252" s="1">
        <f t="shared" si="70"/>
        <v>1</v>
      </c>
      <c r="S252" s="1">
        <f t="shared" si="71"/>
        <v>1</v>
      </c>
      <c r="T252" s="1">
        <f t="shared" si="72"/>
        <v>1</v>
      </c>
      <c r="U252" s="1"/>
      <c r="V252" s="1"/>
      <c r="W252" s="1"/>
      <c r="X252" s="1"/>
      <c r="Y252" s="1"/>
      <c r="Z252" s="1"/>
      <c r="AA252" s="1">
        <v>87</v>
      </c>
      <c r="AB252" s="1"/>
      <c r="AC252" s="1">
        <v>0</v>
      </c>
      <c r="AD252" s="1">
        <v>0</v>
      </c>
      <c r="AE252" s="1">
        <v>60</v>
      </c>
      <c r="AF252" s="1" t="s">
        <v>434</v>
      </c>
      <c r="AG252" s="1"/>
      <c r="AH252" s="1"/>
      <c r="AI252" s="1">
        <v>2.5</v>
      </c>
      <c r="AJ252" s="1">
        <v>0.5</v>
      </c>
      <c r="AK252" s="1"/>
      <c r="AL252" s="1"/>
      <c r="AM252" s="1">
        <v>0</v>
      </c>
    </row>
    <row r="253" spans="1:39" x14ac:dyDescent="0.25">
      <c r="A253" s="210" t="s">
        <v>248</v>
      </c>
      <c r="B253" s="216">
        <v>1</v>
      </c>
      <c r="C253" s="1" t="s">
        <v>418</v>
      </c>
      <c r="D253" s="13">
        <v>40133</v>
      </c>
      <c r="E253" s="1">
        <f t="shared" si="67"/>
        <v>2003</v>
      </c>
      <c r="F253" s="1"/>
      <c r="G253" s="13">
        <v>41947</v>
      </c>
      <c r="H253" s="13">
        <f t="shared" si="81"/>
        <v>41597</v>
      </c>
      <c r="I253" s="13">
        <v>42136</v>
      </c>
      <c r="J253" s="13"/>
      <c r="K253" s="1">
        <f t="shared" si="76"/>
        <v>1814</v>
      </c>
      <c r="L253" s="1">
        <f t="shared" si="80"/>
        <v>350</v>
      </c>
      <c r="M253" s="1">
        <f t="shared" si="77"/>
        <v>189</v>
      </c>
      <c r="N253" s="1"/>
      <c r="O253" s="1" t="s">
        <v>417</v>
      </c>
      <c r="P253" s="1">
        <v>5.14</v>
      </c>
      <c r="Q253" s="1"/>
      <c r="R253" s="1"/>
      <c r="S253" s="1">
        <f t="shared" si="71"/>
        <v>1</v>
      </c>
      <c r="T253" s="1">
        <f t="shared" si="72"/>
        <v>1</v>
      </c>
      <c r="U253" s="1"/>
      <c r="V253" s="1"/>
      <c r="W253" s="1"/>
      <c r="X253" s="1"/>
      <c r="Y253" s="1"/>
      <c r="Z253" s="1"/>
      <c r="AA253" s="1">
        <v>91</v>
      </c>
      <c r="AB253" s="1"/>
      <c r="AC253" s="1">
        <v>0</v>
      </c>
      <c r="AD253" s="1">
        <v>0</v>
      </c>
      <c r="AE253" s="1">
        <v>60</v>
      </c>
      <c r="AF253" s="1" t="s">
        <v>434</v>
      </c>
      <c r="AG253" s="1"/>
      <c r="AH253" s="1"/>
      <c r="AI253" s="1">
        <v>2.5</v>
      </c>
      <c r="AJ253" s="1">
        <v>0.5</v>
      </c>
      <c r="AK253" s="1"/>
      <c r="AL253" s="1"/>
      <c r="AM253" s="1">
        <v>0</v>
      </c>
    </row>
    <row r="254" spans="1:39" x14ac:dyDescent="0.25">
      <c r="A254" s="210" t="s">
        <v>248</v>
      </c>
      <c r="B254" s="216">
        <v>1</v>
      </c>
      <c r="C254" s="1" t="s">
        <v>418</v>
      </c>
      <c r="D254" s="13">
        <v>40133</v>
      </c>
      <c r="E254" s="1">
        <f t="shared" si="67"/>
        <v>2003</v>
      </c>
      <c r="F254" s="1"/>
      <c r="G254" s="13">
        <v>42136</v>
      </c>
      <c r="H254" s="13">
        <f t="shared" si="81"/>
        <v>41947</v>
      </c>
      <c r="I254" s="13">
        <v>42136</v>
      </c>
      <c r="J254" s="13"/>
      <c r="K254" s="1">
        <f t="shared" si="76"/>
        <v>2003</v>
      </c>
      <c r="L254" s="1">
        <f t="shared" si="80"/>
        <v>189</v>
      </c>
      <c r="M254" s="1">
        <f t="shared" si="77"/>
        <v>0</v>
      </c>
      <c r="N254" s="1"/>
      <c r="O254" s="1" t="s">
        <v>417</v>
      </c>
      <c r="P254" s="1">
        <v>5.1100000000000003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>
        <v>46</v>
      </c>
      <c r="AB254" s="1"/>
      <c r="AC254" s="1">
        <v>0</v>
      </c>
      <c r="AD254" s="1">
        <v>0</v>
      </c>
      <c r="AE254" s="1">
        <v>60</v>
      </c>
      <c r="AF254" s="1" t="s">
        <v>434</v>
      </c>
      <c r="AG254" s="1"/>
      <c r="AH254" s="1"/>
      <c r="AI254" s="1">
        <v>2.5</v>
      </c>
      <c r="AJ254" s="1">
        <v>0.5</v>
      </c>
      <c r="AK254" s="1"/>
      <c r="AL254" s="1"/>
      <c r="AM254" s="1">
        <v>0</v>
      </c>
    </row>
    <row r="255" spans="1:39" x14ac:dyDescent="0.25">
      <c r="A255" s="218" t="s">
        <v>257</v>
      </c>
      <c r="B255" s="216">
        <v>2</v>
      </c>
      <c r="C255" s="1" t="s">
        <v>418</v>
      </c>
      <c r="D255" s="13">
        <v>39324</v>
      </c>
      <c r="E255" s="1">
        <f t="shared" si="67"/>
        <v>941</v>
      </c>
      <c r="F255" s="1"/>
      <c r="G255" s="13">
        <v>40071</v>
      </c>
      <c r="H255" s="13">
        <v>39324</v>
      </c>
      <c r="I255" s="13">
        <v>40265</v>
      </c>
      <c r="J255" s="13"/>
      <c r="K255" s="1">
        <f t="shared" si="76"/>
        <v>747</v>
      </c>
      <c r="L255" s="1">
        <f t="shared" si="80"/>
        <v>747</v>
      </c>
      <c r="M255" s="1">
        <f t="shared" si="77"/>
        <v>194</v>
      </c>
      <c r="N255" s="1"/>
      <c r="O255" s="1" t="s">
        <v>417</v>
      </c>
      <c r="P255" s="1">
        <v>5.14</v>
      </c>
      <c r="Q255" s="1"/>
      <c r="R255" s="1"/>
      <c r="S255" s="1">
        <f t="shared" si="71"/>
        <v>1</v>
      </c>
      <c r="T255" s="1">
        <f t="shared" si="72"/>
        <v>1</v>
      </c>
      <c r="U255" s="1"/>
      <c r="V255" s="1"/>
      <c r="W255" s="1"/>
      <c r="X255" s="1"/>
      <c r="Y255" s="1"/>
      <c r="Z255" s="1">
        <v>94</v>
      </c>
      <c r="AA255" s="1">
        <v>99</v>
      </c>
      <c r="AB255" s="1"/>
      <c r="AC255" s="1">
        <v>0</v>
      </c>
      <c r="AD255" s="1">
        <v>0</v>
      </c>
      <c r="AE255" s="1">
        <v>80</v>
      </c>
      <c r="AF255" s="1" t="s">
        <v>417</v>
      </c>
      <c r="AG255" s="1">
        <v>3.5</v>
      </c>
      <c r="AH255" s="1">
        <v>0.35</v>
      </c>
      <c r="AI255" s="1">
        <v>4.5</v>
      </c>
      <c r="AJ255" s="1">
        <v>0.35</v>
      </c>
      <c r="AK255" s="1"/>
      <c r="AL255" s="1"/>
      <c r="AM255" s="1">
        <v>0</v>
      </c>
    </row>
    <row r="256" spans="1:39" x14ac:dyDescent="0.25">
      <c r="A256" s="218" t="s">
        <v>257</v>
      </c>
      <c r="B256" s="216">
        <v>2</v>
      </c>
      <c r="C256" s="1" t="s">
        <v>418</v>
      </c>
      <c r="D256" s="13">
        <v>39324</v>
      </c>
      <c r="E256" s="1">
        <f t="shared" si="67"/>
        <v>941</v>
      </c>
      <c r="F256" s="1"/>
      <c r="G256" s="13">
        <v>40162</v>
      </c>
      <c r="H256" s="13">
        <f>G255</f>
        <v>40071</v>
      </c>
      <c r="I256" s="13">
        <v>40265</v>
      </c>
      <c r="J256" s="13"/>
      <c r="K256" s="1">
        <f t="shared" si="76"/>
        <v>838</v>
      </c>
      <c r="L256" s="1">
        <f t="shared" si="80"/>
        <v>91</v>
      </c>
      <c r="M256" s="1">
        <f t="shared" si="77"/>
        <v>103</v>
      </c>
      <c r="N256" s="1"/>
      <c r="O256" s="1" t="s">
        <v>417</v>
      </c>
      <c r="P256" s="1">
        <v>5.13</v>
      </c>
      <c r="Q256" s="1"/>
      <c r="R256" s="1"/>
      <c r="S256" s="1"/>
      <c r="T256" s="1">
        <f t="shared" si="72"/>
        <v>1</v>
      </c>
      <c r="U256" s="1"/>
      <c r="V256" s="1"/>
      <c r="W256" s="1"/>
      <c r="X256" s="1"/>
      <c r="Y256" s="1"/>
      <c r="Z256" s="1">
        <v>96</v>
      </c>
      <c r="AA256" s="1">
        <v>99</v>
      </c>
      <c r="AB256" s="1"/>
      <c r="AC256" s="1">
        <v>0</v>
      </c>
      <c r="AD256" s="1">
        <v>0</v>
      </c>
      <c r="AE256" s="1">
        <v>80</v>
      </c>
      <c r="AF256" s="1" t="s">
        <v>417</v>
      </c>
      <c r="AG256" s="1">
        <v>3.5</v>
      </c>
      <c r="AH256" s="1">
        <v>0.35</v>
      </c>
      <c r="AI256" s="1">
        <v>4.5</v>
      </c>
      <c r="AJ256" s="1">
        <v>0.35</v>
      </c>
      <c r="AK256" s="1"/>
      <c r="AL256" s="1"/>
      <c r="AM256" s="1">
        <v>0</v>
      </c>
    </row>
    <row r="257" spans="1:39" x14ac:dyDescent="0.25">
      <c r="A257" s="218" t="s">
        <v>257</v>
      </c>
      <c r="B257" s="216">
        <v>2</v>
      </c>
      <c r="C257" s="1" t="s">
        <v>418</v>
      </c>
      <c r="D257" s="13">
        <v>39324</v>
      </c>
      <c r="E257" s="1">
        <f t="shared" si="67"/>
        <v>941</v>
      </c>
      <c r="F257" s="1"/>
      <c r="G257" s="13">
        <v>40253</v>
      </c>
      <c r="H257" s="13">
        <f t="shared" ref="H257:H258" si="82">G256</f>
        <v>40162</v>
      </c>
      <c r="I257" s="13">
        <v>40265</v>
      </c>
      <c r="J257" s="13"/>
      <c r="K257" s="1">
        <f t="shared" si="76"/>
        <v>929</v>
      </c>
      <c r="L257" s="1">
        <f t="shared" si="80"/>
        <v>91</v>
      </c>
      <c r="M257" s="1">
        <f t="shared" si="77"/>
        <v>12</v>
      </c>
      <c r="N257" s="1"/>
      <c r="O257" s="1" t="s">
        <v>417</v>
      </c>
      <c r="P257" s="1">
        <v>5.0999999999999996</v>
      </c>
      <c r="Q257" s="1"/>
      <c r="R257" s="1"/>
      <c r="S257" s="1"/>
      <c r="T257" s="1"/>
      <c r="U257" s="1"/>
      <c r="V257" s="1"/>
      <c r="W257" s="1"/>
      <c r="X257" s="1"/>
      <c r="Y257" s="1"/>
      <c r="Z257" s="1">
        <v>87</v>
      </c>
      <c r="AA257" s="1">
        <v>100</v>
      </c>
      <c r="AB257" s="1"/>
      <c r="AC257" s="1">
        <v>0</v>
      </c>
      <c r="AD257" s="1">
        <v>0</v>
      </c>
      <c r="AE257" s="1">
        <v>80</v>
      </c>
      <c r="AF257" s="1" t="s">
        <v>417</v>
      </c>
      <c r="AG257" s="1">
        <v>3.5</v>
      </c>
      <c r="AH257" s="1">
        <v>0.35</v>
      </c>
      <c r="AI257" s="1">
        <v>4.5</v>
      </c>
      <c r="AJ257" s="1">
        <v>0.35</v>
      </c>
      <c r="AK257" s="1"/>
      <c r="AL257" s="1"/>
      <c r="AM257" s="1">
        <v>0</v>
      </c>
    </row>
    <row r="258" spans="1:39" x14ac:dyDescent="0.25">
      <c r="A258" s="218" t="s">
        <v>257</v>
      </c>
      <c r="B258" s="216">
        <v>2</v>
      </c>
      <c r="C258" s="1" t="s">
        <v>418</v>
      </c>
      <c r="D258" s="13">
        <v>39324</v>
      </c>
      <c r="E258" s="1">
        <f t="shared" si="67"/>
        <v>941</v>
      </c>
      <c r="F258" s="1"/>
      <c r="G258" s="13">
        <v>40265</v>
      </c>
      <c r="H258" s="13">
        <f t="shared" si="82"/>
        <v>40253</v>
      </c>
      <c r="I258" s="13">
        <v>40265</v>
      </c>
      <c r="J258" s="13"/>
      <c r="K258" s="1">
        <f t="shared" si="76"/>
        <v>941</v>
      </c>
      <c r="L258" s="1">
        <f t="shared" si="80"/>
        <v>12</v>
      </c>
      <c r="M258" s="1">
        <f t="shared" si="77"/>
        <v>0</v>
      </c>
      <c r="N258" s="1"/>
      <c r="O258" s="1" t="s">
        <v>417</v>
      </c>
      <c r="P258" s="1">
        <v>5.0999999999999996</v>
      </c>
      <c r="Q258" s="1"/>
      <c r="R258" s="1"/>
      <c r="S258" s="1"/>
      <c r="T258" s="1"/>
      <c r="U258" s="1"/>
      <c r="V258" s="1"/>
      <c r="W258" s="1"/>
      <c r="X258" s="1"/>
      <c r="Y258" s="1"/>
      <c r="Z258" s="1">
        <v>60</v>
      </c>
      <c r="AA258" s="1">
        <v>99</v>
      </c>
      <c r="AB258" s="1"/>
      <c r="AC258" s="1">
        <v>0</v>
      </c>
      <c r="AD258" s="1">
        <v>0</v>
      </c>
      <c r="AE258" s="1">
        <v>80</v>
      </c>
      <c r="AF258" s="1" t="s">
        <v>417</v>
      </c>
      <c r="AG258" s="1">
        <v>3.5</v>
      </c>
      <c r="AH258" s="1">
        <v>0.35</v>
      </c>
      <c r="AI258" s="1">
        <v>4.5</v>
      </c>
      <c r="AJ258" s="1">
        <v>0.35</v>
      </c>
      <c r="AK258" s="1"/>
      <c r="AL258" s="1"/>
      <c r="AM258" s="1">
        <v>0</v>
      </c>
    </row>
    <row r="259" spans="1:39" x14ac:dyDescent="0.25">
      <c r="A259" s="219" t="s">
        <v>260</v>
      </c>
      <c r="B259" s="216">
        <v>2</v>
      </c>
      <c r="C259" s="1" t="s">
        <v>418</v>
      </c>
      <c r="D259" s="13">
        <v>38769</v>
      </c>
      <c r="E259" s="1">
        <f t="shared" si="67"/>
        <v>1540</v>
      </c>
      <c r="F259" s="1"/>
      <c r="G259" s="13">
        <v>40127</v>
      </c>
      <c r="H259" s="13">
        <v>38769</v>
      </c>
      <c r="I259" s="13">
        <v>40309</v>
      </c>
      <c r="J259" s="13"/>
      <c r="K259" s="1">
        <f t="shared" si="76"/>
        <v>1358</v>
      </c>
      <c r="L259" s="1">
        <f t="shared" si="80"/>
        <v>1358</v>
      </c>
      <c r="M259" s="1">
        <f t="shared" si="77"/>
        <v>182</v>
      </c>
      <c r="N259" s="1"/>
      <c r="O259" s="1" t="s">
        <v>417</v>
      </c>
      <c r="P259" s="1">
        <v>5.91</v>
      </c>
      <c r="Q259" s="1"/>
      <c r="R259" s="1"/>
      <c r="S259" s="1">
        <f t="shared" si="71"/>
        <v>1</v>
      </c>
      <c r="T259" s="1">
        <f t="shared" si="72"/>
        <v>1</v>
      </c>
      <c r="U259" s="1"/>
      <c r="V259" s="1"/>
      <c r="W259" s="1"/>
      <c r="X259" s="1"/>
      <c r="Y259" s="1"/>
      <c r="Z259" s="1">
        <v>9</v>
      </c>
      <c r="AA259" s="1">
        <v>2</v>
      </c>
      <c r="AB259" s="1"/>
      <c r="AC259" s="1">
        <v>0</v>
      </c>
      <c r="AD259" s="1">
        <v>8</v>
      </c>
      <c r="AE259" s="1">
        <v>40</v>
      </c>
      <c r="AF259" s="1" t="s">
        <v>417</v>
      </c>
      <c r="AG259" s="1">
        <v>2.5</v>
      </c>
      <c r="AH259" s="1">
        <v>0.35</v>
      </c>
      <c r="AI259" s="1">
        <v>2.5</v>
      </c>
      <c r="AJ259" s="1">
        <v>0.35</v>
      </c>
      <c r="AK259" s="1"/>
      <c r="AL259" s="1"/>
      <c r="AM259" s="1">
        <v>0</v>
      </c>
    </row>
    <row r="260" spans="1:39" x14ac:dyDescent="0.25">
      <c r="A260" s="219" t="s">
        <v>260</v>
      </c>
      <c r="B260" s="216">
        <v>2</v>
      </c>
      <c r="C260" s="1" t="s">
        <v>418</v>
      </c>
      <c r="D260" s="13">
        <v>38769</v>
      </c>
      <c r="E260" s="1">
        <f t="shared" si="67"/>
        <v>1540</v>
      </c>
      <c r="F260" s="1"/>
      <c r="G260" s="13">
        <v>40309</v>
      </c>
      <c r="H260" s="13">
        <f>G259</f>
        <v>40127</v>
      </c>
      <c r="I260" s="13">
        <v>40309</v>
      </c>
      <c r="J260" s="13"/>
      <c r="K260" s="1">
        <f t="shared" si="76"/>
        <v>1540</v>
      </c>
      <c r="L260" s="1">
        <f t="shared" si="80"/>
        <v>182</v>
      </c>
      <c r="M260" s="1">
        <f t="shared" si="77"/>
        <v>0</v>
      </c>
      <c r="N260" s="1"/>
      <c r="O260" s="1" t="s">
        <v>417</v>
      </c>
      <c r="P260" s="1">
        <v>5.68</v>
      </c>
      <c r="Q260" s="1"/>
      <c r="R260" s="1"/>
      <c r="S260" s="1"/>
      <c r="T260" s="1"/>
      <c r="U260" s="1"/>
      <c r="V260" s="1"/>
      <c r="W260" s="1"/>
      <c r="X260" s="1"/>
      <c r="Y260" s="1"/>
      <c r="Z260" s="1">
        <v>18</v>
      </c>
      <c r="AA260" s="1">
        <v>1</v>
      </c>
      <c r="AB260" s="1"/>
      <c r="AC260" s="1">
        <v>0</v>
      </c>
      <c r="AD260" s="1">
        <v>3</v>
      </c>
      <c r="AE260" s="1">
        <v>40</v>
      </c>
      <c r="AF260" s="1" t="s">
        <v>417</v>
      </c>
      <c r="AG260" s="1">
        <v>2.5</v>
      </c>
      <c r="AH260" s="1">
        <v>0.35</v>
      </c>
      <c r="AI260" s="1">
        <v>2.5</v>
      </c>
      <c r="AJ260" s="1">
        <v>0.35</v>
      </c>
      <c r="AK260" s="1"/>
      <c r="AL260" s="1"/>
      <c r="AM260" s="1">
        <v>0</v>
      </c>
    </row>
    <row r="261" spans="1:39" x14ac:dyDescent="0.25">
      <c r="A261" s="220" t="s">
        <v>263</v>
      </c>
      <c r="B261" s="216">
        <v>2</v>
      </c>
      <c r="C261" s="1" t="s">
        <v>418</v>
      </c>
      <c r="D261" s="13">
        <v>38792</v>
      </c>
      <c r="E261" s="1">
        <f t="shared" si="67"/>
        <v>1524</v>
      </c>
      <c r="F261" s="1"/>
      <c r="G261" s="13">
        <v>40134</v>
      </c>
      <c r="H261" s="13">
        <v>38792</v>
      </c>
      <c r="I261" s="13">
        <v>40316</v>
      </c>
      <c r="J261" s="13"/>
      <c r="K261" s="1">
        <f t="shared" si="76"/>
        <v>1342</v>
      </c>
      <c r="L261" s="1">
        <f t="shared" si="80"/>
        <v>1342</v>
      </c>
      <c r="M261" s="1">
        <f t="shared" si="77"/>
        <v>182</v>
      </c>
      <c r="N261" s="1"/>
      <c r="O261" s="1" t="s">
        <v>417</v>
      </c>
      <c r="P261" s="1">
        <v>5.65</v>
      </c>
      <c r="Q261" s="1"/>
      <c r="R261" s="1"/>
      <c r="S261" s="1">
        <f t="shared" si="71"/>
        <v>1</v>
      </c>
      <c r="T261" s="1">
        <f t="shared" si="72"/>
        <v>1</v>
      </c>
      <c r="U261" s="1"/>
      <c r="V261" s="1"/>
      <c r="W261" s="1"/>
      <c r="X261" s="1"/>
      <c r="Y261" s="1"/>
      <c r="Z261" s="1">
        <v>93</v>
      </c>
      <c r="AA261" s="1">
        <v>96</v>
      </c>
      <c r="AB261" s="1"/>
      <c r="AC261" s="1">
        <v>0</v>
      </c>
      <c r="AD261" s="1">
        <v>0</v>
      </c>
      <c r="AE261" s="1">
        <v>70</v>
      </c>
      <c r="AF261" s="1"/>
      <c r="AG261" s="1">
        <v>2.5</v>
      </c>
      <c r="AH261" s="1">
        <v>0.35</v>
      </c>
      <c r="AI261" s="1">
        <v>2.5</v>
      </c>
      <c r="AJ261" s="1">
        <v>0.35</v>
      </c>
      <c r="AK261" s="1"/>
      <c r="AL261" s="1"/>
      <c r="AM261" s="1">
        <v>0</v>
      </c>
    </row>
    <row r="262" spans="1:39" x14ac:dyDescent="0.25">
      <c r="A262" s="220" t="s">
        <v>263</v>
      </c>
      <c r="B262" s="216">
        <v>2</v>
      </c>
      <c r="C262" s="1" t="s">
        <v>418</v>
      </c>
      <c r="D262" s="13">
        <v>38792</v>
      </c>
      <c r="E262" s="1">
        <f t="shared" si="67"/>
        <v>1524</v>
      </c>
      <c r="F262" s="1"/>
      <c r="G262" s="13">
        <v>40316</v>
      </c>
      <c r="H262" s="13">
        <f>G261</f>
        <v>40134</v>
      </c>
      <c r="I262" s="13">
        <v>40316</v>
      </c>
      <c r="J262" s="13"/>
      <c r="K262" s="1">
        <f t="shared" si="76"/>
        <v>1524</v>
      </c>
      <c r="L262" s="1">
        <f t="shared" si="80"/>
        <v>182</v>
      </c>
      <c r="M262" s="1">
        <f t="shared" si="77"/>
        <v>0</v>
      </c>
      <c r="N262" s="1"/>
      <c r="O262" s="1" t="s">
        <v>417</v>
      </c>
      <c r="P262" s="1">
        <v>5.31</v>
      </c>
      <c r="Q262" s="1"/>
      <c r="R262" s="1"/>
      <c r="S262" s="1"/>
      <c r="T262" s="1"/>
      <c r="U262" s="1"/>
      <c r="V262" s="1"/>
      <c r="W262" s="1"/>
      <c r="X262" s="1"/>
      <c r="Y262" s="1"/>
      <c r="Z262" s="1">
        <v>90</v>
      </c>
      <c r="AA262" s="1">
        <v>100</v>
      </c>
      <c r="AB262" s="1"/>
      <c r="AC262" s="1">
        <v>0</v>
      </c>
      <c r="AD262" s="1">
        <v>0</v>
      </c>
      <c r="AE262" s="1">
        <v>70</v>
      </c>
      <c r="AF262" s="1" t="s">
        <v>434</v>
      </c>
      <c r="AG262" s="1">
        <v>2.5</v>
      </c>
      <c r="AH262" s="1">
        <v>0.35</v>
      </c>
      <c r="AI262" s="1">
        <v>2.5</v>
      </c>
      <c r="AJ262" s="1">
        <v>0.35</v>
      </c>
      <c r="AK262" s="1"/>
      <c r="AL262" s="1"/>
      <c r="AM262" s="1">
        <v>0</v>
      </c>
    </row>
    <row r="263" spans="1:39" x14ac:dyDescent="0.25">
      <c r="A263" s="221" t="s">
        <v>267</v>
      </c>
      <c r="B263" s="216">
        <v>2</v>
      </c>
      <c r="C263" s="1" t="s">
        <v>418</v>
      </c>
      <c r="D263" s="13">
        <v>38903</v>
      </c>
      <c r="E263" s="1">
        <f t="shared" si="67"/>
        <v>1944</v>
      </c>
      <c r="F263" s="1"/>
      <c r="G263" s="13">
        <v>40218</v>
      </c>
      <c r="H263" s="13">
        <v>38903</v>
      </c>
      <c r="I263" s="13">
        <v>40847</v>
      </c>
      <c r="J263" s="13"/>
      <c r="K263" s="1">
        <f t="shared" si="76"/>
        <v>1315</v>
      </c>
      <c r="L263" s="1">
        <f t="shared" si="80"/>
        <v>1315</v>
      </c>
      <c r="M263" s="1">
        <f t="shared" si="77"/>
        <v>629</v>
      </c>
      <c r="N263" s="1"/>
      <c r="O263" s="1" t="s">
        <v>417</v>
      </c>
      <c r="P263" s="1">
        <v>5.14</v>
      </c>
      <c r="Q263" s="1">
        <f t="shared" si="74"/>
        <v>1</v>
      </c>
      <c r="R263" s="1">
        <f t="shared" si="70"/>
        <v>1</v>
      </c>
      <c r="S263" s="1">
        <f t="shared" si="71"/>
        <v>1</v>
      </c>
      <c r="T263" s="1">
        <f t="shared" si="72"/>
        <v>1</v>
      </c>
      <c r="U263" s="1" t="s">
        <v>437</v>
      </c>
      <c r="V263" s="1"/>
      <c r="W263" s="1"/>
      <c r="X263" s="1"/>
      <c r="Y263" s="1"/>
      <c r="Z263" s="1">
        <v>11</v>
      </c>
      <c r="AA263" s="1">
        <v>9</v>
      </c>
      <c r="AB263" s="1"/>
      <c r="AC263" s="1">
        <v>0</v>
      </c>
      <c r="AD263" s="1">
        <v>0</v>
      </c>
      <c r="AE263" s="1">
        <v>60</v>
      </c>
      <c r="AF263" s="1" t="s">
        <v>417</v>
      </c>
      <c r="AG263" s="1">
        <v>2.5</v>
      </c>
      <c r="AH263" s="1">
        <v>0.35</v>
      </c>
      <c r="AI263" s="1">
        <v>2.5</v>
      </c>
      <c r="AJ263" s="1">
        <v>0.35</v>
      </c>
      <c r="AK263" s="1"/>
      <c r="AL263" s="1"/>
      <c r="AM263" s="1">
        <v>0</v>
      </c>
    </row>
    <row r="264" spans="1:39" x14ac:dyDescent="0.25">
      <c r="A264" s="221" t="s">
        <v>267</v>
      </c>
      <c r="B264" s="216">
        <v>2</v>
      </c>
      <c r="C264" s="1" t="s">
        <v>418</v>
      </c>
      <c r="D264" s="13">
        <v>38903</v>
      </c>
      <c r="E264" s="1">
        <f t="shared" si="67"/>
        <v>1944</v>
      </c>
      <c r="F264" s="1"/>
      <c r="G264" s="13">
        <v>40659</v>
      </c>
      <c r="H264" s="13">
        <f>G263</f>
        <v>40218</v>
      </c>
      <c r="I264" s="13">
        <v>40847</v>
      </c>
      <c r="J264" s="13"/>
      <c r="K264" s="1">
        <f t="shared" si="76"/>
        <v>1756</v>
      </c>
      <c r="L264" s="1">
        <f t="shared" si="80"/>
        <v>441</v>
      </c>
      <c r="M264" s="1">
        <f t="shared" si="77"/>
        <v>188</v>
      </c>
      <c r="N264" s="1"/>
      <c r="O264" s="1" t="s">
        <v>417</v>
      </c>
      <c r="P264" s="1">
        <v>4.97</v>
      </c>
      <c r="Q264" s="1"/>
      <c r="R264" s="1"/>
      <c r="S264" s="1">
        <f t="shared" si="71"/>
        <v>1</v>
      </c>
      <c r="T264" s="1">
        <f t="shared" si="72"/>
        <v>1</v>
      </c>
      <c r="U264" s="1"/>
      <c r="V264" s="1"/>
      <c r="W264" s="1"/>
      <c r="X264" s="1"/>
      <c r="Y264" s="1"/>
      <c r="Z264" s="1">
        <v>10</v>
      </c>
      <c r="AA264" s="1">
        <v>4</v>
      </c>
      <c r="AB264" s="1"/>
      <c r="AC264" s="1">
        <v>0</v>
      </c>
      <c r="AD264" s="1">
        <v>0</v>
      </c>
      <c r="AE264" s="1">
        <v>60</v>
      </c>
      <c r="AF264" s="1" t="s">
        <v>417</v>
      </c>
      <c r="AG264" s="1">
        <v>2.5</v>
      </c>
      <c r="AH264" s="1">
        <v>0.35</v>
      </c>
      <c r="AI264" s="1">
        <v>2.5</v>
      </c>
      <c r="AJ264" s="1">
        <v>0.35</v>
      </c>
      <c r="AK264" s="1"/>
      <c r="AL264" s="1"/>
      <c r="AM264" s="1">
        <v>0</v>
      </c>
    </row>
    <row r="265" spans="1:39" x14ac:dyDescent="0.25">
      <c r="A265" s="221" t="s">
        <v>267</v>
      </c>
      <c r="B265" s="216">
        <v>2</v>
      </c>
      <c r="C265" s="1" t="s">
        <v>418</v>
      </c>
      <c r="D265" s="13">
        <v>38903</v>
      </c>
      <c r="E265" s="1">
        <f t="shared" si="67"/>
        <v>1944</v>
      </c>
      <c r="F265" s="1"/>
      <c r="G265" s="13">
        <v>40847</v>
      </c>
      <c r="H265" s="13">
        <f>G264</f>
        <v>40659</v>
      </c>
      <c r="I265" s="13">
        <v>40847</v>
      </c>
      <c r="J265" s="13"/>
      <c r="K265" s="1">
        <f t="shared" si="76"/>
        <v>1944</v>
      </c>
      <c r="L265" s="1">
        <f t="shared" si="80"/>
        <v>188</v>
      </c>
      <c r="M265" s="1">
        <f t="shared" si="77"/>
        <v>0</v>
      </c>
      <c r="N265" s="1"/>
      <c r="O265" s="1" t="s">
        <v>434</v>
      </c>
      <c r="P265" s="1">
        <v>4.55</v>
      </c>
      <c r="Q265" s="1"/>
      <c r="R265" s="1"/>
      <c r="S265" s="1"/>
      <c r="T265" s="1"/>
      <c r="U265" s="1"/>
      <c r="V265" s="1">
        <v>0</v>
      </c>
      <c r="W265" s="1">
        <v>0</v>
      </c>
      <c r="X265" s="1">
        <v>1</v>
      </c>
      <c r="Y265" s="1">
        <v>1</v>
      </c>
      <c r="Z265" s="1">
        <v>18</v>
      </c>
      <c r="AA265" s="1">
        <v>9</v>
      </c>
      <c r="AB265" s="1"/>
      <c r="AC265" s="1">
        <v>0</v>
      </c>
      <c r="AD265" s="1">
        <v>0</v>
      </c>
      <c r="AE265" s="1">
        <v>60</v>
      </c>
      <c r="AF265" s="1" t="s">
        <v>417</v>
      </c>
      <c r="AG265" s="1">
        <v>2.5</v>
      </c>
      <c r="AH265" s="1">
        <v>0.35</v>
      </c>
      <c r="AI265" s="1">
        <v>2.5</v>
      </c>
      <c r="AJ265" s="1">
        <v>0.35</v>
      </c>
      <c r="AK265" s="1"/>
      <c r="AL265" s="1"/>
      <c r="AM265" s="1">
        <v>0</v>
      </c>
    </row>
    <row r="266" spans="1:39" x14ac:dyDescent="0.25">
      <c r="A266" s="222" t="s">
        <v>269</v>
      </c>
      <c r="B266" s="216">
        <v>2</v>
      </c>
      <c r="C266" s="1" t="s">
        <v>418</v>
      </c>
      <c r="D266" s="13">
        <v>39833</v>
      </c>
      <c r="E266" s="1">
        <f t="shared" ref="E266:E281" si="83">I266-D266</f>
        <v>2213</v>
      </c>
      <c r="F266" s="1"/>
      <c r="G266" s="13">
        <v>40075</v>
      </c>
      <c r="H266" s="13">
        <v>39833</v>
      </c>
      <c r="I266" s="13">
        <v>42046</v>
      </c>
      <c r="J266" s="13"/>
      <c r="K266" s="1">
        <f t="shared" si="76"/>
        <v>242</v>
      </c>
      <c r="L266" s="1">
        <f t="shared" si="80"/>
        <v>242</v>
      </c>
      <c r="M266" s="1">
        <f t="shared" si="77"/>
        <v>1971</v>
      </c>
      <c r="N266" s="1"/>
      <c r="O266" s="1" t="s">
        <v>417</v>
      </c>
      <c r="P266" s="1">
        <v>6.44</v>
      </c>
      <c r="Q266" s="1">
        <f t="shared" si="74"/>
        <v>1</v>
      </c>
      <c r="R266" s="1">
        <f t="shared" si="70"/>
        <v>1</v>
      </c>
      <c r="S266" s="1">
        <f t="shared" si="71"/>
        <v>1</v>
      </c>
      <c r="T266" s="1">
        <f t="shared" si="72"/>
        <v>1</v>
      </c>
      <c r="U266" s="1" t="s">
        <v>437</v>
      </c>
      <c r="V266" s="1"/>
      <c r="W266" s="1"/>
      <c r="X266" s="1"/>
      <c r="Y266" s="1"/>
      <c r="Z266" s="1">
        <v>99</v>
      </c>
      <c r="AA266" s="1">
        <v>91</v>
      </c>
      <c r="AB266" s="1"/>
      <c r="AC266" s="1">
        <v>0</v>
      </c>
      <c r="AD266" s="1">
        <v>14</v>
      </c>
      <c r="AE266" s="1">
        <v>55</v>
      </c>
      <c r="AF266" s="1" t="s">
        <v>434</v>
      </c>
      <c r="AG266" s="1">
        <v>2.5</v>
      </c>
      <c r="AH266" s="1">
        <v>0.35</v>
      </c>
      <c r="AI266" s="1">
        <v>3.5</v>
      </c>
      <c r="AJ266" s="1">
        <v>0.5</v>
      </c>
      <c r="AK266" s="1"/>
      <c r="AL266" s="1"/>
      <c r="AM266" s="1">
        <v>0</v>
      </c>
    </row>
    <row r="267" spans="1:39" x14ac:dyDescent="0.25">
      <c r="A267" s="222" t="s">
        <v>269</v>
      </c>
      <c r="B267" s="216">
        <v>2</v>
      </c>
      <c r="C267" s="1" t="s">
        <v>418</v>
      </c>
      <c r="D267" s="13">
        <v>39833</v>
      </c>
      <c r="E267" s="1">
        <f t="shared" si="83"/>
        <v>2213</v>
      </c>
      <c r="F267" s="1"/>
      <c r="G267" s="13">
        <v>40077</v>
      </c>
      <c r="H267" s="13">
        <f>G266</f>
        <v>40075</v>
      </c>
      <c r="I267" s="13">
        <v>42046</v>
      </c>
      <c r="J267" s="13"/>
      <c r="K267" s="1">
        <f t="shared" si="76"/>
        <v>244</v>
      </c>
      <c r="L267" s="1">
        <f t="shared" si="80"/>
        <v>2</v>
      </c>
      <c r="M267" s="1">
        <f t="shared" si="77"/>
        <v>1969</v>
      </c>
      <c r="N267" s="1"/>
      <c r="O267" s="1" t="s">
        <v>417</v>
      </c>
      <c r="P267" s="1">
        <v>6.44</v>
      </c>
      <c r="Q267" s="1">
        <f t="shared" si="74"/>
        <v>1</v>
      </c>
      <c r="R267" s="1">
        <f t="shared" si="70"/>
        <v>1</v>
      </c>
      <c r="S267" s="1">
        <f t="shared" si="71"/>
        <v>1</v>
      </c>
      <c r="T267" s="1">
        <f t="shared" si="72"/>
        <v>1</v>
      </c>
      <c r="U267" s="1" t="s">
        <v>437</v>
      </c>
      <c r="V267" s="1"/>
      <c r="W267" s="1"/>
      <c r="X267" s="1"/>
      <c r="Y267" s="1"/>
      <c r="Z267" s="1">
        <v>99</v>
      </c>
      <c r="AA267" s="1">
        <v>91</v>
      </c>
      <c r="AB267" s="1"/>
      <c r="AC267" s="1">
        <v>0</v>
      </c>
      <c r="AD267" s="1">
        <v>14</v>
      </c>
      <c r="AE267" s="1">
        <v>55</v>
      </c>
      <c r="AF267" s="1" t="s">
        <v>434</v>
      </c>
      <c r="AG267" s="1">
        <v>2.5</v>
      </c>
      <c r="AH267" s="1">
        <v>0.35</v>
      </c>
      <c r="AI267" s="1">
        <v>3.5</v>
      </c>
      <c r="AJ267" s="1">
        <v>0.5</v>
      </c>
      <c r="AK267" s="1"/>
      <c r="AL267" s="1"/>
      <c r="AM267" s="1">
        <v>0</v>
      </c>
    </row>
    <row r="268" spans="1:39" x14ac:dyDescent="0.25">
      <c r="A268" s="222" t="s">
        <v>269</v>
      </c>
      <c r="B268" s="216">
        <v>2</v>
      </c>
      <c r="C268" s="1" t="s">
        <v>418</v>
      </c>
      <c r="D268" s="13">
        <v>39833</v>
      </c>
      <c r="E268" s="1">
        <f t="shared" si="83"/>
        <v>2213</v>
      </c>
      <c r="F268" s="1"/>
      <c r="G268" s="13">
        <v>40092</v>
      </c>
      <c r="H268" s="13">
        <f>G267</f>
        <v>40077</v>
      </c>
      <c r="I268" s="13">
        <v>42046</v>
      </c>
      <c r="J268" s="13"/>
      <c r="K268" s="1">
        <f t="shared" si="76"/>
        <v>259</v>
      </c>
      <c r="L268" s="1">
        <f t="shared" si="80"/>
        <v>15</v>
      </c>
      <c r="M268" s="1">
        <f t="shared" si="77"/>
        <v>1954</v>
      </c>
      <c r="N268" s="1"/>
      <c r="O268" s="1" t="s">
        <v>417</v>
      </c>
      <c r="P268" s="1">
        <v>6.44</v>
      </c>
      <c r="Q268" s="1">
        <f t="shared" si="74"/>
        <v>1</v>
      </c>
      <c r="R268" s="1">
        <f t="shared" si="70"/>
        <v>1</v>
      </c>
      <c r="S268" s="1">
        <f t="shared" si="71"/>
        <v>1</v>
      </c>
      <c r="T268" s="1">
        <f t="shared" si="72"/>
        <v>1</v>
      </c>
      <c r="U268" s="1" t="s">
        <v>437</v>
      </c>
      <c r="V268" s="1"/>
      <c r="W268" s="1"/>
      <c r="X268" s="1"/>
      <c r="Y268" s="1"/>
      <c r="Z268" s="1">
        <v>100</v>
      </c>
      <c r="AA268" s="1">
        <v>92</v>
      </c>
      <c r="AB268" s="1"/>
      <c r="AC268" s="1">
        <v>0</v>
      </c>
      <c r="AD268" s="1">
        <v>1</v>
      </c>
      <c r="AE268" s="1">
        <v>55</v>
      </c>
      <c r="AF268" s="1" t="s">
        <v>434</v>
      </c>
      <c r="AG268" s="1">
        <v>2.5</v>
      </c>
      <c r="AH268" s="1">
        <v>0.35</v>
      </c>
      <c r="AI268" s="1">
        <v>3.5</v>
      </c>
      <c r="AJ268" s="1">
        <v>0.5</v>
      </c>
      <c r="AK268" s="1"/>
      <c r="AL268" s="1"/>
      <c r="AM268" s="1">
        <v>0</v>
      </c>
    </row>
    <row r="269" spans="1:39" x14ac:dyDescent="0.25">
      <c r="A269" s="222" t="s">
        <v>269</v>
      </c>
      <c r="B269" s="216">
        <v>2</v>
      </c>
      <c r="C269" s="1" t="s">
        <v>418</v>
      </c>
      <c r="D269" s="13">
        <v>39833</v>
      </c>
      <c r="E269" s="1">
        <f t="shared" si="83"/>
        <v>2213</v>
      </c>
      <c r="F269" s="1"/>
      <c r="G269" s="13">
        <v>40274</v>
      </c>
      <c r="H269" s="13">
        <f t="shared" ref="H269:H272" si="84">G268</f>
        <v>40092</v>
      </c>
      <c r="I269" s="13">
        <v>42046</v>
      </c>
      <c r="J269" s="13"/>
      <c r="K269" s="1">
        <f t="shared" si="76"/>
        <v>441</v>
      </c>
      <c r="L269" s="1">
        <f t="shared" si="80"/>
        <v>182</v>
      </c>
      <c r="M269" s="1">
        <f t="shared" si="77"/>
        <v>1772</v>
      </c>
      <c r="N269" s="1"/>
      <c r="O269" s="1" t="s">
        <v>417</v>
      </c>
      <c r="P269" s="1">
        <v>6.4</v>
      </c>
      <c r="Q269" s="1">
        <f t="shared" si="74"/>
        <v>1</v>
      </c>
      <c r="R269" s="1">
        <f t="shared" si="70"/>
        <v>1</v>
      </c>
      <c r="S269" s="1">
        <f t="shared" si="71"/>
        <v>1</v>
      </c>
      <c r="T269" s="1">
        <f t="shared" si="72"/>
        <v>1</v>
      </c>
      <c r="U269" s="1" t="s">
        <v>437</v>
      </c>
      <c r="V269" s="1"/>
      <c r="W269" s="1"/>
      <c r="X269" s="1"/>
      <c r="Y269" s="1"/>
      <c r="Z269" s="1">
        <v>100</v>
      </c>
      <c r="AA269" s="1">
        <v>96</v>
      </c>
      <c r="AB269" s="1"/>
      <c r="AC269" s="1">
        <v>0</v>
      </c>
      <c r="AD269" s="1">
        <v>129</v>
      </c>
      <c r="AE269" s="1">
        <v>55</v>
      </c>
      <c r="AF269" s="1" t="s">
        <v>434</v>
      </c>
      <c r="AG269" s="1">
        <v>2.5</v>
      </c>
      <c r="AH269" s="1">
        <v>0.35</v>
      </c>
      <c r="AI269" s="1">
        <v>3.5</v>
      </c>
      <c r="AJ269" s="1">
        <v>0.5</v>
      </c>
      <c r="AK269" s="1"/>
      <c r="AL269" s="1"/>
      <c r="AM269" s="1">
        <v>0</v>
      </c>
    </row>
    <row r="270" spans="1:39" x14ac:dyDescent="0.25">
      <c r="A270" s="222" t="s">
        <v>269</v>
      </c>
      <c r="B270" s="216">
        <v>2</v>
      </c>
      <c r="C270" s="1" t="s">
        <v>418</v>
      </c>
      <c r="D270" s="13">
        <v>39833</v>
      </c>
      <c r="E270" s="1">
        <f t="shared" si="83"/>
        <v>2213</v>
      </c>
      <c r="F270" s="1"/>
      <c r="G270" s="13">
        <v>40309</v>
      </c>
      <c r="H270" s="13">
        <f t="shared" si="84"/>
        <v>40274</v>
      </c>
      <c r="I270" s="13">
        <v>42046</v>
      </c>
      <c r="J270" s="13"/>
      <c r="K270" s="1">
        <f t="shared" si="76"/>
        <v>476</v>
      </c>
      <c r="L270" s="1">
        <f t="shared" si="80"/>
        <v>35</v>
      </c>
      <c r="M270" s="1">
        <f t="shared" si="77"/>
        <v>1737</v>
      </c>
      <c r="N270" s="1"/>
      <c r="O270" s="1" t="s">
        <v>417</v>
      </c>
      <c r="P270" s="1">
        <v>6.37</v>
      </c>
      <c r="Q270" s="1">
        <f t="shared" si="74"/>
        <v>1</v>
      </c>
      <c r="R270" s="1">
        <f t="shared" si="70"/>
        <v>1</v>
      </c>
      <c r="S270" s="1">
        <f t="shared" si="71"/>
        <v>1</v>
      </c>
      <c r="T270" s="1">
        <f t="shared" si="72"/>
        <v>1</v>
      </c>
      <c r="U270" s="1" t="s">
        <v>437</v>
      </c>
      <c r="V270" s="1"/>
      <c r="W270" s="1"/>
      <c r="X270" s="1"/>
      <c r="Y270" s="1"/>
      <c r="Z270" s="1">
        <v>98</v>
      </c>
      <c r="AA270" s="1">
        <v>46</v>
      </c>
      <c r="AB270" s="1"/>
      <c r="AC270" s="1">
        <v>0</v>
      </c>
      <c r="AD270" s="1">
        <v>1107</v>
      </c>
      <c r="AE270" s="1">
        <v>55</v>
      </c>
      <c r="AF270" s="1" t="s">
        <v>434</v>
      </c>
      <c r="AG270" s="1">
        <v>2.5</v>
      </c>
      <c r="AH270" s="1">
        <v>0.35</v>
      </c>
      <c r="AI270" s="1">
        <v>3.5</v>
      </c>
      <c r="AJ270" s="1">
        <v>0.5</v>
      </c>
      <c r="AK270" s="1"/>
      <c r="AL270" s="1"/>
      <c r="AM270" s="1">
        <v>0</v>
      </c>
    </row>
    <row r="271" spans="1:39" x14ac:dyDescent="0.25">
      <c r="A271" s="222" t="s">
        <v>269</v>
      </c>
      <c r="B271" s="216">
        <v>2</v>
      </c>
      <c r="C271" s="1" t="s">
        <v>418</v>
      </c>
      <c r="D271" s="13">
        <v>39833</v>
      </c>
      <c r="E271" s="1">
        <f t="shared" si="83"/>
        <v>2213</v>
      </c>
      <c r="F271" s="1"/>
      <c r="G271" s="13">
        <v>40659</v>
      </c>
      <c r="H271" s="13">
        <f t="shared" si="84"/>
        <v>40309</v>
      </c>
      <c r="I271" s="13">
        <v>42046</v>
      </c>
      <c r="J271" s="13"/>
      <c r="K271" s="1">
        <f t="shared" si="76"/>
        <v>826</v>
      </c>
      <c r="L271" s="1">
        <f t="shared" si="80"/>
        <v>350</v>
      </c>
      <c r="M271" s="1">
        <f t="shared" si="77"/>
        <v>1387</v>
      </c>
      <c r="N271" s="1"/>
      <c r="O271" s="1" t="s">
        <v>417</v>
      </c>
      <c r="P271" s="1">
        <v>6.04</v>
      </c>
      <c r="Q271" s="1">
        <f t="shared" si="74"/>
        <v>1</v>
      </c>
      <c r="R271" s="1">
        <f t="shared" si="70"/>
        <v>1</v>
      </c>
      <c r="S271" s="1">
        <f t="shared" si="71"/>
        <v>1</v>
      </c>
      <c r="T271" s="1">
        <f t="shared" si="72"/>
        <v>1</v>
      </c>
      <c r="U271" s="1" t="s">
        <v>437</v>
      </c>
      <c r="V271" s="1"/>
      <c r="W271" s="1"/>
      <c r="X271" s="1"/>
      <c r="Y271" s="1"/>
      <c r="Z271" s="1">
        <v>100</v>
      </c>
      <c r="AA271" s="1">
        <v>99</v>
      </c>
      <c r="AB271" s="1"/>
      <c r="AC271" s="1">
        <v>0</v>
      </c>
      <c r="AD271" s="1">
        <v>0</v>
      </c>
      <c r="AE271" s="1">
        <v>55</v>
      </c>
      <c r="AF271" s="1" t="s">
        <v>434</v>
      </c>
      <c r="AG271" s="1">
        <v>2.5</v>
      </c>
      <c r="AH271" s="1">
        <v>0.35</v>
      </c>
      <c r="AI271" s="1">
        <v>3.5</v>
      </c>
      <c r="AJ271" s="1">
        <v>0.5</v>
      </c>
      <c r="AK271" s="1"/>
      <c r="AL271" s="1"/>
      <c r="AM271" s="1">
        <v>0</v>
      </c>
    </row>
    <row r="272" spans="1:39" x14ac:dyDescent="0.25">
      <c r="A272" s="222" t="s">
        <v>269</v>
      </c>
      <c r="B272" s="216">
        <v>2</v>
      </c>
      <c r="C272" s="1" t="s">
        <v>418</v>
      </c>
      <c r="D272" s="13">
        <v>39833</v>
      </c>
      <c r="E272" s="1">
        <f t="shared" si="83"/>
        <v>2213</v>
      </c>
      <c r="F272" s="1"/>
      <c r="G272" s="13">
        <v>42046</v>
      </c>
      <c r="H272" s="13">
        <f t="shared" si="84"/>
        <v>40659</v>
      </c>
      <c r="I272" s="13">
        <v>42046</v>
      </c>
      <c r="J272" s="13"/>
      <c r="K272" s="1">
        <f t="shared" si="76"/>
        <v>2213</v>
      </c>
      <c r="L272" s="1">
        <f t="shared" si="80"/>
        <v>1387</v>
      </c>
      <c r="M272" s="1">
        <f t="shared" si="77"/>
        <v>0</v>
      </c>
      <c r="N272" s="1"/>
      <c r="O272" s="1" t="s">
        <v>434</v>
      </c>
      <c r="P272" s="1">
        <v>4.5</v>
      </c>
      <c r="Q272" s="1"/>
      <c r="R272" s="1"/>
      <c r="S272" s="1"/>
      <c r="T272" s="1"/>
      <c r="U272" s="1"/>
      <c r="V272" s="1">
        <v>1</v>
      </c>
      <c r="W272" s="1">
        <v>1</v>
      </c>
      <c r="X272" s="1">
        <v>1</v>
      </c>
      <c r="Y272" s="1">
        <v>1</v>
      </c>
      <c r="Z272" s="1">
        <v>100</v>
      </c>
      <c r="AA272" s="1">
        <v>99</v>
      </c>
      <c r="AB272" s="1"/>
      <c r="AC272" s="1">
        <v>0</v>
      </c>
      <c r="AD272" s="1">
        <v>0</v>
      </c>
      <c r="AE272" s="1">
        <v>55</v>
      </c>
      <c r="AF272" s="1" t="s">
        <v>434</v>
      </c>
      <c r="AG272" s="1">
        <v>2.5</v>
      </c>
      <c r="AH272" s="1">
        <v>0.35</v>
      </c>
      <c r="AI272" s="1">
        <v>3.5</v>
      </c>
      <c r="AJ272" s="1">
        <v>0.5</v>
      </c>
      <c r="AK272" s="1"/>
      <c r="AL272" s="1"/>
      <c r="AM272" s="1">
        <v>0</v>
      </c>
    </row>
    <row r="273" spans="1:39" x14ac:dyDescent="0.25">
      <c r="A273" s="224" t="s">
        <v>287</v>
      </c>
      <c r="B273" s="1">
        <v>2</v>
      </c>
      <c r="C273" s="1" t="s">
        <v>418</v>
      </c>
      <c r="D273" s="13">
        <v>38730</v>
      </c>
      <c r="E273" s="1">
        <f t="shared" si="83"/>
        <v>2012</v>
      </c>
      <c r="F273" s="1"/>
      <c r="G273" s="13">
        <v>40113</v>
      </c>
      <c r="H273" s="13">
        <v>38730</v>
      </c>
      <c r="I273" s="13">
        <v>40742</v>
      </c>
      <c r="J273" s="13"/>
      <c r="K273" s="1">
        <f t="shared" si="76"/>
        <v>1383</v>
      </c>
      <c r="L273" s="1">
        <f t="shared" ref="L273:L277" si="85">G273-H273</f>
        <v>1383</v>
      </c>
      <c r="M273" s="1">
        <f t="shared" ref="M273:M277" si="86">I273-G273</f>
        <v>629</v>
      </c>
      <c r="N273" s="1"/>
      <c r="O273" s="1" t="s">
        <v>417</v>
      </c>
      <c r="P273" s="1">
        <v>5.27</v>
      </c>
      <c r="Q273" s="1">
        <f t="shared" si="74"/>
        <v>1</v>
      </c>
      <c r="R273" s="1">
        <f t="shared" si="70"/>
        <v>1</v>
      </c>
      <c r="S273" s="1">
        <f t="shared" si="71"/>
        <v>1</v>
      </c>
      <c r="T273" s="1">
        <f t="shared" si="72"/>
        <v>1</v>
      </c>
      <c r="U273" s="1" t="s">
        <v>437</v>
      </c>
      <c r="V273" s="1"/>
      <c r="W273" s="1"/>
      <c r="X273" s="1"/>
      <c r="Y273" s="1"/>
      <c r="Z273" s="1">
        <v>0</v>
      </c>
      <c r="AA273" s="1">
        <v>46</v>
      </c>
      <c r="AB273" s="1"/>
      <c r="AC273" s="1">
        <v>0</v>
      </c>
      <c r="AD273" s="1">
        <v>1</v>
      </c>
      <c r="AE273" s="1">
        <v>60</v>
      </c>
      <c r="AF273" s="1" t="s">
        <v>417</v>
      </c>
      <c r="AG273" s="1">
        <v>2</v>
      </c>
      <c r="AH273" s="1">
        <v>0.35</v>
      </c>
      <c r="AI273" s="1">
        <v>4</v>
      </c>
      <c r="AJ273" s="1">
        <v>0.5</v>
      </c>
      <c r="AK273" s="1"/>
      <c r="AL273" s="1"/>
      <c r="AM273" s="1">
        <v>0</v>
      </c>
    </row>
    <row r="274" spans="1:39" x14ac:dyDescent="0.25">
      <c r="A274" s="224" t="s">
        <v>287</v>
      </c>
      <c r="B274" s="1">
        <v>2</v>
      </c>
      <c r="C274" s="1" t="s">
        <v>418</v>
      </c>
      <c r="D274" s="13">
        <v>38730</v>
      </c>
      <c r="E274" s="1">
        <f t="shared" si="83"/>
        <v>2012</v>
      </c>
      <c r="F274" s="1"/>
      <c r="G274" s="13">
        <v>40295</v>
      </c>
      <c r="H274" s="13">
        <f>G273</f>
        <v>40113</v>
      </c>
      <c r="I274" s="13">
        <v>40742</v>
      </c>
      <c r="J274" s="13"/>
      <c r="K274" s="1">
        <f t="shared" si="76"/>
        <v>1565</v>
      </c>
      <c r="L274" s="1">
        <f t="shared" si="85"/>
        <v>182</v>
      </c>
      <c r="M274" s="1">
        <f t="shared" si="86"/>
        <v>447</v>
      </c>
      <c r="N274" s="1"/>
      <c r="O274" s="1" t="s">
        <v>417</v>
      </c>
      <c r="P274" s="1">
        <v>5.18</v>
      </c>
      <c r="Q274" s="1"/>
      <c r="R274" s="1">
        <f t="shared" si="70"/>
        <v>1</v>
      </c>
      <c r="S274" s="1">
        <f t="shared" si="71"/>
        <v>1</v>
      </c>
      <c r="T274" s="1">
        <f t="shared" si="72"/>
        <v>1</v>
      </c>
      <c r="U274" s="1"/>
      <c r="V274" s="1"/>
      <c r="W274" s="1"/>
      <c r="X274" s="1"/>
      <c r="Y274" s="1"/>
      <c r="Z274" s="1">
        <v>0</v>
      </c>
      <c r="AA274" s="1">
        <v>13</v>
      </c>
      <c r="AB274" s="1"/>
      <c r="AC274" s="1">
        <v>3</v>
      </c>
      <c r="AD274" s="1">
        <v>48</v>
      </c>
      <c r="AE274" s="1">
        <v>60</v>
      </c>
      <c r="AF274" s="1" t="s">
        <v>434</v>
      </c>
      <c r="AG274" s="1">
        <v>2</v>
      </c>
      <c r="AH274" s="1">
        <v>0.35</v>
      </c>
      <c r="AI274" s="1">
        <v>4</v>
      </c>
      <c r="AJ274" s="1">
        <v>0.5</v>
      </c>
      <c r="AK274" s="1"/>
      <c r="AL274" s="1"/>
      <c r="AM274" s="1">
        <v>0</v>
      </c>
    </row>
    <row r="275" spans="1:39" x14ac:dyDescent="0.25">
      <c r="A275" s="224" t="s">
        <v>287</v>
      </c>
      <c r="B275" s="1">
        <v>2</v>
      </c>
      <c r="C275" s="1" t="s">
        <v>418</v>
      </c>
      <c r="D275" s="13">
        <v>38730</v>
      </c>
      <c r="E275" s="1">
        <f t="shared" si="83"/>
        <v>2012</v>
      </c>
      <c r="F275" s="1"/>
      <c r="G275" s="13">
        <v>40638</v>
      </c>
      <c r="H275" s="13">
        <f t="shared" ref="H275:H277" si="87">G274</f>
        <v>40295</v>
      </c>
      <c r="I275" s="13">
        <v>40742</v>
      </c>
      <c r="J275" s="13"/>
      <c r="K275" s="1">
        <f t="shared" si="76"/>
        <v>1908</v>
      </c>
      <c r="L275" s="1">
        <f t="shared" si="85"/>
        <v>343</v>
      </c>
      <c r="M275" s="1">
        <f t="shared" si="86"/>
        <v>104</v>
      </c>
      <c r="N275" s="1"/>
      <c r="O275" s="1" t="s">
        <v>417</v>
      </c>
      <c r="P275" s="1">
        <v>4.95</v>
      </c>
      <c r="Q275" s="1"/>
      <c r="R275" s="1"/>
      <c r="S275" s="1"/>
      <c r="T275" s="1">
        <f t="shared" si="72"/>
        <v>1</v>
      </c>
      <c r="U275" s="1"/>
      <c r="V275" s="1"/>
      <c r="W275" s="1"/>
      <c r="X275" s="1"/>
      <c r="Y275" s="1"/>
      <c r="Z275" s="1">
        <v>0</v>
      </c>
      <c r="AA275" s="1">
        <v>90</v>
      </c>
      <c r="AB275" s="1"/>
      <c r="AC275" s="1">
        <v>4</v>
      </c>
      <c r="AD275" s="1">
        <v>4</v>
      </c>
      <c r="AE275" s="1">
        <v>60</v>
      </c>
      <c r="AF275" s="1" t="s">
        <v>417</v>
      </c>
      <c r="AG275" s="1">
        <v>2</v>
      </c>
      <c r="AH275" s="1">
        <v>0.35</v>
      </c>
      <c r="AI275" s="1">
        <v>4</v>
      </c>
      <c r="AJ275" s="1">
        <v>0.5</v>
      </c>
      <c r="AK275" s="1"/>
      <c r="AL275" s="1"/>
      <c r="AM275" s="1">
        <v>0</v>
      </c>
    </row>
    <row r="276" spans="1:39" x14ac:dyDescent="0.25">
      <c r="A276" s="224" t="s">
        <v>287</v>
      </c>
      <c r="B276" s="1">
        <v>2</v>
      </c>
      <c r="C276" s="1" t="s">
        <v>418</v>
      </c>
      <c r="D276" s="13">
        <v>38730</v>
      </c>
      <c r="E276" s="1">
        <f t="shared" si="83"/>
        <v>2012</v>
      </c>
      <c r="F276" s="1"/>
      <c r="G276" s="13">
        <v>40736</v>
      </c>
      <c r="H276" s="13">
        <f t="shared" si="87"/>
        <v>40638</v>
      </c>
      <c r="I276" s="13">
        <v>40742</v>
      </c>
      <c r="J276" s="13"/>
      <c r="K276" s="1">
        <f t="shared" si="76"/>
        <v>2006</v>
      </c>
      <c r="L276" s="1">
        <f t="shared" si="85"/>
        <v>98</v>
      </c>
      <c r="M276" s="1">
        <f t="shared" si="86"/>
        <v>6</v>
      </c>
      <c r="N276" s="1"/>
      <c r="O276" s="1" t="s">
        <v>434</v>
      </c>
      <c r="P276" s="1">
        <v>4.58</v>
      </c>
      <c r="Q276" s="1"/>
      <c r="R276" s="1"/>
      <c r="S276" s="1"/>
      <c r="T276" s="1"/>
      <c r="U276" s="1"/>
      <c r="V276" s="1">
        <v>0</v>
      </c>
      <c r="W276" s="1">
        <v>0</v>
      </c>
      <c r="X276" s="1">
        <v>0</v>
      </c>
      <c r="Y276" s="1">
        <v>1</v>
      </c>
      <c r="Z276" s="1">
        <v>0</v>
      </c>
      <c r="AA276" s="1">
        <v>81</v>
      </c>
      <c r="AB276" s="1"/>
      <c r="AC276" s="1">
        <v>0</v>
      </c>
      <c r="AD276" s="1">
        <v>2</v>
      </c>
      <c r="AE276" s="1">
        <v>60</v>
      </c>
      <c r="AF276" s="1" t="s">
        <v>417</v>
      </c>
      <c r="AG276" s="1">
        <v>2</v>
      </c>
      <c r="AH276" s="1">
        <v>0.35</v>
      </c>
      <c r="AI276" s="1">
        <v>4</v>
      </c>
      <c r="AJ276" s="1">
        <v>0.5</v>
      </c>
      <c r="AK276" s="1"/>
      <c r="AL276" s="1"/>
      <c r="AM276" s="1">
        <v>0</v>
      </c>
    </row>
    <row r="277" spans="1:39" x14ac:dyDescent="0.25">
      <c r="A277" s="224" t="s">
        <v>287</v>
      </c>
      <c r="B277" s="1">
        <v>2</v>
      </c>
      <c r="C277" s="1" t="s">
        <v>418</v>
      </c>
      <c r="D277" s="13">
        <v>38730</v>
      </c>
      <c r="E277" s="1">
        <f t="shared" si="83"/>
        <v>2012</v>
      </c>
      <c r="F277" s="1"/>
      <c r="G277" s="13">
        <v>40742</v>
      </c>
      <c r="H277" s="13">
        <f t="shared" si="87"/>
        <v>40736</v>
      </c>
      <c r="I277" s="13">
        <v>40742</v>
      </c>
      <c r="J277" s="13"/>
      <c r="K277" s="1">
        <f t="shared" si="76"/>
        <v>2012</v>
      </c>
      <c r="L277" s="1">
        <f t="shared" si="85"/>
        <v>6</v>
      </c>
      <c r="M277" s="1">
        <f t="shared" si="86"/>
        <v>0</v>
      </c>
      <c r="N277" s="1"/>
      <c r="O277" s="1" t="s">
        <v>434</v>
      </c>
      <c r="P277" s="1">
        <v>4.51</v>
      </c>
      <c r="Q277" s="1"/>
      <c r="R277" s="1"/>
      <c r="S277" s="1"/>
      <c r="T277" s="1"/>
      <c r="U277" s="1"/>
      <c r="V277" s="1"/>
      <c r="W277" s="1"/>
      <c r="X277" s="1"/>
      <c r="Y277" s="1"/>
      <c r="Z277" s="1">
        <v>0</v>
      </c>
      <c r="AA277" s="1">
        <v>70</v>
      </c>
      <c r="AB277" s="1"/>
      <c r="AC277" s="1">
        <v>0</v>
      </c>
      <c r="AD277" s="1">
        <v>3</v>
      </c>
      <c r="AE277" s="1">
        <v>60</v>
      </c>
      <c r="AF277" s="1" t="s">
        <v>417</v>
      </c>
      <c r="AG277" s="1">
        <v>2</v>
      </c>
      <c r="AH277" s="1">
        <v>0.35</v>
      </c>
      <c r="AI277" s="1">
        <v>4</v>
      </c>
      <c r="AJ277" s="1">
        <v>0.5</v>
      </c>
      <c r="AK277" s="1"/>
      <c r="AL277" s="1"/>
      <c r="AM277" s="1">
        <v>0</v>
      </c>
    </row>
    <row r="278" spans="1:39" x14ac:dyDescent="0.25">
      <c r="A278" s="225" t="s">
        <v>297</v>
      </c>
      <c r="B278" s="1">
        <v>2</v>
      </c>
      <c r="C278" s="1" t="s">
        <v>418</v>
      </c>
      <c r="D278" s="13">
        <v>39735</v>
      </c>
      <c r="E278" s="1">
        <f t="shared" si="83"/>
        <v>2396</v>
      </c>
      <c r="F278" s="1"/>
      <c r="G278" s="13">
        <v>40204</v>
      </c>
      <c r="H278" s="13">
        <v>39735</v>
      </c>
      <c r="I278" s="13">
        <v>42131</v>
      </c>
      <c r="J278" s="13"/>
      <c r="K278" s="1">
        <f t="shared" ref="K278:K281" si="88">G278-D278</f>
        <v>469</v>
      </c>
      <c r="L278" s="1">
        <f t="shared" ref="L278:L281" si="89">G278-H278</f>
        <v>469</v>
      </c>
      <c r="M278" s="1">
        <f t="shared" ref="M278:M281" si="90">I278-G278</f>
        <v>1927</v>
      </c>
      <c r="N278" s="1"/>
      <c r="O278" s="1" t="s">
        <v>417</v>
      </c>
      <c r="P278" s="1">
        <v>6.41</v>
      </c>
      <c r="Q278" s="1">
        <f t="shared" si="74"/>
        <v>1</v>
      </c>
      <c r="R278" s="1">
        <f t="shared" si="70"/>
        <v>1</v>
      </c>
      <c r="S278" s="1">
        <f t="shared" si="71"/>
        <v>1</v>
      </c>
      <c r="T278" s="1">
        <f t="shared" si="72"/>
        <v>1</v>
      </c>
      <c r="U278" s="1" t="s">
        <v>437</v>
      </c>
      <c r="V278" s="1"/>
      <c r="W278" s="1"/>
      <c r="X278" s="1"/>
      <c r="Y278" s="1"/>
      <c r="Z278" s="1">
        <v>47</v>
      </c>
      <c r="AA278" s="1">
        <v>100</v>
      </c>
      <c r="AB278" s="1"/>
      <c r="AC278" s="1">
        <v>0</v>
      </c>
      <c r="AD278" s="1">
        <v>0</v>
      </c>
      <c r="AE278" s="1">
        <v>50</v>
      </c>
      <c r="AF278" s="1" t="s">
        <v>434</v>
      </c>
      <c r="AG278" s="1">
        <v>2.5</v>
      </c>
      <c r="AH278" s="1">
        <v>0.35</v>
      </c>
      <c r="AI278" s="1">
        <v>2.5</v>
      </c>
      <c r="AJ278" s="1">
        <v>0.35</v>
      </c>
      <c r="AK278" s="1"/>
      <c r="AL278" s="1"/>
      <c r="AM278" s="1">
        <v>0</v>
      </c>
    </row>
    <row r="279" spans="1:39" x14ac:dyDescent="0.25">
      <c r="A279" s="225" t="s">
        <v>297</v>
      </c>
      <c r="B279" s="1">
        <v>2</v>
      </c>
      <c r="C279" s="1" t="s">
        <v>418</v>
      </c>
      <c r="D279" s="13">
        <v>39735</v>
      </c>
      <c r="E279" s="1">
        <f t="shared" si="83"/>
        <v>2396</v>
      </c>
      <c r="F279" s="1"/>
      <c r="G279" s="13">
        <v>40806</v>
      </c>
      <c r="H279" s="13">
        <f>G278</f>
        <v>40204</v>
      </c>
      <c r="I279" s="13">
        <v>42131</v>
      </c>
      <c r="J279" s="13"/>
      <c r="K279" s="1">
        <f t="shared" si="88"/>
        <v>1071</v>
      </c>
      <c r="L279" s="1">
        <f t="shared" si="89"/>
        <v>602</v>
      </c>
      <c r="M279" s="1">
        <f t="shared" si="90"/>
        <v>1325</v>
      </c>
      <c r="N279" s="1"/>
      <c r="O279" s="1" t="s">
        <v>417</v>
      </c>
      <c r="P279" s="1">
        <v>5.99</v>
      </c>
      <c r="Q279" s="1">
        <f t="shared" si="74"/>
        <v>1</v>
      </c>
      <c r="R279" s="1">
        <f t="shared" si="70"/>
        <v>1</v>
      </c>
      <c r="S279" s="1">
        <f t="shared" si="71"/>
        <v>1</v>
      </c>
      <c r="T279" s="1">
        <f t="shared" si="72"/>
        <v>1</v>
      </c>
      <c r="U279" s="1" t="s">
        <v>437</v>
      </c>
      <c r="V279" s="1"/>
      <c r="W279" s="1"/>
      <c r="X279" s="1"/>
      <c r="Y279" s="1"/>
      <c r="Z279" s="1">
        <v>74</v>
      </c>
      <c r="AA279" s="1">
        <v>100</v>
      </c>
      <c r="AB279" s="1"/>
      <c r="AC279" s="1">
        <v>0</v>
      </c>
      <c r="AD279" s="1">
        <v>0</v>
      </c>
      <c r="AE279" s="1">
        <v>50</v>
      </c>
      <c r="AF279" s="1" t="s">
        <v>434</v>
      </c>
      <c r="AG279" s="1">
        <v>2.5</v>
      </c>
      <c r="AH279" s="1">
        <v>0.35</v>
      </c>
      <c r="AI279" s="1">
        <v>2.5</v>
      </c>
      <c r="AJ279" s="1">
        <v>0.35</v>
      </c>
      <c r="AK279" s="1"/>
      <c r="AL279" s="1"/>
      <c r="AM279" s="1">
        <v>0</v>
      </c>
    </row>
    <row r="280" spans="1:39" x14ac:dyDescent="0.25">
      <c r="A280" s="225" t="s">
        <v>297</v>
      </c>
      <c r="B280" s="1">
        <v>2</v>
      </c>
      <c r="C280" s="1" t="s">
        <v>418</v>
      </c>
      <c r="D280" s="13">
        <v>39735</v>
      </c>
      <c r="E280" s="1">
        <f t="shared" si="83"/>
        <v>2396</v>
      </c>
      <c r="F280" s="1"/>
      <c r="G280" s="13">
        <v>42129</v>
      </c>
      <c r="H280" s="13">
        <f t="shared" ref="H280:H281" si="91">G279</f>
        <v>40806</v>
      </c>
      <c r="I280" s="13">
        <v>42131</v>
      </c>
      <c r="J280" s="13"/>
      <c r="K280" s="1">
        <f t="shared" si="88"/>
        <v>2394</v>
      </c>
      <c r="L280" s="1">
        <f t="shared" si="89"/>
        <v>1323</v>
      </c>
      <c r="M280" s="1">
        <f t="shared" si="90"/>
        <v>2</v>
      </c>
      <c r="N280" s="1"/>
      <c r="O280" s="1" t="s">
        <v>417</v>
      </c>
      <c r="P280" s="1">
        <v>4.97</v>
      </c>
      <c r="Q280" s="1"/>
      <c r="R280" s="1"/>
      <c r="S280" s="1"/>
      <c r="T280" s="1"/>
      <c r="U280" s="1"/>
      <c r="V280" s="1"/>
      <c r="W280" s="1"/>
      <c r="X280" s="1"/>
      <c r="Y280" s="1"/>
      <c r="Z280" s="1">
        <v>80</v>
      </c>
      <c r="AA280" s="1">
        <v>99</v>
      </c>
      <c r="AB280" s="1"/>
      <c r="AC280" s="1">
        <v>0</v>
      </c>
      <c r="AD280" s="1">
        <v>0</v>
      </c>
      <c r="AE280" s="1">
        <v>50</v>
      </c>
      <c r="AF280" s="1" t="s">
        <v>417</v>
      </c>
      <c r="AG280" s="1">
        <v>2.5</v>
      </c>
      <c r="AH280" s="1">
        <v>0.35</v>
      </c>
      <c r="AI280" s="1">
        <v>2.5</v>
      </c>
      <c r="AJ280" s="1">
        <v>0.35</v>
      </c>
      <c r="AK280" s="1"/>
      <c r="AL280" s="1"/>
      <c r="AM280" s="1">
        <v>0</v>
      </c>
    </row>
    <row r="281" spans="1:39" x14ac:dyDescent="0.25">
      <c r="A281" s="225" t="s">
        <v>297</v>
      </c>
      <c r="B281" s="1">
        <v>2</v>
      </c>
      <c r="C281" s="1" t="s">
        <v>418</v>
      </c>
      <c r="D281" s="13">
        <v>39735</v>
      </c>
      <c r="E281" s="1">
        <f t="shared" si="83"/>
        <v>2396</v>
      </c>
      <c r="F281" s="1"/>
      <c r="G281" s="13">
        <v>42131</v>
      </c>
      <c r="H281" s="13">
        <f t="shared" si="91"/>
        <v>42129</v>
      </c>
      <c r="I281" s="13">
        <v>42131</v>
      </c>
      <c r="J281" s="13"/>
      <c r="K281" s="1">
        <f t="shared" si="88"/>
        <v>2396</v>
      </c>
      <c r="L281" s="1">
        <f t="shared" si="89"/>
        <v>2</v>
      </c>
      <c r="M281" s="1">
        <f t="shared" si="90"/>
        <v>0</v>
      </c>
      <c r="N281" s="1"/>
      <c r="O281" s="1" t="s">
        <v>417</v>
      </c>
      <c r="P281" s="1">
        <v>4.83</v>
      </c>
      <c r="Q281" s="1"/>
      <c r="R281" s="1"/>
      <c r="S281" s="1"/>
      <c r="T281" s="1"/>
      <c r="U281" s="1"/>
      <c r="V281" s="1"/>
      <c r="W281" s="1"/>
      <c r="X281" s="1"/>
      <c r="Y281" s="1"/>
      <c r="Z281" s="1">
        <v>81</v>
      </c>
      <c r="AA281" s="1">
        <v>100</v>
      </c>
      <c r="AB281" s="1"/>
      <c r="AC281" s="1">
        <v>0</v>
      </c>
      <c r="AD281" s="1">
        <v>0</v>
      </c>
      <c r="AE281" s="1">
        <v>50</v>
      </c>
      <c r="AF281" s="1" t="s">
        <v>417</v>
      </c>
      <c r="AG281" s="1">
        <v>2.5</v>
      </c>
      <c r="AH281" s="1">
        <v>0.35</v>
      </c>
      <c r="AI281" s="1">
        <v>2.5</v>
      </c>
      <c r="AJ281" s="1">
        <v>0.35</v>
      </c>
      <c r="AK281" s="1"/>
      <c r="AL281" s="1"/>
      <c r="AM281" s="1">
        <v>0</v>
      </c>
    </row>
    <row r="282" spans="1:39" x14ac:dyDescent="0.25">
      <c r="A282" s="181" t="s">
        <v>49</v>
      </c>
      <c r="B282" s="216">
        <v>2</v>
      </c>
      <c r="C282" s="1" t="s">
        <v>418</v>
      </c>
      <c r="D282" s="13">
        <v>39630</v>
      </c>
      <c r="E282" s="1">
        <f t="shared" ref="E282:E305" si="92">I282-D282</f>
        <v>2505</v>
      </c>
      <c r="F282" s="1"/>
      <c r="G282" s="13">
        <v>40106</v>
      </c>
      <c r="H282" s="13">
        <v>39630</v>
      </c>
      <c r="I282" s="13">
        <v>42135</v>
      </c>
      <c r="J282" s="13"/>
      <c r="K282" s="1">
        <f t="shared" ref="K282:K313" si="93">G282-D282</f>
        <v>476</v>
      </c>
      <c r="L282" s="1">
        <f t="shared" ref="L282:L313" si="94">G282-H282</f>
        <v>476</v>
      </c>
      <c r="M282" s="1">
        <f t="shared" ref="M282:M313" si="95">I282-G282</f>
        <v>2029</v>
      </c>
      <c r="N282" s="1"/>
      <c r="O282" s="1" t="s">
        <v>417</v>
      </c>
      <c r="P282" s="1">
        <v>6.4</v>
      </c>
      <c r="Q282" s="1">
        <f t="shared" ref="Q282:Q343" si="96">IF(M282&gt;=540,1,"nulo")</f>
        <v>1</v>
      </c>
      <c r="R282" s="1">
        <f t="shared" ref="R282:R343" si="97">IF(M282&gt;=360,1,"nulo")</f>
        <v>1</v>
      </c>
      <c r="S282" s="1">
        <f t="shared" ref="S282:S343" si="98">IF(M282&gt;=180,1,"nulo")</f>
        <v>1</v>
      </c>
      <c r="T282" s="1">
        <f t="shared" ref="T282:T343" si="99">IF(M282&gt;=90,1,"nulo")</f>
        <v>1</v>
      </c>
      <c r="U282" s="1" t="s">
        <v>437</v>
      </c>
      <c r="V282" s="1"/>
      <c r="W282" s="1"/>
      <c r="X282" s="1"/>
      <c r="Y282" s="1"/>
      <c r="Z282" s="1">
        <v>0</v>
      </c>
      <c r="AA282" s="1">
        <v>0</v>
      </c>
      <c r="AB282" s="1"/>
      <c r="AC282" s="1">
        <v>0</v>
      </c>
      <c r="AD282" s="1">
        <v>0</v>
      </c>
      <c r="AE282" s="1">
        <v>60</v>
      </c>
      <c r="AF282" s="1" t="s">
        <v>417</v>
      </c>
      <c r="AG282" s="1">
        <v>3.5</v>
      </c>
      <c r="AH282" s="1">
        <v>0.35</v>
      </c>
      <c r="AI282" s="1">
        <v>3.5</v>
      </c>
      <c r="AJ282" s="1">
        <v>0.35</v>
      </c>
      <c r="AK282" s="1"/>
      <c r="AL282" s="1"/>
      <c r="AM282" s="1">
        <v>0</v>
      </c>
    </row>
    <row r="283" spans="1:39" x14ac:dyDescent="0.25">
      <c r="A283" s="181" t="s">
        <v>49</v>
      </c>
      <c r="B283" s="216">
        <v>2</v>
      </c>
      <c r="C283" s="1" t="s">
        <v>418</v>
      </c>
      <c r="D283" s="13">
        <v>39630</v>
      </c>
      <c r="E283" s="1">
        <f t="shared" si="92"/>
        <v>2505</v>
      </c>
      <c r="F283" s="1"/>
      <c r="G283" s="13">
        <v>40288</v>
      </c>
      <c r="H283" s="13">
        <f>G282</f>
        <v>40106</v>
      </c>
      <c r="I283" s="13">
        <v>42135</v>
      </c>
      <c r="J283" s="13"/>
      <c r="K283" s="1">
        <f t="shared" si="93"/>
        <v>658</v>
      </c>
      <c r="L283" s="1">
        <f t="shared" si="94"/>
        <v>182</v>
      </c>
      <c r="M283" s="1">
        <f t="shared" si="95"/>
        <v>1847</v>
      </c>
      <c r="N283" s="1"/>
      <c r="O283" s="1" t="s">
        <v>417</v>
      </c>
      <c r="P283" s="1">
        <v>6.36</v>
      </c>
      <c r="Q283" s="1">
        <f t="shared" si="96"/>
        <v>1</v>
      </c>
      <c r="R283" s="1">
        <f t="shared" si="97"/>
        <v>1</v>
      </c>
      <c r="S283" s="1">
        <f t="shared" si="98"/>
        <v>1</v>
      </c>
      <c r="T283" s="1">
        <f t="shared" si="99"/>
        <v>1</v>
      </c>
      <c r="U283" s="1" t="s">
        <v>437</v>
      </c>
      <c r="V283" s="1"/>
      <c r="W283" s="1"/>
      <c r="X283" s="1"/>
      <c r="Y283" s="1"/>
      <c r="Z283" s="1">
        <v>0</v>
      </c>
      <c r="AA283" s="1">
        <v>0</v>
      </c>
      <c r="AB283" s="1"/>
      <c r="AC283" s="1">
        <v>0</v>
      </c>
      <c r="AD283" s="1">
        <v>1</v>
      </c>
      <c r="AE283" s="1">
        <v>60</v>
      </c>
      <c r="AF283" s="1" t="s">
        <v>417</v>
      </c>
      <c r="AG283" s="1">
        <v>3.5</v>
      </c>
      <c r="AH283" s="1">
        <v>0.35</v>
      </c>
      <c r="AI283" s="1">
        <v>3</v>
      </c>
      <c r="AJ283" s="1">
        <v>0.35</v>
      </c>
      <c r="AK283" s="1"/>
      <c r="AL283" s="1"/>
      <c r="AM283" s="1">
        <v>0</v>
      </c>
    </row>
    <row r="284" spans="1:39" x14ac:dyDescent="0.25">
      <c r="A284" s="181" t="s">
        <v>49</v>
      </c>
      <c r="B284" s="216">
        <v>2</v>
      </c>
      <c r="C284" s="1" t="s">
        <v>418</v>
      </c>
      <c r="D284" s="13">
        <v>39630</v>
      </c>
      <c r="E284" s="1">
        <f t="shared" si="92"/>
        <v>2505</v>
      </c>
      <c r="F284" s="1"/>
      <c r="G284" s="13">
        <v>40484</v>
      </c>
      <c r="H284" s="13">
        <f t="shared" ref="H284:H294" si="100">G283</f>
        <v>40288</v>
      </c>
      <c r="I284" s="13">
        <v>42135</v>
      </c>
      <c r="J284" s="13"/>
      <c r="K284" s="1">
        <f t="shared" si="93"/>
        <v>854</v>
      </c>
      <c r="L284" s="1">
        <f t="shared" si="94"/>
        <v>196</v>
      </c>
      <c r="M284" s="1">
        <f t="shared" si="95"/>
        <v>1651</v>
      </c>
      <c r="N284" s="1"/>
      <c r="O284" s="1" t="s">
        <v>417</v>
      </c>
      <c r="P284" s="1">
        <v>6.26</v>
      </c>
      <c r="Q284" s="1">
        <f t="shared" si="96"/>
        <v>1</v>
      </c>
      <c r="R284" s="1">
        <f t="shared" si="97"/>
        <v>1</v>
      </c>
      <c r="S284" s="1">
        <f t="shared" si="98"/>
        <v>1</v>
      </c>
      <c r="T284" s="1">
        <f t="shared" si="99"/>
        <v>1</v>
      </c>
      <c r="U284" s="1" t="s">
        <v>437</v>
      </c>
      <c r="V284" s="1"/>
      <c r="W284" s="1"/>
      <c r="X284" s="1"/>
      <c r="Y284" s="1"/>
      <c r="Z284" s="1">
        <v>0</v>
      </c>
      <c r="AA284" s="1">
        <v>0</v>
      </c>
      <c r="AB284" s="1"/>
      <c r="AC284" s="1">
        <v>0</v>
      </c>
      <c r="AD284" s="1">
        <v>0</v>
      </c>
      <c r="AE284" s="1">
        <v>60</v>
      </c>
      <c r="AF284" s="1" t="s">
        <v>417</v>
      </c>
      <c r="AG284" s="1">
        <v>3.5</v>
      </c>
      <c r="AH284" s="1">
        <v>0.35</v>
      </c>
      <c r="AI284" s="1">
        <v>3</v>
      </c>
      <c r="AJ284" s="1">
        <v>0.35</v>
      </c>
      <c r="AK284" s="1"/>
      <c r="AL284" s="1"/>
      <c r="AM284" s="1">
        <v>0</v>
      </c>
    </row>
    <row r="285" spans="1:39" x14ac:dyDescent="0.25">
      <c r="A285" s="181" t="s">
        <v>49</v>
      </c>
      <c r="B285" s="1">
        <v>2</v>
      </c>
      <c r="C285" s="1" t="s">
        <v>418</v>
      </c>
      <c r="D285" s="13">
        <v>39630</v>
      </c>
      <c r="E285" s="174">
        <f t="shared" si="92"/>
        <v>2505</v>
      </c>
      <c r="F285" s="201"/>
      <c r="G285" s="13">
        <v>40666</v>
      </c>
      <c r="H285" s="13">
        <f t="shared" si="100"/>
        <v>40484</v>
      </c>
      <c r="I285" s="13">
        <v>42135</v>
      </c>
      <c r="J285" s="13"/>
      <c r="K285" s="1">
        <f t="shared" si="93"/>
        <v>1036</v>
      </c>
      <c r="L285" s="1">
        <f t="shared" si="94"/>
        <v>182</v>
      </c>
      <c r="M285" s="1">
        <f t="shared" si="95"/>
        <v>1469</v>
      </c>
      <c r="N285" s="1"/>
      <c r="O285" s="1" t="s">
        <v>417</v>
      </c>
      <c r="P285" s="1">
        <v>6.1</v>
      </c>
      <c r="Q285" s="1">
        <f t="shared" si="96"/>
        <v>1</v>
      </c>
      <c r="R285" s="1">
        <f t="shared" si="97"/>
        <v>1</v>
      </c>
      <c r="S285" s="1">
        <f t="shared" si="98"/>
        <v>1</v>
      </c>
      <c r="T285" s="1">
        <f t="shared" si="99"/>
        <v>1</v>
      </c>
      <c r="U285" s="1" t="s">
        <v>437</v>
      </c>
      <c r="V285" s="1"/>
      <c r="W285" s="1"/>
      <c r="X285" s="1"/>
      <c r="Y285" s="1"/>
      <c r="Z285" s="1">
        <v>0</v>
      </c>
      <c r="AA285" s="1">
        <v>0</v>
      </c>
      <c r="AB285" s="1"/>
      <c r="AC285" s="1">
        <v>0</v>
      </c>
      <c r="AD285" s="1">
        <v>0</v>
      </c>
      <c r="AE285" s="172">
        <v>60</v>
      </c>
      <c r="AF285" s="1" t="s">
        <v>417</v>
      </c>
      <c r="AG285" s="1">
        <v>2</v>
      </c>
      <c r="AH285" s="1">
        <v>0.35</v>
      </c>
      <c r="AI285" s="1">
        <v>3</v>
      </c>
      <c r="AJ285" s="1">
        <v>0.35</v>
      </c>
      <c r="AK285" s="1"/>
      <c r="AL285" s="1"/>
      <c r="AM285" s="1">
        <v>0</v>
      </c>
    </row>
    <row r="286" spans="1:39" x14ac:dyDescent="0.25">
      <c r="A286" s="181" t="s">
        <v>49</v>
      </c>
      <c r="B286" s="1">
        <v>2</v>
      </c>
      <c r="C286" s="1" t="s">
        <v>418</v>
      </c>
      <c r="D286" s="13">
        <v>39630</v>
      </c>
      <c r="E286" s="174">
        <f t="shared" si="92"/>
        <v>2505</v>
      </c>
      <c r="F286" s="201"/>
      <c r="G286" s="13">
        <v>40869</v>
      </c>
      <c r="H286" s="13">
        <f t="shared" si="100"/>
        <v>40666</v>
      </c>
      <c r="I286" s="13">
        <v>42135</v>
      </c>
      <c r="J286" s="13"/>
      <c r="K286" s="1">
        <f t="shared" si="93"/>
        <v>1239</v>
      </c>
      <c r="L286" s="1">
        <f t="shared" si="94"/>
        <v>203</v>
      </c>
      <c r="M286" s="1">
        <f t="shared" si="95"/>
        <v>1266</v>
      </c>
      <c r="N286" s="1"/>
      <c r="O286" s="1" t="s">
        <v>417</v>
      </c>
      <c r="P286" s="1">
        <v>5.88</v>
      </c>
      <c r="Q286" s="1">
        <f t="shared" si="96"/>
        <v>1</v>
      </c>
      <c r="R286" s="1">
        <f t="shared" si="97"/>
        <v>1</v>
      </c>
      <c r="S286" s="1">
        <f t="shared" si="98"/>
        <v>1</v>
      </c>
      <c r="T286" s="1">
        <f t="shared" si="99"/>
        <v>1</v>
      </c>
      <c r="U286" s="1" t="s">
        <v>437</v>
      </c>
      <c r="V286" s="1"/>
      <c r="W286" s="1"/>
      <c r="X286" s="1"/>
      <c r="Y286" s="1"/>
      <c r="Z286" s="1">
        <v>1</v>
      </c>
      <c r="AA286" s="1">
        <v>0</v>
      </c>
      <c r="AB286" s="1"/>
      <c r="AC286" s="1">
        <v>0</v>
      </c>
      <c r="AD286" s="1">
        <v>1</v>
      </c>
      <c r="AE286" s="172">
        <v>60</v>
      </c>
      <c r="AF286" s="1" t="s">
        <v>417</v>
      </c>
      <c r="AG286" s="1">
        <v>2</v>
      </c>
      <c r="AH286" s="1">
        <v>0.35</v>
      </c>
      <c r="AI286" s="1">
        <v>3</v>
      </c>
      <c r="AJ286" s="1">
        <v>0.35</v>
      </c>
      <c r="AK286" s="1"/>
      <c r="AL286" s="1"/>
      <c r="AM286" s="1">
        <v>0</v>
      </c>
    </row>
    <row r="287" spans="1:39" x14ac:dyDescent="0.25">
      <c r="A287" s="181" t="s">
        <v>49</v>
      </c>
      <c r="B287" s="1">
        <v>2</v>
      </c>
      <c r="C287" s="1" t="s">
        <v>418</v>
      </c>
      <c r="D287" s="13">
        <v>39630</v>
      </c>
      <c r="E287" s="174">
        <f t="shared" si="92"/>
        <v>2505</v>
      </c>
      <c r="F287" s="201"/>
      <c r="G287" s="13">
        <v>41058</v>
      </c>
      <c r="H287" s="13">
        <f t="shared" si="100"/>
        <v>40869</v>
      </c>
      <c r="I287" s="13">
        <v>42135</v>
      </c>
      <c r="J287" s="13"/>
      <c r="K287" s="1">
        <f t="shared" si="93"/>
        <v>1428</v>
      </c>
      <c r="L287" s="1">
        <f t="shared" si="94"/>
        <v>189</v>
      </c>
      <c r="M287" s="1">
        <f t="shared" si="95"/>
        <v>1077</v>
      </c>
      <c r="N287" s="1"/>
      <c r="O287" s="1" t="s">
        <v>417</v>
      </c>
      <c r="P287" s="1">
        <v>5.47</v>
      </c>
      <c r="Q287" s="1">
        <f t="shared" si="96"/>
        <v>1</v>
      </c>
      <c r="R287" s="1">
        <f t="shared" si="97"/>
        <v>1</v>
      </c>
      <c r="S287" s="1">
        <f t="shared" si="98"/>
        <v>1</v>
      </c>
      <c r="T287" s="1">
        <f t="shared" si="99"/>
        <v>1</v>
      </c>
      <c r="U287" s="1" t="s">
        <v>437</v>
      </c>
      <c r="V287" s="1"/>
      <c r="W287" s="1"/>
      <c r="X287" s="1"/>
      <c r="Y287" s="1"/>
      <c r="Z287" s="1">
        <v>2</v>
      </c>
      <c r="AA287" s="1">
        <v>0</v>
      </c>
      <c r="AB287" s="1"/>
      <c r="AC287" s="1">
        <v>0</v>
      </c>
      <c r="AD287" s="1">
        <v>1</v>
      </c>
      <c r="AE287" s="172">
        <v>60</v>
      </c>
      <c r="AF287" s="1" t="s">
        <v>417</v>
      </c>
      <c r="AG287" s="1">
        <v>2</v>
      </c>
      <c r="AH287" s="1">
        <v>0.35</v>
      </c>
      <c r="AI287" s="1">
        <v>3</v>
      </c>
      <c r="AJ287" s="1">
        <v>0.35</v>
      </c>
      <c r="AK287" s="1"/>
      <c r="AL287" s="1"/>
      <c r="AM287" s="1">
        <v>0</v>
      </c>
    </row>
    <row r="288" spans="1:39" x14ac:dyDescent="0.25">
      <c r="A288" s="181" t="s">
        <v>49</v>
      </c>
      <c r="B288" s="1">
        <v>2</v>
      </c>
      <c r="C288" s="1" t="s">
        <v>418</v>
      </c>
      <c r="D288" s="13">
        <v>39630</v>
      </c>
      <c r="E288" s="174">
        <f t="shared" si="92"/>
        <v>2505</v>
      </c>
      <c r="F288" s="201"/>
      <c r="G288" s="13">
        <v>41212</v>
      </c>
      <c r="H288" s="13">
        <f t="shared" si="100"/>
        <v>41058</v>
      </c>
      <c r="I288" s="13">
        <v>42135</v>
      </c>
      <c r="J288" s="13"/>
      <c r="K288" s="1">
        <f t="shared" si="93"/>
        <v>1582</v>
      </c>
      <c r="L288" s="1">
        <f t="shared" si="94"/>
        <v>154</v>
      </c>
      <c r="M288" s="1">
        <f t="shared" si="95"/>
        <v>923</v>
      </c>
      <c r="N288" s="1"/>
      <c r="O288" s="1" t="s">
        <v>417</v>
      </c>
      <c r="P288" s="1">
        <v>5.28</v>
      </c>
      <c r="Q288" s="1">
        <f t="shared" si="96"/>
        <v>1</v>
      </c>
      <c r="R288" s="1">
        <f t="shared" si="97"/>
        <v>1</v>
      </c>
      <c r="S288" s="1">
        <f t="shared" si="98"/>
        <v>1</v>
      </c>
      <c r="T288" s="1">
        <f t="shared" si="99"/>
        <v>1</v>
      </c>
      <c r="U288" s="1" t="s">
        <v>437</v>
      </c>
      <c r="V288" s="1"/>
      <c r="W288" s="1"/>
      <c r="X288" s="1"/>
      <c r="Y288" s="1"/>
      <c r="Z288" s="1">
        <v>3</v>
      </c>
      <c r="AA288" s="1">
        <v>0</v>
      </c>
      <c r="AB288" s="1"/>
      <c r="AC288" s="1">
        <v>0</v>
      </c>
      <c r="AD288" s="1">
        <v>1</v>
      </c>
      <c r="AE288" s="172">
        <v>60</v>
      </c>
      <c r="AF288" s="1" t="s">
        <v>417</v>
      </c>
      <c r="AG288" s="1">
        <v>2</v>
      </c>
      <c r="AH288" s="1">
        <v>0.35</v>
      </c>
      <c r="AI288" s="1">
        <v>3</v>
      </c>
      <c r="AJ288" s="1">
        <v>0.35</v>
      </c>
      <c r="AK288" s="1"/>
      <c r="AL288" s="1"/>
      <c r="AM288" s="1">
        <v>0</v>
      </c>
    </row>
    <row r="289" spans="1:39" x14ac:dyDescent="0.25">
      <c r="A289" s="181" t="s">
        <v>49</v>
      </c>
      <c r="B289" s="1">
        <v>2</v>
      </c>
      <c r="C289" s="1" t="s">
        <v>418</v>
      </c>
      <c r="D289" s="13">
        <v>39630</v>
      </c>
      <c r="E289" s="174">
        <f t="shared" si="92"/>
        <v>2505</v>
      </c>
      <c r="F289" s="201"/>
      <c r="G289" s="13">
        <v>41394</v>
      </c>
      <c r="H289" s="13">
        <f t="shared" si="100"/>
        <v>41212</v>
      </c>
      <c r="I289" s="13">
        <v>42135</v>
      </c>
      <c r="J289" s="13"/>
      <c r="K289" s="1">
        <f t="shared" si="93"/>
        <v>1764</v>
      </c>
      <c r="L289" s="1">
        <f t="shared" si="94"/>
        <v>182</v>
      </c>
      <c r="M289" s="1">
        <f t="shared" si="95"/>
        <v>741</v>
      </c>
      <c r="N289" s="1"/>
      <c r="O289" s="1" t="s">
        <v>417</v>
      </c>
      <c r="P289" s="1">
        <v>5.18</v>
      </c>
      <c r="Q289" s="1">
        <f t="shared" si="96"/>
        <v>1</v>
      </c>
      <c r="R289" s="1">
        <f t="shared" si="97"/>
        <v>1</v>
      </c>
      <c r="S289" s="1">
        <f t="shared" si="98"/>
        <v>1</v>
      </c>
      <c r="T289" s="1">
        <f t="shared" si="99"/>
        <v>1</v>
      </c>
      <c r="U289" s="1" t="s">
        <v>437</v>
      </c>
      <c r="V289" s="1"/>
      <c r="W289" s="1"/>
      <c r="X289" s="1"/>
      <c r="Y289" s="1"/>
      <c r="Z289" s="1">
        <v>2</v>
      </c>
      <c r="AA289" s="1">
        <v>0</v>
      </c>
      <c r="AB289" s="1"/>
      <c r="AC289" s="1">
        <v>0</v>
      </c>
      <c r="AD289" s="1">
        <v>0</v>
      </c>
      <c r="AE289" s="172">
        <v>60</v>
      </c>
      <c r="AF289" s="1" t="s">
        <v>417</v>
      </c>
      <c r="AG289" s="1">
        <v>2</v>
      </c>
      <c r="AH289" s="1">
        <v>0.35</v>
      </c>
      <c r="AI289" s="1">
        <v>3</v>
      </c>
      <c r="AJ289" s="1">
        <v>0.35</v>
      </c>
      <c r="AK289" s="1"/>
      <c r="AL289" s="1"/>
      <c r="AM289" s="1">
        <v>0</v>
      </c>
    </row>
    <row r="290" spans="1:39" x14ac:dyDescent="0.25">
      <c r="A290" s="181" t="s">
        <v>49</v>
      </c>
      <c r="B290" s="216">
        <v>2</v>
      </c>
      <c r="C290" s="1" t="s">
        <v>418</v>
      </c>
      <c r="D290" s="13">
        <v>39630</v>
      </c>
      <c r="E290" s="1">
        <f t="shared" si="92"/>
        <v>2505</v>
      </c>
      <c r="F290" s="1"/>
      <c r="G290" s="13">
        <v>41486</v>
      </c>
      <c r="H290" s="13">
        <f t="shared" si="100"/>
        <v>41394</v>
      </c>
      <c r="I290" s="13">
        <v>42135</v>
      </c>
      <c r="J290" s="13"/>
      <c r="K290" s="1">
        <f t="shared" si="93"/>
        <v>1856</v>
      </c>
      <c r="L290" s="1">
        <f t="shared" si="94"/>
        <v>92</v>
      </c>
      <c r="M290" s="1">
        <f t="shared" si="95"/>
        <v>649</v>
      </c>
      <c r="N290" s="1"/>
      <c r="O290" s="1" t="s">
        <v>417</v>
      </c>
      <c r="P290" s="1">
        <v>5.17</v>
      </c>
      <c r="Q290" s="1">
        <f t="shared" si="96"/>
        <v>1</v>
      </c>
      <c r="R290" s="1">
        <f t="shared" si="97"/>
        <v>1</v>
      </c>
      <c r="S290" s="1">
        <f t="shared" si="98"/>
        <v>1</v>
      </c>
      <c r="T290" s="1">
        <f t="shared" si="99"/>
        <v>1</v>
      </c>
      <c r="U290" s="1" t="s">
        <v>437</v>
      </c>
      <c r="V290" s="1"/>
      <c r="W290" s="1"/>
      <c r="X290" s="1"/>
      <c r="Y290" s="1"/>
      <c r="Z290" s="1">
        <v>3</v>
      </c>
      <c r="AA290" s="1">
        <v>0</v>
      </c>
      <c r="AB290" s="1"/>
      <c r="AC290" s="1">
        <v>0</v>
      </c>
      <c r="AD290" s="1">
        <v>1</v>
      </c>
      <c r="AE290" s="1">
        <v>60</v>
      </c>
      <c r="AF290" s="1" t="s">
        <v>417</v>
      </c>
      <c r="AG290" s="1">
        <v>3.5</v>
      </c>
      <c r="AH290" s="1">
        <v>0.35</v>
      </c>
      <c r="AI290" s="1">
        <v>2.5</v>
      </c>
      <c r="AJ290" s="1">
        <v>0.35</v>
      </c>
      <c r="AK290" s="1"/>
      <c r="AL290" s="1"/>
      <c r="AM290" s="1">
        <v>0</v>
      </c>
    </row>
    <row r="291" spans="1:39" x14ac:dyDescent="0.25">
      <c r="A291" s="181" t="s">
        <v>49</v>
      </c>
      <c r="B291" s="1">
        <v>2</v>
      </c>
      <c r="C291" s="1" t="s">
        <v>418</v>
      </c>
      <c r="D291" s="13">
        <v>39630</v>
      </c>
      <c r="E291" s="174">
        <f t="shared" si="92"/>
        <v>2505</v>
      </c>
      <c r="F291" s="201"/>
      <c r="G291" s="13">
        <v>41660</v>
      </c>
      <c r="H291" s="13">
        <f t="shared" si="100"/>
        <v>41486</v>
      </c>
      <c r="I291" s="13">
        <v>42135</v>
      </c>
      <c r="J291" s="13"/>
      <c r="K291" s="1">
        <f t="shared" si="93"/>
        <v>2030</v>
      </c>
      <c r="L291" s="1">
        <f t="shared" si="94"/>
        <v>174</v>
      </c>
      <c r="M291" s="1">
        <f t="shared" si="95"/>
        <v>475</v>
      </c>
      <c r="N291" s="1"/>
      <c r="O291" s="1" t="s">
        <v>417</v>
      </c>
      <c r="P291" s="1">
        <v>5.15</v>
      </c>
      <c r="Q291" s="1"/>
      <c r="R291" s="1">
        <f t="shared" si="97"/>
        <v>1</v>
      </c>
      <c r="S291" s="1">
        <f t="shared" si="98"/>
        <v>1</v>
      </c>
      <c r="T291" s="1">
        <f t="shared" si="99"/>
        <v>1</v>
      </c>
      <c r="U291" s="1"/>
      <c r="V291" s="1"/>
      <c r="W291" s="1"/>
      <c r="X291" s="1"/>
      <c r="Y291" s="1"/>
      <c r="Z291" s="1">
        <v>2</v>
      </c>
      <c r="AA291" s="1">
        <v>0</v>
      </c>
      <c r="AB291" s="1"/>
      <c r="AC291" s="1">
        <v>0</v>
      </c>
      <c r="AD291" s="1">
        <v>1</v>
      </c>
      <c r="AE291" s="172">
        <v>60</v>
      </c>
      <c r="AF291" s="1" t="s">
        <v>417</v>
      </c>
      <c r="AG291" s="1">
        <v>2</v>
      </c>
      <c r="AH291" s="1">
        <v>0.35</v>
      </c>
      <c r="AI291" s="1">
        <v>2.5</v>
      </c>
      <c r="AJ291" s="1">
        <v>0.35</v>
      </c>
      <c r="AK291" s="1"/>
      <c r="AL291" s="1"/>
      <c r="AM291" s="1">
        <v>0</v>
      </c>
    </row>
    <row r="292" spans="1:39" x14ac:dyDescent="0.25">
      <c r="A292" s="181" t="s">
        <v>49</v>
      </c>
      <c r="B292" s="1">
        <v>2</v>
      </c>
      <c r="C292" s="1" t="s">
        <v>418</v>
      </c>
      <c r="D292" s="13">
        <v>39630</v>
      </c>
      <c r="E292" s="174">
        <f t="shared" si="92"/>
        <v>2505</v>
      </c>
      <c r="F292" s="201"/>
      <c r="G292" s="13">
        <v>41813</v>
      </c>
      <c r="H292" s="13">
        <f t="shared" si="100"/>
        <v>41660</v>
      </c>
      <c r="I292" s="13">
        <v>42135</v>
      </c>
      <c r="J292" s="13"/>
      <c r="K292" s="1">
        <f t="shared" si="93"/>
        <v>2183</v>
      </c>
      <c r="L292" s="1">
        <f t="shared" si="94"/>
        <v>153</v>
      </c>
      <c r="M292" s="1">
        <f t="shared" si="95"/>
        <v>322</v>
      </c>
      <c r="N292" s="1"/>
      <c r="O292" s="1" t="s">
        <v>417</v>
      </c>
      <c r="P292" s="1">
        <v>5.14</v>
      </c>
      <c r="Q292" s="1"/>
      <c r="R292" s="1"/>
      <c r="S292" s="1">
        <f t="shared" si="98"/>
        <v>1</v>
      </c>
      <c r="T292" s="1">
        <f t="shared" si="99"/>
        <v>1</v>
      </c>
      <c r="U292" s="1"/>
      <c r="V292" s="1"/>
      <c r="W292" s="1"/>
      <c r="X292" s="1"/>
      <c r="Y292" s="1"/>
      <c r="Z292" s="1">
        <v>1</v>
      </c>
      <c r="AA292" s="1">
        <v>0</v>
      </c>
      <c r="AB292" s="1"/>
      <c r="AC292" s="1">
        <v>0</v>
      </c>
      <c r="AD292" s="1">
        <v>1</v>
      </c>
      <c r="AE292" s="172">
        <v>60</v>
      </c>
      <c r="AF292" s="1" t="s">
        <v>417</v>
      </c>
      <c r="AG292" s="1">
        <v>2</v>
      </c>
      <c r="AH292" s="1">
        <v>0.35</v>
      </c>
      <c r="AI292" s="1">
        <v>2.5</v>
      </c>
      <c r="AJ292" s="1">
        <v>0.35</v>
      </c>
      <c r="AK292" s="1"/>
      <c r="AL292" s="1"/>
      <c r="AM292" s="1">
        <v>0</v>
      </c>
    </row>
    <row r="293" spans="1:39" x14ac:dyDescent="0.25">
      <c r="A293" s="181" t="s">
        <v>49</v>
      </c>
      <c r="B293" s="1">
        <v>2</v>
      </c>
      <c r="C293" s="1" t="s">
        <v>418</v>
      </c>
      <c r="D293" s="13">
        <v>39630</v>
      </c>
      <c r="E293" s="174">
        <f t="shared" si="92"/>
        <v>2505</v>
      </c>
      <c r="F293" s="201"/>
      <c r="G293" s="13">
        <v>41967</v>
      </c>
      <c r="H293" s="13">
        <f t="shared" si="100"/>
        <v>41813</v>
      </c>
      <c r="I293" s="13">
        <v>42135</v>
      </c>
      <c r="J293" s="13"/>
      <c r="K293" s="1">
        <f t="shared" si="93"/>
        <v>2337</v>
      </c>
      <c r="L293" s="1">
        <f t="shared" si="94"/>
        <v>154</v>
      </c>
      <c r="M293" s="1">
        <f t="shared" si="95"/>
        <v>168</v>
      </c>
      <c r="N293" s="1"/>
      <c r="O293" s="1" t="s">
        <v>417</v>
      </c>
      <c r="P293" s="1">
        <v>5.13</v>
      </c>
      <c r="Q293" s="1"/>
      <c r="R293" s="1"/>
      <c r="S293" s="1"/>
      <c r="T293" s="1">
        <f t="shared" si="99"/>
        <v>1</v>
      </c>
      <c r="U293" s="1"/>
      <c r="V293" s="1"/>
      <c r="W293" s="1"/>
      <c r="X293" s="1"/>
      <c r="Y293" s="1"/>
      <c r="Z293" s="1">
        <v>2</v>
      </c>
      <c r="AA293" s="1">
        <v>0</v>
      </c>
      <c r="AB293" s="1"/>
      <c r="AC293" s="1">
        <v>0</v>
      </c>
      <c r="AD293" s="1">
        <v>0</v>
      </c>
      <c r="AE293" s="172">
        <v>60</v>
      </c>
      <c r="AF293" s="1" t="s">
        <v>417</v>
      </c>
      <c r="AG293" s="1">
        <v>2</v>
      </c>
      <c r="AH293" s="1">
        <v>0.35</v>
      </c>
      <c r="AI293" s="1">
        <v>2.5</v>
      </c>
      <c r="AJ293" s="1">
        <v>0.35</v>
      </c>
      <c r="AK293" s="1"/>
      <c r="AL293" s="1"/>
      <c r="AM293" s="1">
        <v>0</v>
      </c>
    </row>
    <row r="294" spans="1:39" x14ac:dyDescent="0.25">
      <c r="A294" s="181" t="s">
        <v>49</v>
      </c>
      <c r="B294" s="216">
        <v>2</v>
      </c>
      <c r="C294" s="1" t="s">
        <v>418</v>
      </c>
      <c r="D294" s="13">
        <v>39630</v>
      </c>
      <c r="E294" s="1">
        <f t="shared" si="92"/>
        <v>2505</v>
      </c>
      <c r="F294" s="1"/>
      <c r="G294" s="13">
        <v>42135</v>
      </c>
      <c r="H294" s="13">
        <f t="shared" si="100"/>
        <v>41967</v>
      </c>
      <c r="I294" s="13">
        <v>42135</v>
      </c>
      <c r="J294" s="13"/>
      <c r="K294" s="1">
        <f t="shared" si="93"/>
        <v>2505</v>
      </c>
      <c r="L294" s="1">
        <f t="shared" si="94"/>
        <v>168</v>
      </c>
      <c r="M294" s="1">
        <f t="shared" si="95"/>
        <v>0</v>
      </c>
      <c r="N294" s="1"/>
      <c r="O294" s="1" t="s">
        <v>417</v>
      </c>
      <c r="P294" s="1">
        <v>5.07</v>
      </c>
      <c r="Q294" s="1"/>
      <c r="R294" s="1"/>
      <c r="S294" s="1"/>
      <c r="T294" s="1"/>
      <c r="U294" s="1"/>
      <c r="V294" s="1"/>
      <c r="W294" s="1"/>
      <c r="X294" s="1"/>
      <c r="Y294" s="1"/>
      <c r="Z294" s="1">
        <v>1</v>
      </c>
      <c r="AA294" s="1">
        <v>0</v>
      </c>
      <c r="AB294" s="1"/>
      <c r="AC294" s="1">
        <v>0</v>
      </c>
      <c r="AD294" s="1">
        <v>0</v>
      </c>
      <c r="AE294" s="1">
        <v>60</v>
      </c>
      <c r="AF294" s="1" t="s">
        <v>417</v>
      </c>
      <c r="AG294" s="1">
        <v>3.5</v>
      </c>
      <c r="AH294" s="1">
        <v>0.35</v>
      </c>
      <c r="AI294" s="1">
        <v>2.5</v>
      </c>
      <c r="AJ294" s="1">
        <v>0.35</v>
      </c>
      <c r="AK294" s="1"/>
      <c r="AL294" s="1"/>
      <c r="AM294" s="1">
        <v>0</v>
      </c>
    </row>
    <row r="295" spans="1:39" x14ac:dyDescent="0.25">
      <c r="A295" s="188" t="s">
        <v>71</v>
      </c>
      <c r="B295" s="1">
        <v>2</v>
      </c>
      <c r="C295" s="1" t="s">
        <v>418</v>
      </c>
      <c r="D295" s="13">
        <v>39909</v>
      </c>
      <c r="E295" s="1">
        <f t="shared" si="92"/>
        <v>2261</v>
      </c>
      <c r="F295" s="1"/>
      <c r="G295" s="13">
        <v>40253</v>
      </c>
      <c r="H295" s="13">
        <v>39909</v>
      </c>
      <c r="I295" s="13">
        <v>42170</v>
      </c>
      <c r="J295" s="13"/>
      <c r="K295" s="1">
        <f t="shared" si="93"/>
        <v>344</v>
      </c>
      <c r="L295" s="1">
        <f t="shared" si="94"/>
        <v>344</v>
      </c>
      <c r="M295" s="1">
        <f t="shared" si="95"/>
        <v>1917</v>
      </c>
      <c r="N295" s="1"/>
      <c r="O295" s="1" t="s">
        <v>417</v>
      </c>
      <c r="P295" s="1">
        <v>6.46</v>
      </c>
      <c r="Q295" s="1">
        <f t="shared" si="96"/>
        <v>1</v>
      </c>
      <c r="R295" s="1">
        <f t="shared" si="97"/>
        <v>1</v>
      </c>
      <c r="S295" s="1">
        <f t="shared" si="98"/>
        <v>1</v>
      </c>
      <c r="T295" s="1">
        <f t="shared" si="99"/>
        <v>1</v>
      </c>
      <c r="U295" s="1" t="s">
        <v>437</v>
      </c>
      <c r="V295" s="1"/>
      <c r="W295" s="1"/>
      <c r="X295" s="1"/>
      <c r="Y295" s="1"/>
      <c r="Z295" s="1">
        <v>2</v>
      </c>
      <c r="AA295" s="1">
        <v>0</v>
      </c>
      <c r="AB295" s="1"/>
      <c r="AC295" s="1">
        <v>0</v>
      </c>
      <c r="AD295" s="1">
        <v>1</v>
      </c>
      <c r="AE295" s="1">
        <v>50</v>
      </c>
      <c r="AF295" s="1" t="s">
        <v>417</v>
      </c>
      <c r="AG295" s="1">
        <v>2.5</v>
      </c>
      <c r="AH295" s="1">
        <v>0.35</v>
      </c>
      <c r="AI295" s="1">
        <v>2.5</v>
      </c>
      <c r="AJ295" s="1">
        <v>0.35</v>
      </c>
      <c r="AK295" s="1"/>
      <c r="AL295" s="1"/>
      <c r="AM295" s="1">
        <v>0</v>
      </c>
    </row>
    <row r="296" spans="1:39" x14ac:dyDescent="0.25">
      <c r="A296" s="188" t="s">
        <v>71</v>
      </c>
      <c r="B296" s="1">
        <v>2</v>
      </c>
      <c r="C296" s="1" t="s">
        <v>418</v>
      </c>
      <c r="D296" s="13">
        <v>39909</v>
      </c>
      <c r="E296" s="1">
        <f t="shared" si="92"/>
        <v>2261</v>
      </c>
      <c r="F296" s="1"/>
      <c r="G296" s="13">
        <v>40603</v>
      </c>
      <c r="H296" s="13">
        <f>G295</f>
        <v>40253</v>
      </c>
      <c r="I296" s="13">
        <v>42170</v>
      </c>
      <c r="J296" s="13"/>
      <c r="K296" s="1">
        <f t="shared" si="93"/>
        <v>694</v>
      </c>
      <c r="L296" s="1">
        <f t="shared" si="94"/>
        <v>350</v>
      </c>
      <c r="M296" s="1">
        <f t="shared" si="95"/>
        <v>1567</v>
      </c>
      <c r="N296" s="1"/>
      <c r="O296" s="1" t="s">
        <v>417</v>
      </c>
      <c r="P296" s="1">
        <v>6.41</v>
      </c>
      <c r="Q296" s="1">
        <f t="shared" si="96"/>
        <v>1</v>
      </c>
      <c r="R296" s="1">
        <f t="shared" si="97"/>
        <v>1</v>
      </c>
      <c r="S296" s="1">
        <f t="shared" si="98"/>
        <v>1</v>
      </c>
      <c r="T296" s="1">
        <f t="shared" si="99"/>
        <v>1</v>
      </c>
      <c r="U296" s="1" t="s">
        <v>437</v>
      </c>
      <c r="V296" s="1"/>
      <c r="W296" s="1"/>
      <c r="X296" s="1"/>
      <c r="Y296" s="1"/>
      <c r="Z296" s="1">
        <v>1</v>
      </c>
      <c r="AA296" s="1">
        <v>0</v>
      </c>
      <c r="AB296" s="1"/>
      <c r="AC296" s="1">
        <v>0</v>
      </c>
      <c r="AD296" s="1">
        <v>27</v>
      </c>
      <c r="AE296" s="1">
        <v>50</v>
      </c>
      <c r="AF296" s="1" t="s">
        <v>417</v>
      </c>
      <c r="AG296" s="1">
        <v>2.5</v>
      </c>
      <c r="AH296" s="1">
        <v>0.35</v>
      </c>
      <c r="AI296" s="1">
        <v>2.5</v>
      </c>
      <c r="AJ296" s="1">
        <v>0.35</v>
      </c>
      <c r="AK296" s="1"/>
      <c r="AL296" s="1"/>
      <c r="AM296" s="1">
        <v>0</v>
      </c>
    </row>
    <row r="297" spans="1:39" x14ac:dyDescent="0.25">
      <c r="A297" s="188" t="s">
        <v>71</v>
      </c>
      <c r="B297" s="1">
        <v>2</v>
      </c>
      <c r="C297" s="1" t="s">
        <v>418</v>
      </c>
      <c r="D297" s="13">
        <v>39909</v>
      </c>
      <c r="E297" s="174">
        <f t="shared" si="92"/>
        <v>2261</v>
      </c>
      <c r="F297" s="201"/>
      <c r="G297" s="13">
        <v>40813</v>
      </c>
      <c r="H297" s="13">
        <f>G296</f>
        <v>40603</v>
      </c>
      <c r="I297" s="13">
        <v>42170</v>
      </c>
      <c r="J297" s="13"/>
      <c r="K297" s="1">
        <f t="shared" si="93"/>
        <v>904</v>
      </c>
      <c r="L297" s="1">
        <f t="shared" si="94"/>
        <v>210</v>
      </c>
      <c r="M297" s="1">
        <f t="shared" si="95"/>
        <v>1357</v>
      </c>
      <c r="N297" s="1"/>
      <c r="O297" s="1" t="s">
        <v>417</v>
      </c>
      <c r="P297" s="1">
        <v>6.36</v>
      </c>
      <c r="Q297" s="1">
        <f t="shared" si="96"/>
        <v>1</v>
      </c>
      <c r="R297" s="1">
        <f t="shared" si="97"/>
        <v>1</v>
      </c>
      <c r="S297" s="1">
        <f t="shared" si="98"/>
        <v>1</v>
      </c>
      <c r="T297" s="1">
        <f t="shared" si="99"/>
        <v>1</v>
      </c>
      <c r="U297" s="1" t="s">
        <v>437</v>
      </c>
      <c r="V297" s="1"/>
      <c r="W297" s="1"/>
      <c r="X297" s="1"/>
      <c r="Y297" s="1"/>
      <c r="Z297" s="1">
        <v>1</v>
      </c>
      <c r="AA297" s="1">
        <v>0</v>
      </c>
      <c r="AB297" s="1"/>
      <c r="AC297" s="1">
        <v>0</v>
      </c>
      <c r="AD297" s="1">
        <v>33</v>
      </c>
      <c r="AE297" s="172">
        <v>50</v>
      </c>
      <c r="AF297" s="1" t="s">
        <v>417</v>
      </c>
      <c r="AG297" s="1">
        <v>2</v>
      </c>
      <c r="AH297" s="1">
        <v>0.35</v>
      </c>
      <c r="AI297" s="1">
        <v>0.25</v>
      </c>
      <c r="AJ297" s="1">
        <v>0.35</v>
      </c>
      <c r="AK297" s="1"/>
      <c r="AL297" s="1"/>
      <c r="AM297" s="1">
        <v>0</v>
      </c>
    </row>
    <row r="298" spans="1:39" x14ac:dyDescent="0.25">
      <c r="A298" s="188" t="s">
        <v>71</v>
      </c>
      <c r="B298" s="1">
        <v>2</v>
      </c>
      <c r="C298" s="1" t="s">
        <v>418</v>
      </c>
      <c r="D298" s="13">
        <v>39909</v>
      </c>
      <c r="E298" s="174">
        <f t="shared" si="92"/>
        <v>2261</v>
      </c>
      <c r="F298" s="201"/>
      <c r="G298" s="13">
        <v>41009</v>
      </c>
      <c r="H298" s="13">
        <f t="shared" ref="H298:H304" si="101">G297</f>
        <v>40813</v>
      </c>
      <c r="I298" s="13">
        <v>42170</v>
      </c>
      <c r="J298" s="13"/>
      <c r="K298" s="1">
        <f t="shared" si="93"/>
        <v>1100</v>
      </c>
      <c r="L298" s="1">
        <f t="shared" si="94"/>
        <v>196</v>
      </c>
      <c r="M298" s="1">
        <f t="shared" si="95"/>
        <v>1161</v>
      </c>
      <c r="N298" s="1"/>
      <c r="O298" s="1" t="s">
        <v>417</v>
      </c>
      <c r="P298" s="1">
        <v>6.17</v>
      </c>
      <c r="Q298" s="1">
        <f t="shared" si="96"/>
        <v>1</v>
      </c>
      <c r="R298" s="1">
        <f t="shared" si="97"/>
        <v>1</v>
      </c>
      <c r="S298" s="1">
        <f t="shared" si="98"/>
        <v>1</v>
      </c>
      <c r="T298" s="1">
        <f t="shared" si="99"/>
        <v>1</v>
      </c>
      <c r="U298" s="1" t="s">
        <v>437</v>
      </c>
      <c r="V298" s="1"/>
      <c r="W298" s="1"/>
      <c r="X298" s="1"/>
      <c r="Y298" s="1"/>
      <c r="Z298" s="1">
        <v>1</v>
      </c>
      <c r="AA298" s="1">
        <v>0</v>
      </c>
      <c r="AB298" s="1"/>
      <c r="AC298" s="1">
        <v>0</v>
      </c>
      <c r="AD298" s="98">
        <v>17</v>
      </c>
      <c r="AE298" s="172">
        <v>50</v>
      </c>
      <c r="AF298" s="1" t="s">
        <v>417</v>
      </c>
      <c r="AG298" s="1">
        <v>2</v>
      </c>
      <c r="AH298" s="1">
        <v>0.35</v>
      </c>
      <c r="AI298" s="1">
        <v>0.25</v>
      </c>
      <c r="AJ298" s="1">
        <v>0.35</v>
      </c>
      <c r="AK298" s="1"/>
      <c r="AL298" s="1"/>
      <c r="AM298" s="1">
        <v>0</v>
      </c>
    </row>
    <row r="299" spans="1:39" x14ac:dyDescent="0.25">
      <c r="A299" s="188" t="s">
        <v>71</v>
      </c>
      <c r="B299" s="1">
        <v>2</v>
      </c>
      <c r="C299" s="1" t="s">
        <v>418</v>
      </c>
      <c r="D299" s="13">
        <v>39909</v>
      </c>
      <c r="E299" s="174">
        <f t="shared" si="92"/>
        <v>2261</v>
      </c>
      <c r="F299" s="201"/>
      <c r="G299" s="13">
        <v>41191</v>
      </c>
      <c r="H299" s="13">
        <f t="shared" si="101"/>
        <v>41009</v>
      </c>
      <c r="I299" s="13">
        <v>42170</v>
      </c>
      <c r="J299" s="13"/>
      <c r="K299" s="1">
        <f t="shared" si="93"/>
        <v>1282</v>
      </c>
      <c r="L299" s="1">
        <f t="shared" si="94"/>
        <v>182</v>
      </c>
      <c r="M299" s="1">
        <f t="shared" si="95"/>
        <v>979</v>
      </c>
      <c r="N299" s="1"/>
      <c r="O299" s="1" t="s">
        <v>417</v>
      </c>
      <c r="P299" s="1">
        <v>5.96</v>
      </c>
      <c r="Q299" s="1">
        <f t="shared" si="96"/>
        <v>1</v>
      </c>
      <c r="R299" s="1">
        <f t="shared" si="97"/>
        <v>1</v>
      </c>
      <c r="S299" s="1">
        <f t="shared" si="98"/>
        <v>1</v>
      </c>
      <c r="T299" s="1">
        <f t="shared" si="99"/>
        <v>1</v>
      </c>
      <c r="U299" s="1" t="s">
        <v>437</v>
      </c>
      <c r="V299" s="1"/>
      <c r="W299" s="1"/>
      <c r="X299" s="1"/>
      <c r="Y299" s="1"/>
      <c r="Z299" s="1">
        <v>1</v>
      </c>
      <c r="AA299" s="1">
        <v>0</v>
      </c>
      <c r="AB299" s="1"/>
      <c r="AC299" s="1">
        <v>0</v>
      </c>
      <c r="AD299" s="98">
        <v>7</v>
      </c>
      <c r="AE299" s="172">
        <v>50</v>
      </c>
      <c r="AF299" s="1" t="s">
        <v>417</v>
      </c>
      <c r="AG299" s="1">
        <v>2</v>
      </c>
      <c r="AH299" s="1">
        <v>0.35</v>
      </c>
      <c r="AI299" s="1">
        <v>0.25</v>
      </c>
      <c r="AJ299" s="1">
        <v>0.35</v>
      </c>
      <c r="AK299" s="1"/>
      <c r="AL299" s="1"/>
      <c r="AM299" s="1">
        <v>0</v>
      </c>
    </row>
    <row r="300" spans="1:39" x14ac:dyDescent="0.25">
      <c r="A300" s="188" t="s">
        <v>71</v>
      </c>
      <c r="B300" s="1">
        <v>2</v>
      </c>
      <c r="C300" s="1" t="s">
        <v>418</v>
      </c>
      <c r="D300" s="13">
        <v>39909</v>
      </c>
      <c r="E300" s="174">
        <f t="shared" si="92"/>
        <v>2261</v>
      </c>
      <c r="F300" s="201"/>
      <c r="G300" s="13">
        <v>41305</v>
      </c>
      <c r="H300" s="13">
        <f t="shared" si="101"/>
        <v>41191</v>
      </c>
      <c r="I300" s="13">
        <v>42170</v>
      </c>
      <c r="J300" s="13"/>
      <c r="K300" s="1">
        <f t="shared" si="93"/>
        <v>1396</v>
      </c>
      <c r="L300" s="1">
        <f t="shared" si="94"/>
        <v>114</v>
      </c>
      <c r="M300" s="1">
        <f t="shared" si="95"/>
        <v>865</v>
      </c>
      <c r="N300" s="1"/>
      <c r="O300" s="1" t="s">
        <v>417</v>
      </c>
      <c r="P300" s="1">
        <v>5.89</v>
      </c>
      <c r="Q300" s="1">
        <f t="shared" si="96"/>
        <v>1</v>
      </c>
      <c r="R300" s="1">
        <f t="shared" si="97"/>
        <v>1</v>
      </c>
      <c r="S300" s="1">
        <f t="shared" si="98"/>
        <v>1</v>
      </c>
      <c r="T300" s="1">
        <f t="shared" si="99"/>
        <v>1</v>
      </c>
      <c r="U300" s="1" t="s">
        <v>437</v>
      </c>
      <c r="V300" s="1"/>
      <c r="W300" s="1"/>
      <c r="X300" s="1"/>
      <c r="Y300" s="1"/>
      <c r="Z300" s="1">
        <v>1</v>
      </c>
      <c r="AA300" s="1">
        <v>1</v>
      </c>
      <c r="AB300" s="1"/>
      <c r="AC300" s="1">
        <v>0</v>
      </c>
      <c r="AD300" s="98">
        <v>3</v>
      </c>
      <c r="AE300" s="172">
        <v>50</v>
      </c>
      <c r="AF300" s="1" t="s">
        <v>417</v>
      </c>
      <c r="AG300" s="1">
        <v>2</v>
      </c>
      <c r="AH300" s="1">
        <v>0.35</v>
      </c>
      <c r="AI300" s="1">
        <v>0.25</v>
      </c>
      <c r="AJ300" s="1">
        <v>0.35</v>
      </c>
      <c r="AK300" s="1"/>
      <c r="AL300" s="1"/>
      <c r="AM300" s="1">
        <v>0</v>
      </c>
    </row>
    <row r="301" spans="1:39" x14ac:dyDescent="0.25">
      <c r="A301" s="188" t="s">
        <v>71</v>
      </c>
      <c r="B301" s="1">
        <v>2</v>
      </c>
      <c r="C301" s="1" t="s">
        <v>418</v>
      </c>
      <c r="D301" s="13">
        <v>39909</v>
      </c>
      <c r="E301" s="174">
        <f t="shared" si="92"/>
        <v>2261</v>
      </c>
      <c r="F301" s="201"/>
      <c r="G301" s="13">
        <v>41604</v>
      </c>
      <c r="H301" s="13">
        <f t="shared" si="101"/>
        <v>41305</v>
      </c>
      <c r="I301" s="13">
        <v>42170</v>
      </c>
      <c r="J301" s="13"/>
      <c r="K301" s="1">
        <f t="shared" si="93"/>
        <v>1695</v>
      </c>
      <c r="L301" s="1">
        <f t="shared" si="94"/>
        <v>299</v>
      </c>
      <c r="M301" s="1">
        <f t="shared" si="95"/>
        <v>566</v>
      </c>
      <c r="N301" s="1"/>
      <c r="O301" s="1" t="s">
        <v>417</v>
      </c>
      <c r="P301" s="1">
        <v>5.34</v>
      </c>
      <c r="Q301" s="1">
        <f t="shared" si="96"/>
        <v>1</v>
      </c>
      <c r="R301" s="1">
        <f t="shared" si="97"/>
        <v>1</v>
      </c>
      <c r="S301" s="1">
        <f t="shared" si="98"/>
        <v>1</v>
      </c>
      <c r="T301" s="1">
        <f t="shared" si="99"/>
        <v>1</v>
      </c>
      <c r="U301" s="1" t="s">
        <v>437</v>
      </c>
      <c r="V301" s="1"/>
      <c r="W301" s="1"/>
      <c r="X301" s="1"/>
      <c r="Y301" s="1"/>
      <c r="Z301" s="1">
        <v>1</v>
      </c>
      <c r="AA301" s="1">
        <v>0</v>
      </c>
      <c r="AB301" s="1"/>
      <c r="AC301" s="1">
        <v>0</v>
      </c>
      <c r="AD301" s="98">
        <v>0</v>
      </c>
      <c r="AE301" s="172">
        <v>50</v>
      </c>
      <c r="AF301" s="1" t="s">
        <v>417</v>
      </c>
      <c r="AG301" s="1">
        <v>2</v>
      </c>
      <c r="AH301" s="1">
        <v>0.35</v>
      </c>
      <c r="AI301" s="1">
        <v>0.25</v>
      </c>
      <c r="AJ301" s="1">
        <v>0.35</v>
      </c>
      <c r="AK301" s="1"/>
      <c r="AL301" s="1"/>
      <c r="AM301" s="1">
        <v>0</v>
      </c>
    </row>
    <row r="302" spans="1:39" x14ac:dyDescent="0.25">
      <c r="A302" s="188" t="s">
        <v>71</v>
      </c>
      <c r="B302" s="1">
        <v>2</v>
      </c>
      <c r="C302" s="1" t="s">
        <v>418</v>
      </c>
      <c r="D302" s="13">
        <v>39909</v>
      </c>
      <c r="E302" s="174">
        <f t="shared" si="92"/>
        <v>2261</v>
      </c>
      <c r="F302" s="201"/>
      <c r="G302" s="13">
        <v>41786</v>
      </c>
      <c r="H302" s="13">
        <f t="shared" si="101"/>
        <v>41604</v>
      </c>
      <c r="I302" s="13">
        <v>42170</v>
      </c>
      <c r="J302" s="13"/>
      <c r="K302" s="1">
        <f t="shared" si="93"/>
        <v>1877</v>
      </c>
      <c r="L302" s="1">
        <f t="shared" si="94"/>
        <v>182</v>
      </c>
      <c r="M302" s="1">
        <f t="shared" si="95"/>
        <v>384</v>
      </c>
      <c r="N302" s="1"/>
      <c r="O302" s="1" t="s">
        <v>417</v>
      </c>
      <c r="P302" s="1">
        <v>5.28</v>
      </c>
      <c r="Q302" s="1"/>
      <c r="R302" s="1">
        <f t="shared" si="97"/>
        <v>1</v>
      </c>
      <c r="S302" s="1">
        <f t="shared" si="98"/>
        <v>1</v>
      </c>
      <c r="T302" s="1">
        <f t="shared" si="99"/>
        <v>1</v>
      </c>
      <c r="U302" s="1"/>
      <c r="V302" s="1"/>
      <c r="W302" s="1"/>
      <c r="X302" s="1"/>
      <c r="Y302" s="1"/>
      <c r="Z302" s="1">
        <v>1</v>
      </c>
      <c r="AA302" s="1">
        <v>0</v>
      </c>
      <c r="AB302" s="1"/>
      <c r="AC302" s="1">
        <v>0</v>
      </c>
      <c r="AD302" s="98">
        <v>0</v>
      </c>
      <c r="AE302" s="172">
        <v>50</v>
      </c>
      <c r="AF302" s="1" t="s">
        <v>417</v>
      </c>
      <c r="AG302" s="1">
        <v>2</v>
      </c>
      <c r="AH302" s="1">
        <v>0.35</v>
      </c>
      <c r="AI302" s="1">
        <v>0.25</v>
      </c>
      <c r="AJ302" s="1">
        <v>0.35</v>
      </c>
      <c r="AK302" s="1"/>
      <c r="AL302" s="1"/>
      <c r="AM302" s="1">
        <v>0</v>
      </c>
    </row>
    <row r="303" spans="1:39" x14ac:dyDescent="0.25">
      <c r="A303" s="188" t="s">
        <v>71</v>
      </c>
      <c r="B303" s="1">
        <v>2</v>
      </c>
      <c r="C303" s="1" t="s">
        <v>418</v>
      </c>
      <c r="D303" s="13">
        <v>39909</v>
      </c>
      <c r="E303" s="174">
        <f t="shared" si="92"/>
        <v>2261</v>
      </c>
      <c r="F303" s="201"/>
      <c r="G303" s="13">
        <v>42031</v>
      </c>
      <c r="H303" s="13">
        <f t="shared" si="101"/>
        <v>41786</v>
      </c>
      <c r="I303" s="13">
        <v>42170</v>
      </c>
      <c r="J303" s="13"/>
      <c r="K303" s="1">
        <f t="shared" si="93"/>
        <v>2122</v>
      </c>
      <c r="L303" s="1">
        <f t="shared" si="94"/>
        <v>245</v>
      </c>
      <c r="M303" s="1">
        <f t="shared" si="95"/>
        <v>139</v>
      </c>
      <c r="N303" s="1"/>
      <c r="O303" s="1" t="s">
        <v>417</v>
      </c>
      <c r="P303" s="1">
        <v>5.16</v>
      </c>
      <c r="Q303" s="1"/>
      <c r="R303" s="1"/>
      <c r="S303" s="1"/>
      <c r="T303" s="1">
        <f t="shared" si="99"/>
        <v>1</v>
      </c>
      <c r="U303" s="1"/>
      <c r="V303" s="1"/>
      <c r="W303" s="1"/>
      <c r="X303" s="1"/>
      <c r="Y303" s="1"/>
      <c r="Z303" s="1">
        <v>2</v>
      </c>
      <c r="AA303" s="1">
        <v>1</v>
      </c>
      <c r="AB303" s="1"/>
      <c r="AC303" s="1">
        <v>0</v>
      </c>
      <c r="AD303" s="98">
        <v>0</v>
      </c>
      <c r="AE303" s="172">
        <v>50</v>
      </c>
      <c r="AF303" s="1" t="s">
        <v>417</v>
      </c>
      <c r="AG303" s="1">
        <v>2</v>
      </c>
      <c r="AH303" s="1">
        <v>0.35</v>
      </c>
      <c r="AI303" s="1">
        <v>0.25</v>
      </c>
      <c r="AJ303" s="1">
        <v>0.35</v>
      </c>
      <c r="AK303" s="1"/>
      <c r="AL303" s="1"/>
      <c r="AM303" s="1">
        <v>0</v>
      </c>
    </row>
    <row r="304" spans="1:39" x14ac:dyDescent="0.25">
      <c r="A304" s="188" t="s">
        <v>71</v>
      </c>
      <c r="B304" s="1">
        <v>2</v>
      </c>
      <c r="C304" s="1" t="s">
        <v>418</v>
      </c>
      <c r="D304" s="13">
        <v>39909</v>
      </c>
      <c r="E304" s="174">
        <f t="shared" si="92"/>
        <v>2261</v>
      </c>
      <c r="F304" s="201"/>
      <c r="G304" s="13">
        <v>42170</v>
      </c>
      <c r="H304" s="13">
        <f t="shared" si="101"/>
        <v>42031</v>
      </c>
      <c r="I304" s="13">
        <v>42170</v>
      </c>
      <c r="J304" s="13"/>
      <c r="K304" s="1">
        <f t="shared" si="93"/>
        <v>2261</v>
      </c>
      <c r="L304" s="1">
        <f t="shared" si="94"/>
        <v>139</v>
      </c>
      <c r="M304" s="1">
        <f t="shared" si="95"/>
        <v>0</v>
      </c>
      <c r="N304" s="1"/>
      <c r="O304" s="1" t="s">
        <v>417</v>
      </c>
      <c r="P304" s="1">
        <v>5.16</v>
      </c>
      <c r="Q304" s="1"/>
      <c r="R304" s="1"/>
      <c r="S304" s="1"/>
      <c r="T304" s="1"/>
      <c r="U304" s="1"/>
      <c r="V304" s="1"/>
      <c r="W304" s="1"/>
      <c r="X304" s="1"/>
      <c r="Y304" s="1"/>
      <c r="Z304" s="1">
        <v>1</v>
      </c>
      <c r="AA304" s="1">
        <v>2</v>
      </c>
      <c r="AB304" s="1"/>
      <c r="AC304" s="1">
        <v>0</v>
      </c>
      <c r="AD304" s="98">
        <v>0</v>
      </c>
      <c r="AE304" s="172">
        <v>50</v>
      </c>
      <c r="AF304" s="1" t="s">
        <v>417</v>
      </c>
      <c r="AG304" s="1">
        <v>2</v>
      </c>
      <c r="AH304" s="1">
        <v>0.35</v>
      </c>
      <c r="AI304" s="1">
        <v>0.25</v>
      </c>
      <c r="AJ304" s="1">
        <v>0.35</v>
      </c>
      <c r="AK304" s="1"/>
      <c r="AL304" s="1"/>
      <c r="AM304" s="1">
        <v>0</v>
      </c>
    </row>
    <row r="305" spans="1:39" x14ac:dyDescent="0.25">
      <c r="A305" s="185" t="s">
        <v>66</v>
      </c>
      <c r="B305" s="216">
        <v>2</v>
      </c>
      <c r="C305" s="1" t="s">
        <v>418</v>
      </c>
      <c r="D305" s="13">
        <v>39595</v>
      </c>
      <c r="E305" s="1">
        <f t="shared" si="92"/>
        <v>1393</v>
      </c>
      <c r="F305" s="1"/>
      <c r="G305" s="13">
        <v>40218</v>
      </c>
      <c r="H305" s="13">
        <v>39595</v>
      </c>
      <c r="I305" s="13">
        <v>40988</v>
      </c>
      <c r="J305" s="13"/>
      <c r="K305" s="1">
        <f t="shared" si="93"/>
        <v>623</v>
      </c>
      <c r="L305" s="1">
        <f t="shared" si="94"/>
        <v>623</v>
      </c>
      <c r="M305" s="1">
        <f t="shared" si="95"/>
        <v>770</v>
      </c>
      <c r="N305" s="1"/>
      <c r="O305" s="1" t="s">
        <v>417</v>
      </c>
      <c r="P305" s="1">
        <v>6.36</v>
      </c>
      <c r="Q305" s="1">
        <f t="shared" si="96"/>
        <v>1</v>
      </c>
      <c r="R305" s="1">
        <f t="shared" si="97"/>
        <v>1</v>
      </c>
      <c r="S305" s="1">
        <f t="shared" si="98"/>
        <v>1</v>
      </c>
      <c r="T305" s="1">
        <f t="shared" si="99"/>
        <v>1</v>
      </c>
      <c r="U305" s="1" t="s">
        <v>437</v>
      </c>
      <c r="V305" s="1"/>
      <c r="W305" s="1"/>
      <c r="X305" s="1"/>
      <c r="Y305" s="1"/>
      <c r="Z305" s="1">
        <v>0</v>
      </c>
      <c r="AA305" s="1">
        <v>0</v>
      </c>
      <c r="AB305" s="1"/>
      <c r="AC305" s="1">
        <v>0</v>
      </c>
      <c r="AD305" s="1">
        <v>0</v>
      </c>
      <c r="AE305" s="1">
        <v>60</v>
      </c>
      <c r="AF305" s="1" t="s">
        <v>417</v>
      </c>
      <c r="AG305" s="1">
        <v>2</v>
      </c>
      <c r="AH305" s="1">
        <v>0.35</v>
      </c>
      <c r="AI305" s="1">
        <v>3.5</v>
      </c>
      <c r="AJ305" s="1">
        <v>0.35</v>
      </c>
      <c r="AK305" s="1"/>
      <c r="AL305" s="1"/>
      <c r="AM305" s="1">
        <v>0</v>
      </c>
    </row>
    <row r="306" spans="1:39" x14ac:dyDescent="0.25">
      <c r="A306" s="185" t="s">
        <v>66</v>
      </c>
      <c r="B306" s="1">
        <v>2</v>
      </c>
      <c r="C306" s="1" t="s">
        <v>418</v>
      </c>
      <c r="D306" s="13">
        <v>39595</v>
      </c>
      <c r="E306" s="174">
        <f t="shared" ref="E306" si="102">I306-D306</f>
        <v>2611</v>
      </c>
      <c r="F306" s="201"/>
      <c r="G306" s="13">
        <v>40813</v>
      </c>
      <c r="H306" s="13">
        <f>G305</f>
        <v>40218</v>
      </c>
      <c r="I306" s="13">
        <v>42206</v>
      </c>
      <c r="J306" s="13"/>
      <c r="K306" s="1">
        <f t="shared" si="93"/>
        <v>1218</v>
      </c>
      <c r="L306" s="1">
        <f t="shared" si="94"/>
        <v>595</v>
      </c>
      <c r="M306" s="1">
        <f t="shared" si="95"/>
        <v>1393</v>
      </c>
      <c r="N306" s="1"/>
      <c r="O306" s="1" t="s">
        <v>417</v>
      </c>
      <c r="P306" s="1">
        <v>5.72</v>
      </c>
      <c r="Q306" s="1">
        <f t="shared" si="96"/>
        <v>1</v>
      </c>
      <c r="R306" s="1">
        <f t="shared" si="97"/>
        <v>1</v>
      </c>
      <c r="S306" s="1">
        <f t="shared" si="98"/>
        <v>1</v>
      </c>
      <c r="T306" s="1">
        <f t="shared" si="99"/>
        <v>1</v>
      </c>
      <c r="U306" s="1" t="s">
        <v>437</v>
      </c>
      <c r="V306" s="1"/>
      <c r="W306" s="1"/>
      <c r="X306" s="1"/>
      <c r="Y306" s="1"/>
      <c r="Z306" s="1">
        <v>1</v>
      </c>
      <c r="AA306" s="1">
        <v>0</v>
      </c>
      <c r="AB306" s="1"/>
      <c r="AC306" s="1"/>
      <c r="AD306" s="1"/>
      <c r="AE306" s="172">
        <v>60</v>
      </c>
      <c r="AF306" s="1" t="s">
        <v>417</v>
      </c>
      <c r="AG306" s="1">
        <v>2</v>
      </c>
      <c r="AH306" s="1">
        <v>0.35</v>
      </c>
      <c r="AI306" s="1">
        <v>3.5</v>
      </c>
      <c r="AJ306" s="1">
        <v>0.35</v>
      </c>
      <c r="AK306" s="1"/>
      <c r="AL306" s="1"/>
      <c r="AM306" s="1">
        <v>0</v>
      </c>
    </row>
    <row r="307" spans="1:39" x14ac:dyDescent="0.25">
      <c r="A307" s="185" t="s">
        <v>66</v>
      </c>
      <c r="B307" s="216">
        <v>2</v>
      </c>
      <c r="C307" s="1" t="s">
        <v>418</v>
      </c>
      <c r="D307" s="13">
        <v>39595</v>
      </c>
      <c r="E307" s="174">
        <f t="shared" ref="E307:E316" si="103">I307-D307</f>
        <v>2611</v>
      </c>
      <c r="F307" s="1"/>
      <c r="G307" s="13">
        <v>40988</v>
      </c>
      <c r="H307" s="13">
        <f t="shared" ref="H307:H316" si="104">G306</f>
        <v>40813</v>
      </c>
      <c r="I307" s="13">
        <v>42206</v>
      </c>
      <c r="J307" s="13"/>
      <c r="K307" s="1">
        <f t="shared" si="93"/>
        <v>1393</v>
      </c>
      <c r="L307" s="1">
        <f t="shared" si="94"/>
        <v>175</v>
      </c>
      <c r="M307" s="1">
        <f t="shared" si="95"/>
        <v>1218</v>
      </c>
      <c r="N307" s="1"/>
      <c r="O307" s="1" t="s">
        <v>417</v>
      </c>
      <c r="P307" s="1">
        <v>5.32</v>
      </c>
      <c r="Q307" s="1">
        <f t="shared" si="96"/>
        <v>1</v>
      </c>
      <c r="R307" s="1">
        <f t="shared" si="97"/>
        <v>1</v>
      </c>
      <c r="S307" s="1">
        <f t="shared" si="98"/>
        <v>1</v>
      </c>
      <c r="T307" s="1">
        <f t="shared" si="99"/>
        <v>1</v>
      </c>
      <c r="U307" s="1" t="s">
        <v>437</v>
      </c>
      <c r="V307" s="1"/>
      <c r="W307" s="1"/>
      <c r="X307" s="1"/>
      <c r="Y307" s="1"/>
      <c r="Z307" s="1">
        <v>0</v>
      </c>
      <c r="AA307" s="1">
        <v>0</v>
      </c>
      <c r="AB307" s="1"/>
      <c r="AC307" s="1">
        <v>0</v>
      </c>
      <c r="AD307" s="1">
        <v>0</v>
      </c>
      <c r="AE307" s="1">
        <v>60</v>
      </c>
      <c r="AF307" s="1" t="s">
        <v>417</v>
      </c>
      <c r="AG307" s="1">
        <v>2</v>
      </c>
      <c r="AH307" s="1">
        <v>0.35</v>
      </c>
      <c r="AI307" s="1">
        <v>3.5</v>
      </c>
      <c r="AJ307" s="1">
        <v>0.35</v>
      </c>
      <c r="AK307" s="1"/>
      <c r="AL307" s="1"/>
      <c r="AM307" s="1">
        <v>0</v>
      </c>
    </row>
    <row r="308" spans="1:39" x14ac:dyDescent="0.25">
      <c r="A308" s="185" t="s">
        <v>66</v>
      </c>
      <c r="B308" s="1">
        <v>2</v>
      </c>
      <c r="C308" s="1" t="s">
        <v>418</v>
      </c>
      <c r="D308" s="13">
        <v>39595</v>
      </c>
      <c r="E308" s="174">
        <f t="shared" si="103"/>
        <v>2611</v>
      </c>
      <c r="F308" s="201"/>
      <c r="G308" s="13">
        <v>41184</v>
      </c>
      <c r="H308" s="13">
        <f t="shared" si="104"/>
        <v>40988</v>
      </c>
      <c r="I308" s="13">
        <v>42206</v>
      </c>
      <c r="J308" s="13"/>
      <c r="K308" s="1">
        <f t="shared" si="93"/>
        <v>1589</v>
      </c>
      <c r="L308" s="1">
        <f t="shared" si="94"/>
        <v>196</v>
      </c>
      <c r="M308" s="1">
        <f t="shared" si="95"/>
        <v>1022</v>
      </c>
      <c r="N308" s="1"/>
      <c r="O308" s="1" t="s">
        <v>417</v>
      </c>
      <c r="P308" s="1">
        <v>5.21</v>
      </c>
      <c r="Q308" s="1">
        <f t="shared" si="96"/>
        <v>1</v>
      </c>
      <c r="R308" s="1">
        <f t="shared" si="97"/>
        <v>1</v>
      </c>
      <c r="S308" s="1">
        <f t="shared" si="98"/>
        <v>1</v>
      </c>
      <c r="T308" s="1">
        <f t="shared" si="99"/>
        <v>1</v>
      </c>
      <c r="U308" s="1" t="s">
        <v>437</v>
      </c>
      <c r="V308" s="1"/>
      <c r="W308" s="1"/>
      <c r="X308" s="1"/>
      <c r="Y308" s="1"/>
      <c r="Z308" s="1">
        <v>0</v>
      </c>
      <c r="AA308" s="1">
        <v>0</v>
      </c>
      <c r="AB308" s="1"/>
      <c r="AC308" s="1"/>
      <c r="AD308" s="1"/>
      <c r="AE308" s="172">
        <v>60</v>
      </c>
      <c r="AF308" s="1" t="s">
        <v>417</v>
      </c>
      <c r="AG308" s="1">
        <v>2</v>
      </c>
      <c r="AH308" s="1">
        <v>0.35</v>
      </c>
      <c r="AI308" s="1">
        <v>3.5</v>
      </c>
      <c r="AJ308" s="1">
        <v>0.35</v>
      </c>
      <c r="AK308" s="1"/>
      <c r="AL308" s="1"/>
      <c r="AM308" s="1">
        <v>0</v>
      </c>
    </row>
    <row r="309" spans="1:39" x14ac:dyDescent="0.25">
      <c r="A309" s="185" t="s">
        <v>66</v>
      </c>
      <c r="B309" s="1">
        <v>2</v>
      </c>
      <c r="C309" s="1" t="s">
        <v>418</v>
      </c>
      <c r="D309" s="13">
        <v>39595</v>
      </c>
      <c r="E309" s="174">
        <f t="shared" si="103"/>
        <v>2611</v>
      </c>
      <c r="F309" s="201"/>
      <c r="G309" s="13">
        <v>41309</v>
      </c>
      <c r="H309" s="13">
        <f t="shared" si="104"/>
        <v>41184</v>
      </c>
      <c r="I309" s="13">
        <v>42206</v>
      </c>
      <c r="J309" s="13"/>
      <c r="K309" s="1">
        <f t="shared" si="93"/>
        <v>1714</v>
      </c>
      <c r="L309" s="1">
        <f t="shared" si="94"/>
        <v>125</v>
      </c>
      <c r="M309" s="1">
        <f t="shared" si="95"/>
        <v>897</v>
      </c>
      <c r="N309" s="1"/>
      <c r="O309" s="1" t="s">
        <v>417</v>
      </c>
      <c r="P309" s="1">
        <v>5.17</v>
      </c>
      <c r="Q309" s="1">
        <f t="shared" si="96"/>
        <v>1</v>
      </c>
      <c r="R309" s="1">
        <f t="shared" si="97"/>
        <v>1</v>
      </c>
      <c r="S309" s="1">
        <f t="shared" si="98"/>
        <v>1</v>
      </c>
      <c r="T309" s="1">
        <f t="shared" si="99"/>
        <v>1</v>
      </c>
      <c r="U309" s="1" t="s">
        <v>437</v>
      </c>
      <c r="V309" s="1"/>
      <c r="W309" s="1"/>
      <c r="X309" s="1"/>
      <c r="Y309" s="1"/>
      <c r="Z309" s="1">
        <v>0</v>
      </c>
      <c r="AA309" s="1">
        <v>0</v>
      </c>
      <c r="AB309" s="1"/>
      <c r="AC309" s="1"/>
      <c r="AD309" s="1"/>
      <c r="AE309" s="172">
        <v>60</v>
      </c>
      <c r="AF309" s="1" t="s">
        <v>417</v>
      </c>
      <c r="AG309" s="1">
        <v>2</v>
      </c>
      <c r="AH309" s="1">
        <v>0.35</v>
      </c>
      <c r="AI309" s="1">
        <v>3.5</v>
      </c>
      <c r="AJ309" s="1">
        <v>0.35</v>
      </c>
      <c r="AK309" s="1"/>
      <c r="AL309" s="1"/>
      <c r="AM309" s="1">
        <v>0</v>
      </c>
    </row>
    <row r="310" spans="1:39" x14ac:dyDescent="0.25">
      <c r="A310" s="185" t="s">
        <v>66</v>
      </c>
      <c r="B310" s="1">
        <v>2</v>
      </c>
      <c r="C310" s="1" t="s">
        <v>418</v>
      </c>
      <c r="D310" s="13">
        <v>39595</v>
      </c>
      <c r="E310" s="174">
        <f t="shared" si="103"/>
        <v>2611</v>
      </c>
      <c r="F310" s="201"/>
      <c r="G310" s="13">
        <v>41415</v>
      </c>
      <c r="H310" s="13">
        <f t="shared" si="104"/>
        <v>41309</v>
      </c>
      <c r="I310" s="13">
        <v>42206</v>
      </c>
      <c r="J310" s="13"/>
      <c r="K310" s="1">
        <f t="shared" si="93"/>
        <v>1820</v>
      </c>
      <c r="L310" s="1">
        <f t="shared" si="94"/>
        <v>106</v>
      </c>
      <c r="M310" s="1">
        <f t="shared" si="95"/>
        <v>791</v>
      </c>
      <c r="N310" s="1"/>
      <c r="O310" s="1" t="s">
        <v>417</v>
      </c>
      <c r="P310" s="1">
        <v>5.15</v>
      </c>
      <c r="Q310" s="1">
        <f t="shared" si="96"/>
        <v>1</v>
      </c>
      <c r="R310" s="1">
        <f t="shared" si="97"/>
        <v>1</v>
      </c>
      <c r="S310" s="1">
        <f t="shared" si="98"/>
        <v>1</v>
      </c>
      <c r="T310" s="1">
        <f t="shared" si="99"/>
        <v>1</v>
      </c>
      <c r="U310" s="1" t="s">
        <v>437</v>
      </c>
      <c r="V310" s="1"/>
      <c r="W310" s="1"/>
      <c r="X310" s="1"/>
      <c r="Y310" s="1"/>
      <c r="Z310" s="1">
        <v>0</v>
      </c>
      <c r="AA310" s="1">
        <v>0</v>
      </c>
      <c r="AB310" s="1"/>
      <c r="AC310" s="1"/>
      <c r="AD310" s="1"/>
      <c r="AE310" s="172">
        <v>60</v>
      </c>
      <c r="AF310" s="1" t="s">
        <v>417</v>
      </c>
      <c r="AG310" s="1">
        <v>2</v>
      </c>
      <c r="AH310" s="1">
        <v>0.35</v>
      </c>
      <c r="AI310" s="1">
        <v>3.5</v>
      </c>
      <c r="AJ310" s="1">
        <v>0.35</v>
      </c>
      <c r="AK310" s="1"/>
      <c r="AL310" s="1"/>
      <c r="AM310" s="1">
        <v>0</v>
      </c>
    </row>
    <row r="311" spans="1:39" x14ac:dyDescent="0.25">
      <c r="A311" s="185" t="s">
        <v>66</v>
      </c>
      <c r="B311" s="1">
        <v>2</v>
      </c>
      <c r="C311" s="1" t="s">
        <v>418</v>
      </c>
      <c r="D311" s="13">
        <v>39595</v>
      </c>
      <c r="E311" s="174">
        <f t="shared" si="103"/>
        <v>2611</v>
      </c>
      <c r="F311" s="201"/>
      <c r="G311" s="13">
        <v>41528</v>
      </c>
      <c r="H311" s="13">
        <f t="shared" si="104"/>
        <v>41415</v>
      </c>
      <c r="I311" s="13">
        <v>42206</v>
      </c>
      <c r="J311" s="13"/>
      <c r="K311" s="1">
        <f t="shared" si="93"/>
        <v>1933</v>
      </c>
      <c r="L311" s="1">
        <f t="shared" si="94"/>
        <v>113</v>
      </c>
      <c r="M311" s="1">
        <f t="shared" si="95"/>
        <v>678</v>
      </c>
      <c r="N311" s="1"/>
      <c r="O311" s="1" t="s">
        <v>417</v>
      </c>
      <c r="P311" s="1">
        <v>5.14</v>
      </c>
      <c r="Q311" s="1">
        <f t="shared" si="96"/>
        <v>1</v>
      </c>
      <c r="R311" s="1">
        <f t="shared" si="97"/>
        <v>1</v>
      </c>
      <c r="S311" s="1">
        <f t="shared" si="98"/>
        <v>1</v>
      </c>
      <c r="T311" s="1">
        <f t="shared" si="99"/>
        <v>1</v>
      </c>
      <c r="U311" s="1" t="s">
        <v>437</v>
      </c>
      <c r="V311" s="1"/>
      <c r="W311" s="1"/>
      <c r="X311" s="1"/>
      <c r="Y311" s="1"/>
      <c r="Z311" s="1">
        <v>0</v>
      </c>
      <c r="AA311" s="1">
        <v>0</v>
      </c>
      <c r="AB311" s="1"/>
      <c r="AC311" s="1"/>
      <c r="AD311" s="1"/>
      <c r="AE311" s="172">
        <v>60</v>
      </c>
      <c r="AF311" s="1" t="s">
        <v>417</v>
      </c>
      <c r="AG311" s="1">
        <v>2</v>
      </c>
      <c r="AH311" s="1">
        <v>0.35</v>
      </c>
      <c r="AI311" s="1">
        <v>3.5</v>
      </c>
      <c r="AJ311" s="1">
        <v>0.35</v>
      </c>
      <c r="AK311" s="1"/>
      <c r="AL311" s="1"/>
      <c r="AM311" s="1">
        <v>0</v>
      </c>
    </row>
    <row r="312" spans="1:39" x14ac:dyDescent="0.25">
      <c r="A312" s="185" t="s">
        <v>66</v>
      </c>
      <c r="B312" s="1">
        <v>2</v>
      </c>
      <c r="C312" s="1" t="s">
        <v>418</v>
      </c>
      <c r="D312" s="13">
        <v>39595</v>
      </c>
      <c r="E312" s="174">
        <f t="shared" si="103"/>
        <v>2611</v>
      </c>
      <c r="F312" s="201"/>
      <c r="G312" s="13">
        <v>41695</v>
      </c>
      <c r="H312" s="13">
        <f t="shared" si="104"/>
        <v>41528</v>
      </c>
      <c r="I312" s="13">
        <v>42206</v>
      </c>
      <c r="J312" s="13"/>
      <c r="K312" s="1">
        <f t="shared" si="93"/>
        <v>2100</v>
      </c>
      <c r="L312" s="1">
        <f t="shared" si="94"/>
        <v>167</v>
      </c>
      <c r="M312" s="1">
        <f t="shared" si="95"/>
        <v>511</v>
      </c>
      <c r="N312" s="1"/>
      <c r="O312" s="1" t="s">
        <v>417</v>
      </c>
      <c r="P312" s="1">
        <v>5.13</v>
      </c>
      <c r="Q312" s="1"/>
      <c r="R312" s="1">
        <f t="shared" si="97"/>
        <v>1</v>
      </c>
      <c r="S312" s="1">
        <f t="shared" si="98"/>
        <v>1</v>
      </c>
      <c r="T312" s="1">
        <f t="shared" si="99"/>
        <v>1</v>
      </c>
      <c r="U312" s="1"/>
      <c r="V312" s="1"/>
      <c r="W312" s="1"/>
      <c r="X312" s="1"/>
      <c r="Y312" s="1"/>
      <c r="Z312" s="1">
        <v>0</v>
      </c>
      <c r="AA312" s="1">
        <v>0</v>
      </c>
      <c r="AB312" s="1"/>
      <c r="AC312" s="1"/>
      <c r="AD312" s="1"/>
      <c r="AE312" s="172">
        <v>60</v>
      </c>
      <c r="AF312" s="1" t="s">
        <v>417</v>
      </c>
      <c r="AG312" s="1">
        <v>2</v>
      </c>
      <c r="AH312" s="1">
        <v>0.35</v>
      </c>
      <c r="AI312" s="1">
        <v>3</v>
      </c>
      <c r="AJ312" s="1">
        <v>0.6</v>
      </c>
      <c r="AK312" s="1"/>
      <c r="AL312" s="1"/>
      <c r="AM312" s="1">
        <v>0</v>
      </c>
    </row>
    <row r="313" spans="1:39" x14ac:dyDescent="0.25">
      <c r="A313" s="185" t="s">
        <v>66</v>
      </c>
      <c r="B313" s="1">
        <v>2</v>
      </c>
      <c r="C313" s="1" t="s">
        <v>418</v>
      </c>
      <c r="D313" s="13">
        <v>39595</v>
      </c>
      <c r="E313" s="174">
        <f t="shared" si="103"/>
        <v>2611</v>
      </c>
      <c r="F313" s="201"/>
      <c r="G313" s="13">
        <v>41919</v>
      </c>
      <c r="H313" s="13">
        <f t="shared" si="104"/>
        <v>41695</v>
      </c>
      <c r="I313" s="13">
        <v>42206</v>
      </c>
      <c r="J313" s="13"/>
      <c r="K313" s="1">
        <f t="shared" si="93"/>
        <v>2324</v>
      </c>
      <c r="L313" s="1">
        <f t="shared" si="94"/>
        <v>224</v>
      </c>
      <c r="M313" s="1">
        <f t="shared" si="95"/>
        <v>287</v>
      </c>
      <c r="N313" s="1"/>
      <c r="O313" s="1" t="s">
        <v>417</v>
      </c>
      <c r="P313" s="1">
        <v>5.08</v>
      </c>
      <c r="Q313" s="1"/>
      <c r="R313" s="1"/>
      <c r="S313" s="1">
        <f t="shared" si="98"/>
        <v>1</v>
      </c>
      <c r="T313" s="1">
        <f t="shared" si="99"/>
        <v>1</v>
      </c>
      <c r="U313" s="1"/>
      <c r="V313" s="1"/>
      <c r="W313" s="1"/>
      <c r="X313" s="1"/>
      <c r="Y313" s="1"/>
      <c r="Z313" s="1">
        <v>0</v>
      </c>
      <c r="AA313" s="1">
        <v>0</v>
      </c>
      <c r="AB313" s="1"/>
      <c r="AC313" s="1"/>
      <c r="AD313" s="1"/>
      <c r="AE313" s="172">
        <v>60</v>
      </c>
      <c r="AF313" s="1" t="s">
        <v>417</v>
      </c>
      <c r="AG313" s="1">
        <v>2</v>
      </c>
      <c r="AH313" s="1">
        <v>0.35</v>
      </c>
      <c r="AI313" s="1">
        <v>3</v>
      </c>
      <c r="AJ313" s="1">
        <v>0.6</v>
      </c>
      <c r="AK313" s="1"/>
      <c r="AL313" s="1"/>
      <c r="AM313" s="1">
        <v>0</v>
      </c>
    </row>
    <row r="314" spans="1:39" x14ac:dyDescent="0.25">
      <c r="A314" s="185" t="s">
        <v>66</v>
      </c>
      <c r="B314" s="1">
        <v>2</v>
      </c>
      <c r="C314" s="1" t="s">
        <v>418</v>
      </c>
      <c r="D314" s="13">
        <v>39595</v>
      </c>
      <c r="E314" s="174">
        <f t="shared" si="103"/>
        <v>2611</v>
      </c>
      <c r="F314" s="201"/>
      <c r="G314" s="13">
        <v>42045</v>
      </c>
      <c r="H314" s="13">
        <f t="shared" si="104"/>
        <v>41919</v>
      </c>
      <c r="I314" s="13">
        <v>42206</v>
      </c>
      <c r="J314" s="13"/>
      <c r="K314" s="1">
        <f t="shared" ref="K314:K345" si="105">G314-D314</f>
        <v>2450</v>
      </c>
      <c r="L314" s="1">
        <f t="shared" ref="L314:L345" si="106">G314-H314</f>
        <v>126</v>
      </c>
      <c r="M314" s="1">
        <f t="shared" ref="M314:M345" si="107">I314-G314</f>
        <v>161</v>
      </c>
      <c r="N314" s="1"/>
      <c r="O314" s="1" t="s">
        <v>417</v>
      </c>
      <c r="P314" s="1">
        <v>5</v>
      </c>
      <c r="Q314" s="1"/>
      <c r="R314" s="1"/>
      <c r="S314" s="1"/>
      <c r="T314" s="1">
        <f t="shared" si="99"/>
        <v>1</v>
      </c>
      <c r="U314" s="1"/>
      <c r="V314" s="1"/>
      <c r="W314" s="1"/>
      <c r="X314" s="1"/>
      <c r="Y314" s="1"/>
      <c r="Z314" s="1">
        <v>0</v>
      </c>
      <c r="AA314" s="1">
        <v>0</v>
      </c>
      <c r="AB314" s="1"/>
      <c r="AC314" s="1"/>
      <c r="AD314" s="1"/>
      <c r="AE314" s="172">
        <v>60</v>
      </c>
      <c r="AF314" s="1" t="s">
        <v>417</v>
      </c>
      <c r="AG314" s="1">
        <v>2</v>
      </c>
      <c r="AH314" s="1">
        <v>0.35</v>
      </c>
      <c r="AI314" s="1">
        <v>3</v>
      </c>
      <c r="AJ314" s="1">
        <v>0.6</v>
      </c>
      <c r="AK314" s="1"/>
      <c r="AL314" s="1"/>
      <c r="AM314" s="1">
        <v>0</v>
      </c>
    </row>
    <row r="315" spans="1:39" x14ac:dyDescent="0.25">
      <c r="A315" s="185" t="s">
        <v>66</v>
      </c>
      <c r="B315" s="1">
        <v>2</v>
      </c>
      <c r="C315" s="1" t="s">
        <v>418</v>
      </c>
      <c r="D315" s="13">
        <v>39595</v>
      </c>
      <c r="E315" s="174">
        <f t="shared" si="103"/>
        <v>2611</v>
      </c>
      <c r="F315" s="201"/>
      <c r="G315" s="13">
        <v>42160</v>
      </c>
      <c r="H315" s="13">
        <f t="shared" si="104"/>
        <v>42045</v>
      </c>
      <c r="I315" s="13">
        <v>42206</v>
      </c>
      <c r="J315" s="13"/>
      <c r="K315" s="1">
        <f t="shared" si="105"/>
        <v>2565</v>
      </c>
      <c r="L315" s="1">
        <f t="shared" si="106"/>
        <v>115</v>
      </c>
      <c r="M315" s="1">
        <f t="shared" si="107"/>
        <v>46</v>
      </c>
      <c r="N315" s="1"/>
      <c r="O315" s="1" t="s">
        <v>417</v>
      </c>
      <c r="P315" s="1">
        <v>4.8099999999999996</v>
      </c>
      <c r="Q315" s="1"/>
      <c r="R315" s="1"/>
      <c r="S315" s="1"/>
      <c r="T315" s="1"/>
      <c r="U315" s="1"/>
      <c r="V315" s="1"/>
      <c r="W315" s="1"/>
      <c r="X315" s="1"/>
      <c r="Y315" s="1"/>
      <c r="Z315" s="1">
        <v>0</v>
      </c>
      <c r="AA315" s="1">
        <v>0</v>
      </c>
      <c r="AB315" s="1"/>
      <c r="AC315" s="1"/>
      <c r="AD315" s="1"/>
      <c r="AE315" s="172">
        <v>60</v>
      </c>
      <c r="AF315" s="1" t="s">
        <v>417</v>
      </c>
      <c r="AG315" s="1">
        <v>2.5</v>
      </c>
      <c r="AH315" s="1">
        <v>0.35</v>
      </c>
      <c r="AI315" s="1">
        <v>2.5</v>
      </c>
      <c r="AJ315" s="1">
        <v>0.6</v>
      </c>
      <c r="AK315" s="1"/>
      <c r="AL315" s="1"/>
      <c r="AM315" s="1">
        <v>0</v>
      </c>
    </row>
    <row r="316" spans="1:39" x14ac:dyDescent="0.25">
      <c r="A316" s="185" t="s">
        <v>66</v>
      </c>
      <c r="B316" s="1">
        <v>2</v>
      </c>
      <c r="C316" s="1" t="s">
        <v>418</v>
      </c>
      <c r="D316" s="13">
        <v>39595</v>
      </c>
      <c r="E316" s="174">
        <f t="shared" si="103"/>
        <v>2611</v>
      </c>
      <c r="F316" s="201"/>
      <c r="G316" s="13">
        <v>42206</v>
      </c>
      <c r="H316" s="13">
        <f t="shared" si="104"/>
        <v>42160</v>
      </c>
      <c r="I316" s="13">
        <v>42206</v>
      </c>
      <c r="J316" s="13"/>
      <c r="K316" s="1">
        <f t="shared" si="105"/>
        <v>2611</v>
      </c>
      <c r="L316" s="1">
        <f t="shared" si="106"/>
        <v>46</v>
      </c>
      <c r="M316" s="1">
        <f t="shared" si="107"/>
        <v>0</v>
      </c>
      <c r="N316" s="1"/>
      <c r="O316" s="1" t="s">
        <v>434</v>
      </c>
      <c r="P316" s="1">
        <v>4.74</v>
      </c>
      <c r="Q316" s="1"/>
      <c r="R316" s="1"/>
      <c r="S316" s="1"/>
      <c r="T316" s="1"/>
      <c r="U316" s="1"/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/>
      <c r="AC316" s="1"/>
      <c r="AD316" s="1"/>
      <c r="AE316" s="172">
        <v>60</v>
      </c>
      <c r="AF316" s="1" t="s">
        <v>417</v>
      </c>
      <c r="AG316" s="1">
        <v>2</v>
      </c>
      <c r="AH316" s="1">
        <v>0.35</v>
      </c>
      <c r="AI316" s="1">
        <v>2.5</v>
      </c>
      <c r="AJ316" s="1">
        <v>0.6</v>
      </c>
      <c r="AK316" s="1"/>
      <c r="AL316" s="1"/>
      <c r="AM316" s="1">
        <v>0</v>
      </c>
    </row>
    <row r="317" spans="1:39" x14ac:dyDescent="0.25">
      <c r="A317" s="187" t="s">
        <v>70</v>
      </c>
      <c r="B317" s="216">
        <v>2</v>
      </c>
      <c r="C317" s="1" t="s">
        <v>418</v>
      </c>
      <c r="D317" s="13">
        <v>39682</v>
      </c>
      <c r="E317" s="174">
        <f t="shared" ref="E317:E331" si="108">I317-D317</f>
        <v>2341</v>
      </c>
      <c r="F317" s="1"/>
      <c r="G317" s="13">
        <v>40076</v>
      </c>
      <c r="H317" s="13">
        <v>39682</v>
      </c>
      <c r="I317" s="13">
        <v>42023</v>
      </c>
      <c r="J317" s="13"/>
      <c r="K317" s="1">
        <f t="shared" si="105"/>
        <v>394</v>
      </c>
      <c r="L317" s="1">
        <f t="shared" si="106"/>
        <v>394</v>
      </c>
      <c r="M317" s="1">
        <f t="shared" si="107"/>
        <v>1947</v>
      </c>
      <c r="N317" s="1"/>
      <c r="O317" s="1" t="s">
        <v>417</v>
      </c>
      <c r="P317" s="1">
        <v>6.4</v>
      </c>
      <c r="Q317" s="1">
        <f t="shared" si="96"/>
        <v>1</v>
      </c>
      <c r="R317" s="1">
        <f t="shared" si="97"/>
        <v>1</v>
      </c>
      <c r="S317" s="1">
        <f t="shared" si="98"/>
        <v>1</v>
      </c>
      <c r="T317" s="1">
        <f t="shared" si="99"/>
        <v>1</v>
      </c>
      <c r="U317" s="1" t="s">
        <v>437</v>
      </c>
      <c r="V317" s="1"/>
      <c r="W317" s="1"/>
      <c r="X317" s="1"/>
      <c r="Y317" s="1"/>
      <c r="Z317" s="1">
        <v>64</v>
      </c>
      <c r="AA317" s="1">
        <v>0</v>
      </c>
      <c r="AB317" s="1"/>
      <c r="AC317" s="1">
        <v>0</v>
      </c>
      <c r="AD317" s="1">
        <v>0</v>
      </c>
      <c r="AE317" s="1">
        <v>60</v>
      </c>
      <c r="AF317" s="1" t="s">
        <v>417</v>
      </c>
      <c r="AG317" s="1">
        <v>2</v>
      </c>
      <c r="AH317" s="1">
        <v>0.35</v>
      </c>
      <c r="AI317" s="1">
        <v>3</v>
      </c>
      <c r="AJ317" s="1">
        <v>0.35</v>
      </c>
      <c r="AK317" s="1"/>
      <c r="AL317" s="1"/>
      <c r="AM317" s="1">
        <v>0</v>
      </c>
    </row>
    <row r="318" spans="1:39" x14ac:dyDescent="0.25">
      <c r="A318" s="187" t="s">
        <v>70</v>
      </c>
      <c r="B318" s="216">
        <v>2</v>
      </c>
      <c r="C318" s="1" t="s">
        <v>418</v>
      </c>
      <c r="D318" s="13">
        <v>39682</v>
      </c>
      <c r="E318" s="174">
        <f t="shared" si="108"/>
        <v>2341</v>
      </c>
      <c r="F318" s="1"/>
      <c r="G318" s="13">
        <v>40108</v>
      </c>
      <c r="H318" s="13">
        <f>G317</f>
        <v>40076</v>
      </c>
      <c r="I318" s="13">
        <v>42023</v>
      </c>
      <c r="J318" s="13"/>
      <c r="K318" s="1">
        <f t="shared" si="105"/>
        <v>426</v>
      </c>
      <c r="L318" s="1">
        <f t="shared" si="106"/>
        <v>32</v>
      </c>
      <c r="M318" s="1">
        <f t="shared" si="107"/>
        <v>1915</v>
      </c>
      <c r="N318" s="1"/>
      <c r="O318" s="1" t="s">
        <v>417</v>
      </c>
      <c r="P318" s="1">
        <v>6.33</v>
      </c>
      <c r="Q318" s="1">
        <f t="shared" si="96"/>
        <v>1</v>
      </c>
      <c r="R318" s="1">
        <f t="shared" si="97"/>
        <v>1</v>
      </c>
      <c r="S318" s="1">
        <f t="shared" si="98"/>
        <v>1</v>
      </c>
      <c r="T318" s="1">
        <f t="shared" si="99"/>
        <v>1</v>
      </c>
      <c r="U318" s="1" t="s">
        <v>437</v>
      </c>
      <c r="V318" s="1"/>
      <c r="W318" s="1"/>
      <c r="X318" s="1"/>
      <c r="Y318" s="1"/>
      <c r="Z318" s="1">
        <v>80</v>
      </c>
      <c r="AA318" s="1">
        <v>0</v>
      </c>
      <c r="AB318" s="1"/>
      <c r="AC318" s="1">
        <v>0</v>
      </c>
      <c r="AD318" s="1">
        <v>0</v>
      </c>
      <c r="AE318" s="1">
        <v>60</v>
      </c>
      <c r="AF318" s="1" t="s">
        <v>417</v>
      </c>
      <c r="AG318" s="1">
        <v>2</v>
      </c>
      <c r="AH318" s="1">
        <v>0.35</v>
      </c>
      <c r="AI318" s="1">
        <v>3</v>
      </c>
      <c r="AJ318" s="1">
        <v>0.35</v>
      </c>
      <c r="AK318" s="1"/>
      <c r="AL318" s="1"/>
      <c r="AM318" s="1">
        <v>0</v>
      </c>
    </row>
    <row r="319" spans="1:39" x14ac:dyDescent="0.25">
      <c r="A319" s="187" t="s">
        <v>70</v>
      </c>
      <c r="B319" s="216">
        <v>2</v>
      </c>
      <c r="C319" s="1" t="s">
        <v>418</v>
      </c>
      <c r="D319" s="13">
        <v>39682</v>
      </c>
      <c r="E319" s="174">
        <f t="shared" si="108"/>
        <v>2341</v>
      </c>
      <c r="F319" s="1"/>
      <c r="G319" s="13">
        <v>40274</v>
      </c>
      <c r="H319" s="13">
        <f t="shared" ref="H319:H332" si="109">G318</f>
        <v>40108</v>
      </c>
      <c r="I319" s="13">
        <v>42023</v>
      </c>
      <c r="J319" s="13"/>
      <c r="K319" s="1">
        <f t="shared" si="105"/>
        <v>592</v>
      </c>
      <c r="L319" s="1">
        <f t="shared" si="106"/>
        <v>166</v>
      </c>
      <c r="M319" s="1">
        <f t="shared" si="107"/>
        <v>1749</v>
      </c>
      <c r="N319" s="1"/>
      <c r="O319" s="1" t="s">
        <v>417</v>
      </c>
      <c r="P319" s="1">
        <v>6.31</v>
      </c>
      <c r="Q319" s="1">
        <f t="shared" si="96"/>
        <v>1</v>
      </c>
      <c r="R319" s="1">
        <f t="shared" si="97"/>
        <v>1</v>
      </c>
      <c r="S319" s="1">
        <f t="shared" si="98"/>
        <v>1</v>
      </c>
      <c r="T319" s="1">
        <f t="shared" si="99"/>
        <v>1</v>
      </c>
      <c r="U319" s="1" t="s">
        <v>437</v>
      </c>
      <c r="V319" s="1"/>
      <c r="W319" s="1"/>
      <c r="X319" s="1"/>
      <c r="Y319" s="1"/>
      <c r="Z319" s="1">
        <v>74</v>
      </c>
      <c r="AA319" s="1">
        <v>0</v>
      </c>
      <c r="AB319" s="1"/>
      <c r="AC319" s="1">
        <v>0</v>
      </c>
      <c r="AD319" s="1">
        <v>0</v>
      </c>
      <c r="AE319" s="1">
        <v>60</v>
      </c>
      <c r="AF319" s="1" t="s">
        <v>417</v>
      </c>
      <c r="AG319" s="1">
        <v>2</v>
      </c>
      <c r="AH319" s="1">
        <v>0.35</v>
      </c>
      <c r="AI319" s="1">
        <v>3</v>
      </c>
      <c r="AJ319" s="1">
        <v>0.35</v>
      </c>
      <c r="AK319" s="1"/>
      <c r="AL319" s="1"/>
      <c r="AM319" s="1">
        <v>0</v>
      </c>
    </row>
    <row r="320" spans="1:39" x14ac:dyDescent="0.25">
      <c r="A320" s="187" t="s">
        <v>70</v>
      </c>
      <c r="B320" s="216">
        <v>2</v>
      </c>
      <c r="C320" s="1" t="s">
        <v>418</v>
      </c>
      <c r="D320" s="13">
        <v>39682</v>
      </c>
      <c r="E320" s="174">
        <f t="shared" si="108"/>
        <v>2341</v>
      </c>
      <c r="F320" s="1"/>
      <c r="G320" s="13">
        <v>40652</v>
      </c>
      <c r="H320" s="13">
        <f t="shared" si="109"/>
        <v>40274</v>
      </c>
      <c r="I320" s="13">
        <v>42023</v>
      </c>
      <c r="J320" s="13"/>
      <c r="K320" s="1">
        <f t="shared" si="105"/>
        <v>970</v>
      </c>
      <c r="L320" s="1">
        <f t="shared" si="106"/>
        <v>378</v>
      </c>
      <c r="M320" s="1">
        <f t="shared" si="107"/>
        <v>1371</v>
      </c>
      <c r="N320" s="1"/>
      <c r="O320" s="1" t="s">
        <v>417</v>
      </c>
      <c r="P320" s="1">
        <v>5.84</v>
      </c>
      <c r="Q320" s="1">
        <f t="shared" si="96"/>
        <v>1</v>
      </c>
      <c r="R320" s="1">
        <f t="shared" si="97"/>
        <v>1</v>
      </c>
      <c r="S320" s="1">
        <f t="shared" si="98"/>
        <v>1</v>
      </c>
      <c r="T320" s="1">
        <f t="shared" si="99"/>
        <v>1</v>
      </c>
      <c r="U320" s="1" t="s">
        <v>437</v>
      </c>
      <c r="V320" s="1"/>
      <c r="W320" s="1"/>
      <c r="X320" s="1"/>
      <c r="Y320" s="1"/>
      <c r="Z320" s="1">
        <v>83</v>
      </c>
      <c r="AA320" s="1">
        <v>0</v>
      </c>
      <c r="AB320" s="1"/>
      <c r="AC320" s="1">
        <v>0</v>
      </c>
      <c r="AD320" s="1">
        <v>0</v>
      </c>
      <c r="AE320" s="1">
        <v>60</v>
      </c>
      <c r="AF320" s="1" t="s">
        <v>417</v>
      </c>
      <c r="AG320" s="1">
        <v>2</v>
      </c>
      <c r="AH320" s="1">
        <v>0.35</v>
      </c>
      <c r="AI320" s="1">
        <v>3</v>
      </c>
      <c r="AJ320" s="1">
        <v>0.35</v>
      </c>
      <c r="AK320" s="1"/>
      <c r="AL320" s="1"/>
      <c r="AM320" s="1">
        <v>0</v>
      </c>
    </row>
    <row r="321" spans="1:39" x14ac:dyDescent="0.25">
      <c r="A321" s="187" t="s">
        <v>70</v>
      </c>
      <c r="B321" s="1">
        <v>2</v>
      </c>
      <c r="C321" s="1" t="s">
        <v>418</v>
      </c>
      <c r="D321" s="13">
        <v>39682</v>
      </c>
      <c r="E321" s="174">
        <f t="shared" si="108"/>
        <v>2341</v>
      </c>
      <c r="F321" s="201"/>
      <c r="G321" s="13">
        <v>40813</v>
      </c>
      <c r="H321" s="13">
        <f t="shared" si="109"/>
        <v>40652</v>
      </c>
      <c r="I321" s="13">
        <v>42023</v>
      </c>
      <c r="J321" s="13"/>
      <c r="K321" s="1">
        <f t="shared" si="105"/>
        <v>1131</v>
      </c>
      <c r="L321" s="1">
        <f t="shared" si="106"/>
        <v>161</v>
      </c>
      <c r="M321" s="1">
        <f t="shared" si="107"/>
        <v>1210</v>
      </c>
      <c r="N321" s="1"/>
      <c r="O321" s="1" t="s">
        <v>417</v>
      </c>
      <c r="P321" s="1">
        <v>5.39</v>
      </c>
      <c r="Q321" s="1">
        <f t="shared" si="96"/>
        <v>1</v>
      </c>
      <c r="R321" s="1">
        <f t="shared" si="97"/>
        <v>1</v>
      </c>
      <c r="S321" s="1">
        <f t="shared" si="98"/>
        <v>1</v>
      </c>
      <c r="T321" s="1">
        <f t="shared" si="99"/>
        <v>1</v>
      </c>
      <c r="U321" s="1" t="s">
        <v>437</v>
      </c>
      <c r="V321" s="1"/>
      <c r="W321" s="1"/>
      <c r="X321" s="1"/>
      <c r="Y321" s="1"/>
      <c r="Z321" s="1">
        <v>87</v>
      </c>
      <c r="AA321" s="1">
        <v>0</v>
      </c>
      <c r="AB321" s="1"/>
      <c r="AC321" s="1">
        <v>0</v>
      </c>
      <c r="AD321" s="1">
        <v>0</v>
      </c>
      <c r="AE321" s="172">
        <v>60</v>
      </c>
      <c r="AF321" s="1" t="s">
        <v>417</v>
      </c>
      <c r="AG321" s="1">
        <v>2</v>
      </c>
      <c r="AH321" s="1">
        <v>0.35</v>
      </c>
      <c r="AI321" s="1">
        <v>3.5</v>
      </c>
      <c r="AJ321" s="1">
        <v>0.35</v>
      </c>
      <c r="AK321" s="1"/>
      <c r="AL321" s="1"/>
      <c r="AM321" s="1">
        <v>0</v>
      </c>
    </row>
    <row r="322" spans="1:39" x14ac:dyDescent="0.25">
      <c r="A322" s="187" t="s">
        <v>70</v>
      </c>
      <c r="B322" s="1">
        <v>2</v>
      </c>
      <c r="C322" s="1" t="s">
        <v>418</v>
      </c>
      <c r="D322" s="13">
        <v>39682</v>
      </c>
      <c r="E322" s="174">
        <f t="shared" si="108"/>
        <v>2341</v>
      </c>
      <c r="F322" s="201"/>
      <c r="G322" s="13">
        <v>40862</v>
      </c>
      <c r="H322" s="13">
        <f t="shared" si="109"/>
        <v>40813</v>
      </c>
      <c r="I322" s="13">
        <v>42023</v>
      </c>
      <c r="J322" s="13"/>
      <c r="K322" s="1">
        <f t="shared" si="105"/>
        <v>1180</v>
      </c>
      <c r="L322" s="1">
        <f t="shared" si="106"/>
        <v>49</v>
      </c>
      <c r="M322" s="1">
        <f t="shared" si="107"/>
        <v>1161</v>
      </c>
      <c r="N322" s="1"/>
      <c r="O322" s="1" t="s">
        <v>417</v>
      </c>
      <c r="P322" s="1">
        <v>5.33</v>
      </c>
      <c r="Q322" s="1">
        <f t="shared" si="96"/>
        <v>1</v>
      </c>
      <c r="R322" s="1">
        <f t="shared" si="97"/>
        <v>1</v>
      </c>
      <c r="S322" s="1">
        <f t="shared" si="98"/>
        <v>1</v>
      </c>
      <c r="T322" s="1">
        <f t="shared" si="99"/>
        <v>1</v>
      </c>
      <c r="U322" s="1" t="s">
        <v>437</v>
      </c>
      <c r="V322" s="1"/>
      <c r="W322" s="1"/>
      <c r="X322" s="1"/>
      <c r="Y322" s="1"/>
      <c r="Z322" s="1">
        <v>86</v>
      </c>
      <c r="AA322" s="1">
        <v>0</v>
      </c>
      <c r="AB322" s="1"/>
      <c r="AC322" s="1">
        <v>0</v>
      </c>
      <c r="AD322" s="1">
        <v>0</v>
      </c>
      <c r="AE322" s="172">
        <v>60</v>
      </c>
      <c r="AF322" s="1" t="s">
        <v>417</v>
      </c>
      <c r="AG322" s="1">
        <v>2</v>
      </c>
      <c r="AH322" s="1">
        <v>0.35</v>
      </c>
      <c r="AI322" s="1">
        <v>3.5</v>
      </c>
      <c r="AJ322" s="1">
        <v>0.35</v>
      </c>
      <c r="AK322" s="1"/>
      <c r="AL322" s="1"/>
      <c r="AM322" s="1">
        <v>0</v>
      </c>
    </row>
    <row r="323" spans="1:39" x14ac:dyDescent="0.25">
      <c r="A323" s="187" t="s">
        <v>70</v>
      </c>
      <c r="B323" s="1">
        <v>2</v>
      </c>
      <c r="C323" s="1" t="s">
        <v>418</v>
      </c>
      <c r="D323" s="13">
        <v>39682</v>
      </c>
      <c r="E323" s="174">
        <f t="shared" si="108"/>
        <v>2341</v>
      </c>
      <c r="F323" s="201"/>
      <c r="G323" s="13">
        <v>41051</v>
      </c>
      <c r="H323" s="13">
        <f t="shared" si="109"/>
        <v>40862</v>
      </c>
      <c r="I323" s="13">
        <v>42023</v>
      </c>
      <c r="J323" s="13"/>
      <c r="K323" s="1">
        <f t="shared" si="105"/>
        <v>1369</v>
      </c>
      <c r="L323" s="1">
        <f t="shared" si="106"/>
        <v>189</v>
      </c>
      <c r="M323" s="1">
        <f t="shared" si="107"/>
        <v>972</v>
      </c>
      <c r="N323" s="1"/>
      <c r="O323" s="1" t="s">
        <v>417</v>
      </c>
      <c r="P323" s="1">
        <v>5.21</v>
      </c>
      <c r="Q323" s="1">
        <f t="shared" si="96"/>
        <v>1</v>
      </c>
      <c r="R323" s="1">
        <f t="shared" si="97"/>
        <v>1</v>
      </c>
      <c r="S323" s="1">
        <f t="shared" si="98"/>
        <v>1</v>
      </c>
      <c r="T323" s="1">
        <f t="shared" si="99"/>
        <v>1</v>
      </c>
      <c r="U323" s="1" t="s">
        <v>437</v>
      </c>
      <c r="V323" s="1"/>
      <c r="W323" s="1"/>
      <c r="X323" s="1"/>
      <c r="Y323" s="1"/>
      <c r="Z323" s="1">
        <v>87</v>
      </c>
      <c r="AA323" s="1">
        <v>0</v>
      </c>
      <c r="AB323" s="1"/>
      <c r="AC323" s="1">
        <v>0</v>
      </c>
      <c r="AD323" s="1">
        <v>0</v>
      </c>
      <c r="AE323" s="172">
        <v>60</v>
      </c>
      <c r="AF323" s="1" t="s">
        <v>417</v>
      </c>
      <c r="AG323" s="1">
        <v>2</v>
      </c>
      <c r="AH323" s="1">
        <v>0.35</v>
      </c>
      <c r="AI323" s="1">
        <v>3.5</v>
      </c>
      <c r="AJ323" s="1">
        <v>0.35</v>
      </c>
      <c r="AK323" s="1"/>
      <c r="AL323" s="1"/>
      <c r="AM323" s="1">
        <v>0</v>
      </c>
    </row>
    <row r="324" spans="1:39" x14ac:dyDescent="0.25">
      <c r="A324" s="187" t="s">
        <v>70</v>
      </c>
      <c r="B324" s="1">
        <v>2</v>
      </c>
      <c r="C324" s="1" t="s">
        <v>418</v>
      </c>
      <c r="D324" s="13">
        <v>39682</v>
      </c>
      <c r="E324" s="174">
        <f t="shared" si="108"/>
        <v>2341</v>
      </c>
      <c r="F324" s="201"/>
      <c r="G324" s="13">
        <v>41212</v>
      </c>
      <c r="H324" s="13">
        <f t="shared" si="109"/>
        <v>41051</v>
      </c>
      <c r="I324" s="13">
        <v>42023</v>
      </c>
      <c r="J324" s="13"/>
      <c r="K324" s="1">
        <f t="shared" si="105"/>
        <v>1530</v>
      </c>
      <c r="L324" s="1">
        <f t="shared" si="106"/>
        <v>161</v>
      </c>
      <c r="M324" s="1">
        <f t="shared" si="107"/>
        <v>811</v>
      </c>
      <c r="N324" s="1"/>
      <c r="O324" s="1" t="s">
        <v>417</v>
      </c>
      <c r="P324" s="1">
        <v>5.16</v>
      </c>
      <c r="Q324" s="1">
        <f t="shared" si="96"/>
        <v>1</v>
      </c>
      <c r="R324" s="1">
        <f t="shared" si="97"/>
        <v>1</v>
      </c>
      <c r="S324" s="1">
        <f t="shared" si="98"/>
        <v>1</v>
      </c>
      <c r="T324" s="1">
        <f t="shared" si="99"/>
        <v>1</v>
      </c>
      <c r="U324" s="1" t="s">
        <v>437</v>
      </c>
      <c r="V324" s="1"/>
      <c r="W324" s="1"/>
      <c r="X324" s="1"/>
      <c r="Y324" s="1"/>
      <c r="Z324" s="1">
        <v>88</v>
      </c>
      <c r="AA324" s="1">
        <v>0</v>
      </c>
      <c r="AB324" s="1"/>
      <c r="AC324" s="1">
        <v>0</v>
      </c>
      <c r="AD324" s="1">
        <v>0</v>
      </c>
      <c r="AE324" s="172">
        <v>60</v>
      </c>
      <c r="AF324" s="1" t="s">
        <v>417</v>
      </c>
      <c r="AG324" s="1">
        <v>2</v>
      </c>
      <c r="AH324" s="1">
        <v>0.35</v>
      </c>
      <c r="AI324" s="1">
        <v>3.5</v>
      </c>
      <c r="AJ324" s="1">
        <v>0.35</v>
      </c>
      <c r="AK324" s="1"/>
      <c r="AL324" s="1"/>
      <c r="AM324" s="1">
        <v>0</v>
      </c>
    </row>
    <row r="325" spans="1:39" x14ac:dyDescent="0.25">
      <c r="A325" s="187" t="s">
        <v>70</v>
      </c>
      <c r="B325" s="1">
        <v>2</v>
      </c>
      <c r="C325" s="1" t="s">
        <v>418</v>
      </c>
      <c r="D325" s="13">
        <v>39682</v>
      </c>
      <c r="E325" s="174">
        <f t="shared" si="108"/>
        <v>2341</v>
      </c>
      <c r="F325" s="201"/>
      <c r="G325" s="13">
        <v>41324</v>
      </c>
      <c r="H325" s="13">
        <f t="shared" si="109"/>
        <v>41212</v>
      </c>
      <c r="I325" s="13">
        <v>42023</v>
      </c>
      <c r="J325" s="13"/>
      <c r="K325" s="1">
        <f t="shared" si="105"/>
        <v>1642</v>
      </c>
      <c r="L325" s="1">
        <f t="shared" si="106"/>
        <v>112</v>
      </c>
      <c r="M325" s="1">
        <f t="shared" si="107"/>
        <v>699</v>
      </c>
      <c r="N325" s="1"/>
      <c r="O325" s="1" t="s">
        <v>417</v>
      </c>
      <c r="P325" s="1">
        <v>5.14</v>
      </c>
      <c r="Q325" s="1">
        <f t="shared" si="96"/>
        <v>1</v>
      </c>
      <c r="R325" s="1">
        <f t="shared" si="97"/>
        <v>1</v>
      </c>
      <c r="S325" s="1">
        <f t="shared" si="98"/>
        <v>1</v>
      </c>
      <c r="T325" s="1">
        <f t="shared" si="99"/>
        <v>1</v>
      </c>
      <c r="U325" s="1" t="s">
        <v>437</v>
      </c>
      <c r="V325" s="1"/>
      <c r="W325" s="1"/>
      <c r="X325" s="1"/>
      <c r="Y325" s="1"/>
      <c r="Z325" s="1">
        <v>87</v>
      </c>
      <c r="AA325" s="1">
        <v>0</v>
      </c>
      <c r="AB325" s="1"/>
      <c r="AC325" s="1">
        <v>0</v>
      </c>
      <c r="AD325" s="1">
        <v>0</v>
      </c>
      <c r="AE325" s="172">
        <v>60</v>
      </c>
      <c r="AF325" s="1" t="s">
        <v>417</v>
      </c>
      <c r="AG325" s="1">
        <v>2</v>
      </c>
      <c r="AH325" s="1">
        <v>0.35</v>
      </c>
      <c r="AI325" s="1">
        <v>3.5</v>
      </c>
      <c r="AJ325" s="1">
        <v>0.35</v>
      </c>
      <c r="AK325" s="1"/>
      <c r="AL325" s="1"/>
      <c r="AM325" s="1">
        <v>0</v>
      </c>
    </row>
    <row r="326" spans="1:39" x14ac:dyDescent="0.25">
      <c r="A326" s="187" t="s">
        <v>70</v>
      </c>
      <c r="B326" s="1">
        <v>2</v>
      </c>
      <c r="C326" s="1" t="s">
        <v>418</v>
      </c>
      <c r="D326" s="13">
        <v>39682</v>
      </c>
      <c r="E326" s="174">
        <f t="shared" si="108"/>
        <v>2341</v>
      </c>
      <c r="F326" s="201"/>
      <c r="G326" s="13">
        <v>41450</v>
      </c>
      <c r="H326" s="13">
        <f t="shared" si="109"/>
        <v>41324</v>
      </c>
      <c r="I326" s="13">
        <v>42023</v>
      </c>
      <c r="J326" s="13"/>
      <c r="K326" s="1">
        <f t="shared" si="105"/>
        <v>1768</v>
      </c>
      <c r="L326" s="1">
        <f t="shared" si="106"/>
        <v>126</v>
      </c>
      <c r="M326" s="1">
        <f t="shared" si="107"/>
        <v>573</v>
      </c>
      <c r="N326" s="1"/>
      <c r="O326" s="1" t="s">
        <v>417</v>
      </c>
      <c r="P326" s="1">
        <v>5.14</v>
      </c>
      <c r="Q326" s="1">
        <f t="shared" si="96"/>
        <v>1</v>
      </c>
      <c r="R326" s="1">
        <f t="shared" si="97"/>
        <v>1</v>
      </c>
      <c r="S326" s="1">
        <f t="shared" si="98"/>
        <v>1</v>
      </c>
      <c r="T326" s="1">
        <f t="shared" si="99"/>
        <v>1</v>
      </c>
      <c r="U326" s="1" t="s">
        <v>437</v>
      </c>
      <c r="V326" s="1"/>
      <c r="W326" s="1"/>
      <c r="X326" s="1"/>
      <c r="Y326" s="1"/>
      <c r="Z326" s="1">
        <v>88</v>
      </c>
      <c r="AA326" s="1">
        <v>0</v>
      </c>
      <c r="AB326" s="1"/>
      <c r="AC326" s="1">
        <v>0</v>
      </c>
      <c r="AD326" s="1">
        <v>0</v>
      </c>
      <c r="AE326" s="172">
        <v>60</v>
      </c>
      <c r="AF326" s="1" t="s">
        <v>417</v>
      </c>
      <c r="AG326" s="1">
        <v>2</v>
      </c>
      <c r="AH326" s="1">
        <v>0.35</v>
      </c>
      <c r="AI326" s="1">
        <v>3.5</v>
      </c>
      <c r="AJ326" s="1">
        <v>0.35</v>
      </c>
      <c r="AK326" s="1"/>
      <c r="AL326" s="1"/>
      <c r="AM326" s="1">
        <v>0</v>
      </c>
    </row>
    <row r="327" spans="1:39" x14ac:dyDescent="0.25">
      <c r="A327" s="187" t="s">
        <v>70</v>
      </c>
      <c r="B327" s="1">
        <v>2</v>
      </c>
      <c r="C327" s="1" t="s">
        <v>418</v>
      </c>
      <c r="D327" s="13">
        <v>39682</v>
      </c>
      <c r="E327" s="174">
        <f t="shared" si="108"/>
        <v>2341</v>
      </c>
      <c r="F327" s="201"/>
      <c r="G327" s="13">
        <v>41528</v>
      </c>
      <c r="H327" s="13">
        <f t="shared" si="109"/>
        <v>41450</v>
      </c>
      <c r="I327" s="13">
        <v>42023</v>
      </c>
      <c r="J327" s="13"/>
      <c r="K327" s="1">
        <f t="shared" si="105"/>
        <v>1846</v>
      </c>
      <c r="L327" s="1">
        <f t="shared" si="106"/>
        <v>78</v>
      </c>
      <c r="M327" s="1">
        <f t="shared" si="107"/>
        <v>495</v>
      </c>
      <c r="N327" s="1"/>
      <c r="O327" s="1" t="s">
        <v>417</v>
      </c>
      <c r="P327" s="1">
        <v>5.13</v>
      </c>
      <c r="Q327" s="1"/>
      <c r="R327" s="1">
        <f t="shared" si="97"/>
        <v>1</v>
      </c>
      <c r="S327" s="1">
        <f t="shared" si="98"/>
        <v>1</v>
      </c>
      <c r="T327" s="1">
        <f t="shared" si="99"/>
        <v>1</v>
      </c>
      <c r="U327" s="1"/>
      <c r="V327" s="1"/>
      <c r="W327" s="1"/>
      <c r="X327" s="1"/>
      <c r="Y327" s="1"/>
      <c r="Z327" s="1">
        <v>87</v>
      </c>
      <c r="AA327" s="1">
        <v>0</v>
      </c>
      <c r="AB327" s="1"/>
      <c r="AC327" s="1">
        <v>0</v>
      </c>
      <c r="AD327" s="1">
        <v>0</v>
      </c>
      <c r="AE327" s="172">
        <v>60</v>
      </c>
      <c r="AF327" s="1" t="s">
        <v>417</v>
      </c>
      <c r="AG327" s="1">
        <v>2</v>
      </c>
      <c r="AH327" s="1">
        <v>0.35</v>
      </c>
      <c r="AI327" s="1">
        <v>3.5</v>
      </c>
      <c r="AJ327" s="1">
        <v>0.35</v>
      </c>
      <c r="AK327" s="1"/>
      <c r="AL327" s="1"/>
      <c r="AM327" s="1">
        <v>0</v>
      </c>
    </row>
    <row r="328" spans="1:39" x14ac:dyDescent="0.25">
      <c r="A328" s="187" t="s">
        <v>70</v>
      </c>
      <c r="B328" s="1">
        <v>2</v>
      </c>
      <c r="C328" s="1" t="s">
        <v>418</v>
      </c>
      <c r="D328" s="13">
        <v>39682</v>
      </c>
      <c r="E328" s="174">
        <f t="shared" si="108"/>
        <v>2341</v>
      </c>
      <c r="F328" s="201"/>
      <c r="G328" s="13">
        <v>41687</v>
      </c>
      <c r="H328" s="13">
        <f t="shared" si="109"/>
        <v>41528</v>
      </c>
      <c r="I328" s="13">
        <v>42023</v>
      </c>
      <c r="J328" s="13"/>
      <c r="K328" s="1">
        <f t="shared" si="105"/>
        <v>2005</v>
      </c>
      <c r="L328" s="1">
        <f t="shared" si="106"/>
        <v>159</v>
      </c>
      <c r="M328" s="1">
        <f t="shared" si="107"/>
        <v>336</v>
      </c>
      <c r="N328" s="1"/>
      <c r="O328" s="1" t="s">
        <v>417</v>
      </c>
      <c r="P328" s="1">
        <v>5.1100000000000003</v>
      </c>
      <c r="Q328" s="1"/>
      <c r="R328" s="1"/>
      <c r="S328" s="1">
        <f t="shared" si="98"/>
        <v>1</v>
      </c>
      <c r="T328" s="1">
        <f t="shared" si="99"/>
        <v>1</v>
      </c>
      <c r="U328" s="1"/>
      <c r="V328" s="1"/>
      <c r="W328" s="1"/>
      <c r="X328" s="1"/>
      <c r="Y328" s="1"/>
      <c r="Z328" s="1">
        <v>84</v>
      </c>
      <c r="AA328" s="1">
        <v>0</v>
      </c>
      <c r="AB328" s="1"/>
      <c r="AC328" s="1">
        <v>0</v>
      </c>
      <c r="AD328" s="1">
        <v>0</v>
      </c>
      <c r="AE328" s="172">
        <v>60</v>
      </c>
      <c r="AF328" s="1" t="s">
        <v>417</v>
      </c>
      <c r="AG328" s="1">
        <v>2</v>
      </c>
      <c r="AH328" s="1">
        <v>0.35</v>
      </c>
      <c r="AI328" s="1">
        <v>3.5</v>
      </c>
      <c r="AJ328" s="1">
        <v>0.35</v>
      </c>
      <c r="AK328" s="1"/>
      <c r="AL328" s="1"/>
      <c r="AM328" s="1">
        <v>0</v>
      </c>
    </row>
    <row r="329" spans="1:39" x14ac:dyDescent="0.25">
      <c r="A329" s="187" t="s">
        <v>70</v>
      </c>
      <c r="B329" s="1">
        <v>2</v>
      </c>
      <c r="C329" s="1" t="s">
        <v>418</v>
      </c>
      <c r="D329" s="13">
        <v>39682</v>
      </c>
      <c r="E329" s="174">
        <f t="shared" si="108"/>
        <v>2341</v>
      </c>
      <c r="F329" s="201"/>
      <c r="G329" s="13">
        <v>41772</v>
      </c>
      <c r="H329" s="13">
        <f t="shared" si="109"/>
        <v>41687</v>
      </c>
      <c r="I329" s="13">
        <v>42023</v>
      </c>
      <c r="J329" s="13"/>
      <c r="K329" s="1">
        <f t="shared" si="105"/>
        <v>2090</v>
      </c>
      <c r="L329" s="1">
        <f t="shared" si="106"/>
        <v>85</v>
      </c>
      <c r="M329" s="1">
        <f t="shared" si="107"/>
        <v>251</v>
      </c>
      <c r="N329" s="1"/>
      <c r="O329" s="1" t="s">
        <v>417</v>
      </c>
      <c r="P329" s="1">
        <v>5.0999999999999996</v>
      </c>
      <c r="Q329" s="1"/>
      <c r="R329" s="1"/>
      <c r="S329" s="1">
        <f t="shared" si="98"/>
        <v>1</v>
      </c>
      <c r="T329" s="1">
        <f t="shared" si="99"/>
        <v>1</v>
      </c>
      <c r="U329" s="1"/>
      <c r="V329" s="1"/>
      <c r="W329" s="1"/>
      <c r="X329" s="1"/>
      <c r="Y329" s="1"/>
      <c r="Z329" s="1">
        <v>84</v>
      </c>
      <c r="AA329" s="1">
        <v>0</v>
      </c>
      <c r="AB329" s="1"/>
      <c r="AC329" s="1">
        <v>0</v>
      </c>
      <c r="AD329" s="1">
        <v>0</v>
      </c>
      <c r="AE329" s="172">
        <v>60</v>
      </c>
      <c r="AF329" s="1" t="s">
        <v>417</v>
      </c>
      <c r="AG329" s="1">
        <v>2</v>
      </c>
      <c r="AH329" s="1">
        <v>0.35</v>
      </c>
      <c r="AI329" s="1">
        <v>3.5</v>
      </c>
      <c r="AJ329" s="1">
        <v>0.35</v>
      </c>
      <c r="AK329" s="1"/>
      <c r="AL329" s="1"/>
      <c r="AM329" s="1">
        <v>0</v>
      </c>
    </row>
    <row r="330" spans="1:39" x14ac:dyDescent="0.25">
      <c r="A330" s="187" t="s">
        <v>70</v>
      </c>
      <c r="B330" s="1">
        <v>2</v>
      </c>
      <c r="C330" s="1" t="s">
        <v>418</v>
      </c>
      <c r="D330" s="13">
        <v>39682</v>
      </c>
      <c r="E330" s="174">
        <f t="shared" si="108"/>
        <v>2341</v>
      </c>
      <c r="F330" s="201"/>
      <c r="G330" s="13">
        <v>41835</v>
      </c>
      <c r="H330" s="13">
        <f t="shared" si="109"/>
        <v>41772</v>
      </c>
      <c r="I330" s="13">
        <v>42023</v>
      </c>
      <c r="J330" s="13"/>
      <c r="K330" s="1">
        <f t="shared" si="105"/>
        <v>2153</v>
      </c>
      <c r="L330" s="1">
        <f t="shared" si="106"/>
        <v>63</v>
      </c>
      <c r="M330" s="1">
        <f t="shared" si="107"/>
        <v>188</v>
      </c>
      <c r="N330" s="1"/>
      <c r="O330" s="1" t="s">
        <v>417</v>
      </c>
      <c r="P330" s="1">
        <v>5.07</v>
      </c>
      <c r="Q330" s="1"/>
      <c r="R330" s="1"/>
      <c r="S330" s="1">
        <f t="shared" si="98"/>
        <v>1</v>
      </c>
      <c r="T330" s="1">
        <f t="shared" si="99"/>
        <v>1</v>
      </c>
      <c r="U330" s="1"/>
      <c r="V330" s="1"/>
      <c r="W330" s="1"/>
      <c r="X330" s="1"/>
      <c r="Y330" s="1"/>
      <c r="Z330" s="1">
        <v>80</v>
      </c>
      <c r="AA330" s="1">
        <v>0</v>
      </c>
      <c r="AB330" s="1"/>
      <c r="AC330" s="1">
        <v>0</v>
      </c>
      <c r="AD330" s="1">
        <v>0</v>
      </c>
      <c r="AE330" s="172">
        <v>60</v>
      </c>
      <c r="AF330" s="1" t="s">
        <v>417</v>
      </c>
      <c r="AG330" s="1">
        <v>2</v>
      </c>
      <c r="AH330" s="1">
        <v>0.35</v>
      </c>
      <c r="AI330" s="1">
        <v>3.5</v>
      </c>
      <c r="AJ330" s="1">
        <v>0.35</v>
      </c>
      <c r="AK330" s="1"/>
      <c r="AL330" s="1"/>
      <c r="AM330" s="1">
        <v>0</v>
      </c>
    </row>
    <row r="331" spans="1:39" x14ac:dyDescent="0.25">
      <c r="A331" s="187" t="s">
        <v>70</v>
      </c>
      <c r="B331" s="1">
        <v>2</v>
      </c>
      <c r="C331" s="1" t="s">
        <v>418</v>
      </c>
      <c r="D331" s="13">
        <v>39682</v>
      </c>
      <c r="E331" s="174">
        <f t="shared" si="108"/>
        <v>2341</v>
      </c>
      <c r="F331" s="201"/>
      <c r="G331" s="13">
        <v>41914</v>
      </c>
      <c r="H331" s="13">
        <f t="shared" si="109"/>
        <v>41835</v>
      </c>
      <c r="I331" s="13">
        <v>42023</v>
      </c>
      <c r="J331" s="13"/>
      <c r="K331" s="1">
        <f t="shared" si="105"/>
        <v>2232</v>
      </c>
      <c r="L331" s="1">
        <f t="shared" si="106"/>
        <v>79</v>
      </c>
      <c r="M331" s="1">
        <f t="shared" si="107"/>
        <v>109</v>
      </c>
      <c r="N331" s="1"/>
      <c r="O331" s="1" t="s">
        <v>417</v>
      </c>
      <c r="P331" s="1">
        <v>5.04</v>
      </c>
      <c r="Q331" s="1"/>
      <c r="R331" s="1"/>
      <c r="S331" s="1"/>
      <c r="T331" s="1">
        <f t="shared" si="99"/>
        <v>1</v>
      </c>
      <c r="U331" s="1"/>
      <c r="V331" s="1"/>
      <c r="W331" s="1"/>
      <c r="X331" s="1"/>
      <c r="Y331" s="1"/>
      <c r="Z331" s="1">
        <v>81</v>
      </c>
      <c r="AA331" s="1">
        <v>0</v>
      </c>
      <c r="AB331" s="1"/>
      <c r="AC331" s="1">
        <v>0</v>
      </c>
      <c r="AD331" s="1">
        <v>0</v>
      </c>
      <c r="AE331" s="172">
        <v>60</v>
      </c>
      <c r="AF331" s="1" t="s">
        <v>417</v>
      </c>
      <c r="AG331" s="1">
        <v>2</v>
      </c>
      <c r="AH331" s="1">
        <v>0.35</v>
      </c>
      <c r="AI331" s="1">
        <v>3.5</v>
      </c>
      <c r="AJ331" s="1">
        <v>0.35</v>
      </c>
      <c r="AK331" s="1"/>
      <c r="AL331" s="1"/>
      <c r="AM331" s="1">
        <v>0</v>
      </c>
    </row>
    <row r="332" spans="1:39" x14ac:dyDescent="0.25">
      <c r="A332" s="187" t="s">
        <v>70</v>
      </c>
      <c r="B332" s="1">
        <v>2</v>
      </c>
      <c r="C332" s="1" t="s">
        <v>418</v>
      </c>
      <c r="D332" s="13">
        <v>39682</v>
      </c>
      <c r="E332" s="174">
        <f t="shared" ref="E332:E363" si="110">I332-D332</f>
        <v>2341</v>
      </c>
      <c r="F332" s="201"/>
      <c r="G332" s="13">
        <v>42023</v>
      </c>
      <c r="H332" s="13">
        <f t="shared" si="109"/>
        <v>41914</v>
      </c>
      <c r="I332" s="13">
        <v>42023</v>
      </c>
      <c r="J332" s="13"/>
      <c r="K332" s="1">
        <f t="shared" si="105"/>
        <v>2341</v>
      </c>
      <c r="L332" s="1">
        <f t="shared" si="106"/>
        <v>109</v>
      </c>
      <c r="M332" s="1">
        <f t="shared" si="107"/>
        <v>0</v>
      </c>
      <c r="N332" s="1"/>
      <c r="O332" s="1" t="s">
        <v>417</v>
      </c>
      <c r="P332" s="1">
        <v>4.9400000000000004</v>
      </c>
      <c r="Q332" s="1"/>
      <c r="R332" s="1"/>
      <c r="S332" s="1"/>
      <c r="T332" s="1"/>
      <c r="U332" s="1"/>
      <c r="V332" s="1"/>
      <c r="W332" s="1"/>
      <c r="X332" s="1"/>
      <c r="Y332" s="1"/>
      <c r="Z332" s="1">
        <v>81</v>
      </c>
      <c r="AA332" s="1">
        <v>0</v>
      </c>
      <c r="AB332" s="1"/>
      <c r="AC332" s="1">
        <v>0</v>
      </c>
      <c r="AD332" s="1">
        <v>0</v>
      </c>
      <c r="AE332" s="172">
        <v>60</v>
      </c>
      <c r="AF332" s="1" t="s">
        <v>417</v>
      </c>
      <c r="AG332" s="1">
        <v>2</v>
      </c>
      <c r="AH332" s="1">
        <v>0.35</v>
      </c>
      <c r="AI332" s="1">
        <v>3.5</v>
      </c>
      <c r="AJ332" s="1">
        <v>0.35</v>
      </c>
      <c r="AK332" s="1"/>
      <c r="AL332" s="1"/>
      <c r="AM332" s="1">
        <v>0</v>
      </c>
    </row>
    <row r="333" spans="1:39" x14ac:dyDescent="0.25">
      <c r="A333" s="189" t="s">
        <v>97</v>
      </c>
      <c r="B333" s="1">
        <v>2</v>
      </c>
      <c r="C333" s="1" t="s">
        <v>418</v>
      </c>
      <c r="D333" s="13">
        <v>39147</v>
      </c>
      <c r="E333" s="1">
        <f t="shared" si="110"/>
        <v>2289</v>
      </c>
      <c r="F333" s="1"/>
      <c r="G333" s="13">
        <v>40197</v>
      </c>
      <c r="H333" s="13">
        <v>39147</v>
      </c>
      <c r="I333" s="13">
        <v>41436</v>
      </c>
      <c r="J333" s="13"/>
      <c r="K333" s="1">
        <f t="shared" si="105"/>
        <v>1050</v>
      </c>
      <c r="L333" s="1">
        <f t="shared" si="106"/>
        <v>1050</v>
      </c>
      <c r="M333" s="1">
        <f t="shared" si="107"/>
        <v>1239</v>
      </c>
      <c r="N333" s="1"/>
      <c r="O333" s="1" t="s">
        <v>417</v>
      </c>
      <c r="P333" s="1">
        <v>5.85</v>
      </c>
      <c r="Q333" s="1">
        <f t="shared" si="96"/>
        <v>1</v>
      </c>
      <c r="R333" s="1">
        <f t="shared" si="97"/>
        <v>1</v>
      </c>
      <c r="S333" s="1">
        <f t="shared" si="98"/>
        <v>1</v>
      </c>
      <c r="T333" s="1">
        <f t="shared" si="99"/>
        <v>1</v>
      </c>
      <c r="U333" s="1" t="s">
        <v>437</v>
      </c>
      <c r="V333" s="1"/>
      <c r="W333" s="1"/>
      <c r="X333" s="1"/>
      <c r="Y333" s="1"/>
      <c r="Z333" s="1">
        <v>99</v>
      </c>
      <c r="AA333" s="1">
        <v>99</v>
      </c>
      <c r="AB333" s="1"/>
      <c r="AC333" s="1">
        <v>0</v>
      </c>
      <c r="AD333" s="1">
        <v>0</v>
      </c>
      <c r="AE333" s="1">
        <v>60</v>
      </c>
      <c r="AF333" s="1" t="s">
        <v>434</v>
      </c>
      <c r="AG333" s="1">
        <v>2.5</v>
      </c>
      <c r="AH333" s="1">
        <v>0.5</v>
      </c>
      <c r="AI333" s="1">
        <v>2.5</v>
      </c>
      <c r="AJ333" s="1">
        <v>0.5</v>
      </c>
      <c r="AK333" s="1"/>
      <c r="AL333" s="1"/>
      <c r="AM333" s="1">
        <v>0</v>
      </c>
    </row>
    <row r="334" spans="1:39" x14ac:dyDescent="0.25">
      <c r="A334" s="189" t="s">
        <v>97</v>
      </c>
      <c r="B334" s="1">
        <v>2</v>
      </c>
      <c r="C334" s="1" t="s">
        <v>418</v>
      </c>
      <c r="D334" s="13">
        <v>39147</v>
      </c>
      <c r="E334" s="1">
        <f t="shared" si="110"/>
        <v>2289</v>
      </c>
      <c r="F334" s="1"/>
      <c r="G334" s="13">
        <v>40750</v>
      </c>
      <c r="H334" s="13">
        <f>G333</f>
        <v>40197</v>
      </c>
      <c r="I334" s="13">
        <v>41436</v>
      </c>
      <c r="J334" s="13"/>
      <c r="K334" s="1">
        <f t="shared" si="105"/>
        <v>1603</v>
      </c>
      <c r="L334" s="1">
        <f t="shared" si="106"/>
        <v>553</v>
      </c>
      <c r="M334" s="1">
        <f t="shared" si="107"/>
        <v>686</v>
      </c>
      <c r="N334" s="1"/>
      <c r="O334" s="1" t="s">
        <v>417</v>
      </c>
      <c r="P334" s="1">
        <v>5.15</v>
      </c>
      <c r="Q334" s="1">
        <f t="shared" si="96"/>
        <v>1</v>
      </c>
      <c r="R334" s="1">
        <f t="shared" si="97"/>
        <v>1</v>
      </c>
      <c r="S334" s="1">
        <f t="shared" si="98"/>
        <v>1</v>
      </c>
      <c r="T334" s="1">
        <f t="shared" si="99"/>
        <v>1</v>
      </c>
      <c r="U334" s="1" t="s">
        <v>437</v>
      </c>
      <c r="V334" s="1"/>
      <c r="W334" s="1"/>
      <c r="X334" s="1"/>
      <c r="Y334" s="1"/>
      <c r="Z334" s="1">
        <v>99</v>
      </c>
      <c r="AA334" s="1">
        <v>91</v>
      </c>
      <c r="AB334" s="1"/>
      <c r="AC334" s="1">
        <v>0</v>
      </c>
      <c r="AD334" s="1">
        <v>0</v>
      </c>
      <c r="AE334" s="1">
        <v>60</v>
      </c>
      <c r="AF334" s="1" t="s">
        <v>434</v>
      </c>
      <c r="AG334" s="1">
        <v>2.5</v>
      </c>
      <c r="AH334" s="1">
        <v>0.5</v>
      </c>
      <c r="AI334" s="1">
        <v>2.5</v>
      </c>
      <c r="AJ334" s="1">
        <v>0.5</v>
      </c>
      <c r="AK334" s="1"/>
      <c r="AL334" s="1"/>
      <c r="AM334" s="1">
        <v>0</v>
      </c>
    </row>
    <row r="335" spans="1:39" x14ac:dyDescent="0.25">
      <c r="A335" s="189" t="s">
        <v>97</v>
      </c>
      <c r="B335" s="1">
        <v>2</v>
      </c>
      <c r="C335" s="1" t="s">
        <v>418</v>
      </c>
      <c r="D335" s="13">
        <v>39147</v>
      </c>
      <c r="E335" s="174">
        <f t="shared" si="110"/>
        <v>2289</v>
      </c>
      <c r="F335" s="201"/>
      <c r="G335" s="13">
        <v>40960</v>
      </c>
      <c r="H335" s="13">
        <f t="shared" ref="H335:H340" si="111">G334</f>
        <v>40750</v>
      </c>
      <c r="I335" s="13">
        <v>41436</v>
      </c>
      <c r="J335" s="13"/>
      <c r="K335" s="1">
        <f t="shared" si="105"/>
        <v>1813</v>
      </c>
      <c r="L335" s="1">
        <f t="shared" si="106"/>
        <v>210</v>
      </c>
      <c r="M335" s="1">
        <f t="shared" si="107"/>
        <v>476</v>
      </c>
      <c r="N335" s="1"/>
      <c r="O335" s="1" t="s">
        <v>417</v>
      </c>
      <c r="P335" s="1">
        <v>5.13</v>
      </c>
      <c r="Q335" s="1"/>
      <c r="R335" s="1">
        <f t="shared" si="97"/>
        <v>1</v>
      </c>
      <c r="S335" s="1">
        <f t="shared" si="98"/>
        <v>1</v>
      </c>
      <c r="T335" s="1">
        <f t="shared" si="99"/>
        <v>1</v>
      </c>
      <c r="U335" s="1"/>
      <c r="V335" s="1"/>
      <c r="W335" s="1"/>
      <c r="X335" s="1"/>
      <c r="Y335" s="1"/>
      <c r="Z335" s="1">
        <v>99</v>
      </c>
      <c r="AA335" s="1">
        <v>95</v>
      </c>
      <c r="AB335" s="1"/>
      <c r="AC335" s="1">
        <v>0</v>
      </c>
      <c r="AD335" s="98">
        <v>0</v>
      </c>
      <c r="AE335" s="172">
        <v>60</v>
      </c>
      <c r="AF335" s="1" t="s">
        <v>434</v>
      </c>
      <c r="AG335" s="1">
        <v>2.5</v>
      </c>
      <c r="AH335" s="1">
        <v>0.5</v>
      </c>
      <c r="AI335" s="1">
        <v>2.5</v>
      </c>
      <c r="AJ335" s="1">
        <v>0.5</v>
      </c>
      <c r="AK335" s="1"/>
      <c r="AL335" s="1"/>
      <c r="AM335" s="1">
        <v>0</v>
      </c>
    </row>
    <row r="336" spans="1:39" x14ac:dyDescent="0.25">
      <c r="A336" s="189" t="s">
        <v>97</v>
      </c>
      <c r="B336" s="1">
        <v>2</v>
      </c>
      <c r="C336" s="1" t="s">
        <v>418</v>
      </c>
      <c r="D336" s="13">
        <v>39147</v>
      </c>
      <c r="E336" s="174">
        <f t="shared" si="110"/>
        <v>2289</v>
      </c>
      <c r="F336" s="201"/>
      <c r="G336" s="13">
        <v>41138</v>
      </c>
      <c r="H336" s="13">
        <f t="shared" si="111"/>
        <v>40960</v>
      </c>
      <c r="I336" s="13">
        <v>41436</v>
      </c>
      <c r="J336" s="13"/>
      <c r="K336" s="1">
        <f t="shared" si="105"/>
        <v>1991</v>
      </c>
      <c r="L336" s="1">
        <f t="shared" si="106"/>
        <v>178</v>
      </c>
      <c r="M336" s="1">
        <f t="shared" si="107"/>
        <v>298</v>
      </c>
      <c r="N336" s="1"/>
      <c r="O336" s="1" t="s">
        <v>417</v>
      </c>
      <c r="P336" s="1">
        <v>5.1100000000000003</v>
      </c>
      <c r="Q336" s="1"/>
      <c r="R336" s="1"/>
      <c r="S336" s="1">
        <f t="shared" si="98"/>
        <v>1</v>
      </c>
      <c r="T336" s="1">
        <f t="shared" si="99"/>
        <v>1</v>
      </c>
      <c r="U336" s="1"/>
      <c r="V336" s="1"/>
      <c r="W336" s="1"/>
      <c r="X336" s="1"/>
      <c r="Y336" s="1"/>
      <c r="Z336" s="1">
        <v>99</v>
      </c>
      <c r="AA336" s="1">
        <v>100</v>
      </c>
      <c r="AB336" s="1"/>
      <c r="AC336" s="1">
        <v>0</v>
      </c>
      <c r="AD336" s="98">
        <v>0</v>
      </c>
      <c r="AE336" s="172">
        <v>60</v>
      </c>
      <c r="AF336" s="1" t="s">
        <v>434</v>
      </c>
      <c r="AG336" s="1">
        <v>2.5</v>
      </c>
      <c r="AH336" s="1">
        <v>0.5</v>
      </c>
      <c r="AI336" s="1">
        <v>2.5</v>
      </c>
      <c r="AJ336" s="1">
        <v>0.5</v>
      </c>
      <c r="AK336" s="1"/>
      <c r="AL336" s="1"/>
      <c r="AM336" s="1">
        <v>0</v>
      </c>
    </row>
    <row r="337" spans="1:39" x14ac:dyDescent="0.25">
      <c r="A337" s="189" t="s">
        <v>97</v>
      </c>
      <c r="B337" s="1">
        <v>2</v>
      </c>
      <c r="C337" s="1" t="s">
        <v>418</v>
      </c>
      <c r="D337" s="13">
        <v>39147</v>
      </c>
      <c r="E337" s="1">
        <f t="shared" si="110"/>
        <v>2289</v>
      </c>
      <c r="F337" s="1"/>
      <c r="G337" s="13">
        <v>41163</v>
      </c>
      <c r="H337" s="13">
        <f t="shared" si="111"/>
        <v>41138</v>
      </c>
      <c r="I337" s="13">
        <v>41436</v>
      </c>
      <c r="J337" s="13"/>
      <c r="K337" s="1">
        <f t="shared" si="105"/>
        <v>2016</v>
      </c>
      <c r="L337" s="1">
        <f t="shared" si="106"/>
        <v>25</v>
      </c>
      <c r="M337" s="1">
        <f t="shared" si="107"/>
        <v>273</v>
      </c>
      <c r="N337" s="1"/>
      <c r="O337" s="1" t="s">
        <v>417</v>
      </c>
      <c r="P337" s="1">
        <v>5.1100000000000003</v>
      </c>
      <c r="Q337" s="1"/>
      <c r="R337" s="1"/>
      <c r="S337" s="1">
        <f t="shared" si="98"/>
        <v>1</v>
      </c>
      <c r="T337" s="1">
        <f t="shared" si="99"/>
        <v>1</v>
      </c>
      <c r="U337" s="1"/>
      <c r="V337" s="1"/>
      <c r="W337" s="1"/>
      <c r="X337" s="1"/>
      <c r="Y337" s="1"/>
      <c r="Z337" s="1">
        <v>100</v>
      </c>
      <c r="AA337" s="1">
        <v>2</v>
      </c>
      <c r="AB337" s="1"/>
      <c r="AC337" s="1">
        <v>0</v>
      </c>
      <c r="AD337" s="1">
        <v>0</v>
      </c>
      <c r="AE337" s="1">
        <v>60</v>
      </c>
      <c r="AF337" s="1" t="s">
        <v>434</v>
      </c>
      <c r="AG337" s="1">
        <v>2.5</v>
      </c>
      <c r="AH337" s="1">
        <v>0.5</v>
      </c>
      <c r="AI337" s="1">
        <v>2.5</v>
      </c>
      <c r="AJ337" s="1">
        <v>0.5</v>
      </c>
      <c r="AK337" s="1"/>
      <c r="AL337" s="1"/>
      <c r="AM337" s="1">
        <v>0</v>
      </c>
    </row>
    <row r="338" spans="1:39" x14ac:dyDescent="0.25">
      <c r="A338" s="189" t="s">
        <v>97</v>
      </c>
      <c r="B338" s="1">
        <v>2</v>
      </c>
      <c r="C338" s="1" t="s">
        <v>418</v>
      </c>
      <c r="D338" s="13">
        <v>39147</v>
      </c>
      <c r="E338" s="174">
        <f t="shared" si="110"/>
        <v>2289</v>
      </c>
      <c r="F338" s="201"/>
      <c r="G338" s="13">
        <v>41345</v>
      </c>
      <c r="H338" s="13">
        <f t="shared" si="111"/>
        <v>41163</v>
      </c>
      <c r="I338" s="13">
        <v>41436</v>
      </c>
      <c r="J338" s="13"/>
      <c r="K338" s="1">
        <f t="shared" si="105"/>
        <v>2198</v>
      </c>
      <c r="L338" s="1">
        <f t="shared" si="106"/>
        <v>182</v>
      </c>
      <c r="M338" s="1">
        <f t="shared" si="107"/>
        <v>91</v>
      </c>
      <c r="N338" s="1"/>
      <c r="O338" s="1" t="s">
        <v>417</v>
      </c>
      <c r="P338" s="1">
        <v>4.9800000000000004</v>
      </c>
      <c r="Q338" s="1"/>
      <c r="R338" s="1"/>
      <c r="S338" s="1"/>
      <c r="T338" s="1">
        <f t="shared" si="99"/>
        <v>1</v>
      </c>
      <c r="U338" s="1"/>
      <c r="V338" s="1"/>
      <c r="W338" s="1"/>
      <c r="X338" s="1"/>
      <c r="Y338" s="1"/>
      <c r="Z338" s="1">
        <v>100</v>
      </c>
      <c r="AA338" s="1">
        <v>1</v>
      </c>
      <c r="AB338" s="1"/>
      <c r="AC338" s="1">
        <v>0</v>
      </c>
      <c r="AD338" s="98">
        <v>0</v>
      </c>
      <c r="AE338" s="172">
        <v>60</v>
      </c>
      <c r="AF338" s="1" t="s">
        <v>434</v>
      </c>
      <c r="AG338" s="1">
        <v>2.5</v>
      </c>
      <c r="AH338" s="1">
        <v>0.5</v>
      </c>
      <c r="AI338" s="1">
        <v>2.5</v>
      </c>
      <c r="AJ338" s="1">
        <v>0.5</v>
      </c>
      <c r="AK338" s="1"/>
      <c r="AL338" s="1"/>
      <c r="AM338" s="1">
        <v>0</v>
      </c>
    </row>
    <row r="339" spans="1:39" x14ac:dyDescent="0.25">
      <c r="A339" s="189" t="s">
        <v>97</v>
      </c>
      <c r="B339" s="1">
        <v>2</v>
      </c>
      <c r="C339" s="1" t="s">
        <v>418</v>
      </c>
      <c r="D339" s="13">
        <v>39147</v>
      </c>
      <c r="E339" s="174">
        <f t="shared" si="110"/>
        <v>2289</v>
      </c>
      <c r="F339" s="201"/>
      <c r="G339" s="13">
        <v>41401</v>
      </c>
      <c r="H339" s="13">
        <f t="shared" si="111"/>
        <v>41345</v>
      </c>
      <c r="I339" s="13">
        <v>41436</v>
      </c>
      <c r="J339" s="13"/>
      <c r="K339" s="1">
        <f t="shared" si="105"/>
        <v>2254</v>
      </c>
      <c r="L339" s="1">
        <f t="shared" si="106"/>
        <v>56</v>
      </c>
      <c r="M339" s="1">
        <f t="shared" si="107"/>
        <v>35</v>
      </c>
      <c r="N339" s="1"/>
      <c r="O339" s="1" t="s">
        <v>417</v>
      </c>
      <c r="P339" s="1">
        <v>4.88</v>
      </c>
      <c r="Q339" s="1"/>
      <c r="R339" s="1"/>
      <c r="S339" s="1"/>
      <c r="T339" s="1"/>
      <c r="U339" s="1"/>
      <c r="V339" s="1"/>
      <c r="W339" s="1"/>
      <c r="X339" s="1"/>
      <c r="Y339" s="1"/>
      <c r="Z339" s="1">
        <v>100</v>
      </c>
      <c r="AA339" s="1">
        <v>0</v>
      </c>
      <c r="AB339" s="1"/>
      <c r="AC339" s="1">
        <v>0</v>
      </c>
      <c r="AD339" s="98">
        <v>0</v>
      </c>
      <c r="AE339" s="172">
        <v>60</v>
      </c>
      <c r="AF339" s="1" t="s">
        <v>434</v>
      </c>
      <c r="AG339" s="1">
        <v>2.5</v>
      </c>
      <c r="AH339" s="1">
        <v>0.5</v>
      </c>
      <c r="AI339" s="1">
        <v>2.5</v>
      </c>
      <c r="AJ339" s="1">
        <v>0.5</v>
      </c>
      <c r="AK339" s="1"/>
      <c r="AL339" s="1"/>
      <c r="AM339" s="1">
        <v>0</v>
      </c>
    </row>
    <row r="340" spans="1:39" x14ac:dyDescent="0.25">
      <c r="A340" s="189" t="s">
        <v>97</v>
      </c>
      <c r="B340" s="1">
        <v>2</v>
      </c>
      <c r="C340" s="1" t="s">
        <v>418</v>
      </c>
      <c r="D340" s="13">
        <v>39147</v>
      </c>
      <c r="E340" s="174">
        <f t="shared" si="110"/>
        <v>2289</v>
      </c>
      <c r="F340" s="201"/>
      <c r="G340" s="13">
        <v>41436</v>
      </c>
      <c r="H340" s="13">
        <f t="shared" si="111"/>
        <v>41401</v>
      </c>
      <c r="I340" s="13">
        <v>41436</v>
      </c>
      <c r="J340" s="13"/>
      <c r="K340" s="1">
        <f t="shared" si="105"/>
        <v>2289</v>
      </c>
      <c r="L340" s="1">
        <f t="shared" si="106"/>
        <v>35</v>
      </c>
      <c r="M340" s="1">
        <f t="shared" si="107"/>
        <v>0</v>
      </c>
      <c r="N340" s="1"/>
      <c r="O340" s="1" t="s">
        <v>434</v>
      </c>
      <c r="P340" s="1">
        <v>4.8</v>
      </c>
      <c r="Q340" s="1"/>
      <c r="R340" s="1"/>
      <c r="S340" s="1"/>
      <c r="T340" s="1"/>
      <c r="U340" s="1"/>
      <c r="V340" s="1">
        <v>0</v>
      </c>
      <c r="W340" s="1">
        <v>0</v>
      </c>
      <c r="X340" s="1">
        <v>0</v>
      </c>
      <c r="Y340" s="1">
        <v>0</v>
      </c>
      <c r="Z340" s="1">
        <v>99</v>
      </c>
      <c r="AA340" s="1">
        <v>0</v>
      </c>
      <c r="AB340" s="1"/>
      <c r="AC340" s="1">
        <v>0</v>
      </c>
      <c r="AD340" s="98">
        <v>0</v>
      </c>
      <c r="AE340" s="172">
        <v>60</v>
      </c>
      <c r="AF340" s="1" t="s">
        <v>417</v>
      </c>
      <c r="AG340" s="1">
        <v>2.5</v>
      </c>
      <c r="AH340" s="1">
        <v>0.5</v>
      </c>
      <c r="AI340" s="1">
        <v>2.5</v>
      </c>
      <c r="AJ340" s="1">
        <v>0.5</v>
      </c>
      <c r="AK340" s="1"/>
      <c r="AL340" s="1"/>
      <c r="AM340" s="1">
        <v>0</v>
      </c>
    </row>
    <row r="341" spans="1:39" x14ac:dyDescent="0.25">
      <c r="A341" s="192" t="s">
        <v>75</v>
      </c>
      <c r="B341" s="1">
        <v>2</v>
      </c>
      <c r="C341" s="1" t="s">
        <v>418</v>
      </c>
      <c r="D341" s="13">
        <v>39231</v>
      </c>
      <c r="E341" s="1">
        <f t="shared" si="110"/>
        <v>2561</v>
      </c>
      <c r="F341" s="1"/>
      <c r="G341" s="13">
        <v>40134</v>
      </c>
      <c r="H341" s="13">
        <v>39231</v>
      </c>
      <c r="I341" s="13">
        <v>41792</v>
      </c>
      <c r="J341" s="13"/>
      <c r="K341" s="1">
        <f t="shared" si="105"/>
        <v>903</v>
      </c>
      <c r="L341" s="1">
        <f t="shared" si="106"/>
        <v>903</v>
      </c>
      <c r="M341" s="1">
        <f t="shared" si="107"/>
        <v>1658</v>
      </c>
      <c r="N341" s="1"/>
      <c r="O341" s="1" t="s">
        <v>417</v>
      </c>
      <c r="P341" s="1">
        <v>6.05</v>
      </c>
      <c r="Q341" s="1">
        <f t="shared" si="96"/>
        <v>1</v>
      </c>
      <c r="R341" s="1">
        <f t="shared" si="97"/>
        <v>1</v>
      </c>
      <c r="S341" s="1">
        <f t="shared" si="98"/>
        <v>1</v>
      </c>
      <c r="T341" s="1">
        <f t="shared" si="99"/>
        <v>1</v>
      </c>
      <c r="U341" s="1" t="s">
        <v>437</v>
      </c>
      <c r="V341" s="1"/>
      <c r="W341" s="1"/>
      <c r="X341" s="1"/>
      <c r="Y341" s="1"/>
      <c r="Z341" s="1">
        <v>8</v>
      </c>
      <c r="AA341" s="1">
        <v>0</v>
      </c>
      <c r="AB341" s="1"/>
      <c r="AC341" s="1">
        <v>1</v>
      </c>
      <c r="AD341" s="1">
        <v>0</v>
      </c>
      <c r="AE341" s="1">
        <v>60</v>
      </c>
      <c r="AF341" s="1" t="s">
        <v>417</v>
      </c>
      <c r="AG341" s="1">
        <v>2</v>
      </c>
      <c r="AH341" s="1">
        <v>0.35</v>
      </c>
      <c r="AI341" s="1">
        <v>2.5</v>
      </c>
      <c r="AJ341" s="1">
        <v>0.35</v>
      </c>
      <c r="AK341" s="1"/>
      <c r="AL341" s="1"/>
      <c r="AM341" s="1">
        <v>0</v>
      </c>
    </row>
    <row r="342" spans="1:39" x14ac:dyDescent="0.25">
      <c r="A342" s="192" t="s">
        <v>75</v>
      </c>
      <c r="B342" s="1">
        <v>2</v>
      </c>
      <c r="C342" s="1" t="s">
        <v>418</v>
      </c>
      <c r="D342" s="13">
        <v>39231</v>
      </c>
      <c r="E342" s="1">
        <f t="shared" si="110"/>
        <v>2561</v>
      </c>
      <c r="F342" s="1"/>
      <c r="G342" s="13">
        <v>40316</v>
      </c>
      <c r="H342" s="13">
        <f>G341</f>
        <v>40134</v>
      </c>
      <c r="I342" s="13">
        <v>41792</v>
      </c>
      <c r="J342" s="13"/>
      <c r="K342" s="1">
        <f t="shared" si="105"/>
        <v>1085</v>
      </c>
      <c r="L342" s="1">
        <f t="shared" si="106"/>
        <v>182</v>
      </c>
      <c r="M342" s="1">
        <f t="shared" si="107"/>
        <v>1476</v>
      </c>
      <c r="N342" s="1"/>
      <c r="O342" s="1" t="s">
        <v>417</v>
      </c>
      <c r="P342" s="1">
        <v>5.91</v>
      </c>
      <c r="Q342" s="1">
        <f t="shared" si="96"/>
        <v>1</v>
      </c>
      <c r="R342" s="1">
        <f t="shared" si="97"/>
        <v>1</v>
      </c>
      <c r="S342" s="1">
        <f t="shared" si="98"/>
        <v>1</v>
      </c>
      <c r="T342" s="1">
        <f t="shared" si="99"/>
        <v>1</v>
      </c>
      <c r="U342" s="1" t="s">
        <v>437</v>
      </c>
      <c r="V342" s="1"/>
      <c r="W342" s="1"/>
      <c r="X342" s="1"/>
      <c r="Y342" s="1"/>
      <c r="Z342" s="1">
        <v>5</v>
      </c>
      <c r="AA342" s="1">
        <v>0</v>
      </c>
      <c r="AB342" s="1"/>
      <c r="AC342" s="1">
        <v>0</v>
      </c>
      <c r="AD342" s="1">
        <v>0</v>
      </c>
      <c r="AE342" s="1">
        <v>60</v>
      </c>
      <c r="AF342" s="1" t="s">
        <v>417</v>
      </c>
      <c r="AG342" s="1">
        <v>2</v>
      </c>
      <c r="AH342" s="1">
        <v>0.35</v>
      </c>
      <c r="AI342" s="1">
        <v>2.5</v>
      </c>
      <c r="AJ342" s="1">
        <v>0.35</v>
      </c>
      <c r="AK342" s="1"/>
      <c r="AL342" s="1"/>
      <c r="AM342" s="1">
        <v>0</v>
      </c>
    </row>
    <row r="343" spans="1:39" x14ac:dyDescent="0.25">
      <c r="A343" s="192" t="s">
        <v>75</v>
      </c>
      <c r="B343" s="1">
        <v>2</v>
      </c>
      <c r="C343" s="1" t="s">
        <v>418</v>
      </c>
      <c r="D343" s="13">
        <v>39231</v>
      </c>
      <c r="E343" s="174">
        <f t="shared" si="110"/>
        <v>2561</v>
      </c>
      <c r="F343" s="201"/>
      <c r="G343" s="13">
        <v>40730</v>
      </c>
      <c r="H343" s="13">
        <f>G342</f>
        <v>40316</v>
      </c>
      <c r="I343" s="13">
        <v>41792</v>
      </c>
      <c r="J343" s="13"/>
      <c r="K343" s="1">
        <f t="shared" si="105"/>
        <v>1499</v>
      </c>
      <c r="L343" s="1">
        <f t="shared" si="106"/>
        <v>414</v>
      </c>
      <c r="M343" s="1">
        <f t="shared" si="107"/>
        <v>1062</v>
      </c>
      <c r="N343" s="1"/>
      <c r="O343" s="1" t="s">
        <v>417</v>
      </c>
      <c r="P343" s="1">
        <v>5.26</v>
      </c>
      <c r="Q343" s="1">
        <f t="shared" si="96"/>
        <v>1</v>
      </c>
      <c r="R343" s="1">
        <f t="shared" si="97"/>
        <v>1</v>
      </c>
      <c r="S343" s="1">
        <f t="shared" si="98"/>
        <v>1</v>
      </c>
      <c r="T343" s="1">
        <f t="shared" si="99"/>
        <v>1</v>
      </c>
      <c r="U343" s="1" t="s">
        <v>437</v>
      </c>
      <c r="V343" s="1"/>
      <c r="W343" s="1"/>
      <c r="X343" s="1"/>
      <c r="Y343" s="1"/>
      <c r="Z343" s="1">
        <v>3</v>
      </c>
      <c r="AA343" s="1">
        <v>0</v>
      </c>
      <c r="AB343" s="1"/>
      <c r="AC343" s="1">
        <v>0</v>
      </c>
      <c r="AD343" s="98">
        <v>0</v>
      </c>
      <c r="AE343" s="172">
        <v>60</v>
      </c>
      <c r="AF343" s="1" t="s">
        <v>417</v>
      </c>
      <c r="AG343" s="1">
        <v>2</v>
      </c>
      <c r="AH343" s="1">
        <v>0.35</v>
      </c>
      <c r="AI343" s="1">
        <v>2.5</v>
      </c>
      <c r="AJ343" s="1">
        <v>0.35</v>
      </c>
      <c r="AK343" s="1"/>
      <c r="AL343" s="1"/>
      <c r="AM343" s="1">
        <v>0</v>
      </c>
    </row>
    <row r="344" spans="1:39" x14ac:dyDescent="0.25">
      <c r="A344" s="192" t="s">
        <v>75</v>
      </c>
      <c r="B344" s="1">
        <v>2</v>
      </c>
      <c r="C344" s="1" t="s">
        <v>418</v>
      </c>
      <c r="D344" s="13">
        <v>39231</v>
      </c>
      <c r="E344" s="174">
        <f t="shared" si="110"/>
        <v>2561</v>
      </c>
      <c r="F344" s="201"/>
      <c r="G344" s="13">
        <v>40940</v>
      </c>
      <c r="H344" s="13">
        <f t="shared" ref="H344:H351" si="112">G343</f>
        <v>40730</v>
      </c>
      <c r="I344" s="13">
        <v>41792</v>
      </c>
      <c r="J344" s="13"/>
      <c r="K344" s="1">
        <f t="shared" si="105"/>
        <v>1709</v>
      </c>
      <c r="L344" s="1">
        <f t="shared" si="106"/>
        <v>210</v>
      </c>
      <c r="M344" s="1">
        <f t="shared" si="107"/>
        <v>852</v>
      </c>
      <c r="N344" s="1"/>
      <c r="O344" s="1" t="s">
        <v>417</v>
      </c>
      <c r="P344" s="1">
        <v>5.18</v>
      </c>
      <c r="Q344" s="1">
        <f t="shared" ref="Q344:Q407" si="113">IF(M344&gt;=540,1,"nulo")</f>
        <v>1</v>
      </c>
      <c r="R344" s="1">
        <f t="shared" ref="R344:R407" si="114">IF(M344&gt;=360,1,"nulo")</f>
        <v>1</v>
      </c>
      <c r="S344" s="1">
        <f t="shared" ref="S344:S407" si="115">IF(M344&gt;=180,1,"nulo")</f>
        <v>1</v>
      </c>
      <c r="T344" s="1">
        <f t="shared" ref="T344:T407" si="116">IF(M344&gt;=90,1,"nulo")</f>
        <v>1</v>
      </c>
      <c r="U344" s="1" t="s">
        <v>437</v>
      </c>
      <c r="V344" s="1"/>
      <c r="W344" s="1"/>
      <c r="X344" s="1"/>
      <c r="Y344" s="1"/>
      <c r="Z344" s="1">
        <v>10</v>
      </c>
      <c r="AA344" s="1">
        <v>0</v>
      </c>
      <c r="AB344" s="1"/>
      <c r="AC344" s="1">
        <v>1</v>
      </c>
      <c r="AD344" s="98">
        <v>0</v>
      </c>
      <c r="AE344" s="172">
        <v>60</v>
      </c>
      <c r="AF344" s="1" t="s">
        <v>417</v>
      </c>
      <c r="AG344" s="1">
        <v>2</v>
      </c>
      <c r="AH344" s="1">
        <v>0.35</v>
      </c>
      <c r="AI344" s="1">
        <v>2.5</v>
      </c>
      <c r="AJ344" s="1">
        <v>0.35</v>
      </c>
      <c r="AK344" s="1"/>
      <c r="AL344" s="1"/>
      <c r="AM344" s="1">
        <v>0</v>
      </c>
    </row>
    <row r="345" spans="1:39" x14ac:dyDescent="0.25">
      <c r="A345" s="192" t="s">
        <v>75</v>
      </c>
      <c r="B345" s="1">
        <v>2</v>
      </c>
      <c r="C345" s="1" t="s">
        <v>418</v>
      </c>
      <c r="D345" s="13">
        <v>39231</v>
      </c>
      <c r="E345" s="174">
        <f t="shared" si="110"/>
        <v>2561</v>
      </c>
      <c r="F345" s="201"/>
      <c r="G345" s="13">
        <v>41121</v>
      </c>
      <c r="H345" s="13">
        <f t="shared" si="112"/>
        <v>40940</v>
      </c>
      <c r="I345" s="13">
        <v>41792</v>
      </c>
      <c r="J345" s="13"/>
      <c r="K345" s="1">
        <f t="shared" si="105"/>
        <v>1890</v>
      </c>
      <c r="L345" s="1">
        <f t="shared" si="106"/>
        <v>181</v>
      </c>
      <c r="M345" s="1">
        <f t="shared" si="107"/>
        <v>671</v>
      </c>
      <c r="N345" s="1"/>
      <c r="O345" s="1" t="s">
        <v>417</v>
      </c>
      <c r="P345" s="1">
        <v>5.16</v>
      </c>
      <c r="Q345" s="1">
        <f t="shared" si="113"/>
        <v>1</v>
      </c>
      <c r="R345" s="1">
        <f t="shared" si="114"/>
        <v>1</v>
      </c>
      <c r="S345" s="1">
        <f t="shared" si="115"/>
        <v>1</v>
      </c>
      <c r="T345" s="1">
        <f t="shared" si="116"/>
        <v>1</v>
      </c>
      <c r="U345" s="1" t="s">
        <v>437</v>
      </c>
      <c r="V345" s="1"/>
      <c r="W345" s="1"/>
      <c r="X345" s="1"/>
      <c r="Y345" s="1"/>
      <c r="Z345" s="1">
        <v>16</v>
      </c>
      <c r="AA345" s="1">
        <v>0</v>
      </c>
      <c r="AB345" s="1"/>
      <c r="AC345" s="1">
        <v>0</v>
      </c>
      <c r="AD345" s="98">
        <v>0</v>
      </c>
      <c r="AE345" s="172">
        <v>60</v>
      </c>
      <c r="AF345" s="1" t="s">
        <v>417</v>
      </c>
      <c r="AG345" s="1">
        <v>2</v>
      </c>
      <c r="AH345" s="1">
        <v>0.35</v>
      </c>
      <c r="AI345" s="1">
        <v>2.5</v>
      </c>
      <c r="AJ345" s="1">
        <v>0.35</v>
      </c>
      <c r="AK345" s="1"/>
      <c r="AL345" s="1"/>
      <c r="AM345" s="1">
        <v>0</v>
      </c>
    </row>
    <row r="346" spans="1:39" x14ac:dyDescent="0.25">
      <c r="A346" s="192" t="s">
        <v>75</v>
      </c>
      <c r="B346" s="1">
        <v>2</v>
      </c>
      <c r="C346" s="1" t="s">
        <v>418</v>
      </c>
      <c r="D346" s="13">
        <v>39231</v>
      </c>
      <c r="E346" s="174">
        <f t="shared" si="110"/>
        <v>2561</v>
      </c>
      <c r="F346" s="201"/>
      <c r="G346" s="13">
        <v>41324</v>
      </c>
      <c r="H346" s="13">
        <f t="shared" si="112"/>
        <v>41121</v>
      </c>
      <c r="I346" s="13">
        <v>41792</v>
      </c>
      <c r="J346" s="13"/>
      <c r="K346" s="1">
        <f t="shared" ref="K346:K377" si="117">G346-D346</f>
        <v>2093</v>
      </c>
      <c r="L346" s="1">
        <f t="shared" ref="L346:L377" si="118">G346-H346</f>
        <v>203</v>
      </c>
      <c r="M346" s="1">
        <f t="shared" ref="M346:M377" si="119">I346-G346</f>
        <v>468</v>
      </c>
      <c r="N346" s="1"/>
      <c r="O346" s="1" t="s">
        <v>417</v>
      </c>
      <c r="P346" s="1">
        <v>5.14</v>
      </c>
      <c r="Q346" s="1"/>
      <c r="R346" s="1">
        <f t="shared" si="114"/>
        <v>1</v>
      </c>
      <c r="S346" s="1">
        <f t="shared" si="115"/>
        <v>1</v>
      </c>
      <c r="T346" s="1">
        <f t="shared" si="116"/>
        <v>1</v>
      </c>
      <c r="U346" s="1"/>
      <c r="V346" s="1"/>
      <c r="W346" s="1"/>
      <c r="X346" s="1"/>
      <c r="Y346" s="1"/>
      <c r="Z346" s="1">
        <v>28</v>
      </c>
      <c r="AA346" s="1">
        <v>1</v>
      </c>
      <c r="AB346" s="1"/>
      <c r="AC346" s="1">
        <v>0</v>
      </c>
      <c r="AD346" s="98">
        <v>0</v>
      </c>
      <c r="AE346" s="172">
        <v>60</v>
      </c>
      <c r="AF346" s="1" t="s">
        <v>417</v>
      </c>
      <c r="AG346" s="1">
        <v>2</v>
      </c>
      <c r="AH346" s="1">
        <v>0.35</v>
      </c>
      <c r="AI346" s="1">
        <v>2.5</v>
      </c>
      <c r="AJ346" s="1">
        <v>0.35</v>
      </c>
      <c r="AK346" s="1"/>
      <c r="AL346" s="1"/>
      <c r="AM346" s="1">
        <v>0</v>
      </c>
    </row>
    <row r="347" spans="1:39" x14ac:dyDescent="0.25">
      <c r="A347" s="192" t="s">
        <v>75</v>
      </c>
      <c r="B347" s="1">
        <v>2</v>
      </c>
      <c r="C347" s="1" t="s">
        <v>418</v>
      </c>
      <c r="D347" s="13">
        <v>39231</v>
      </c>
      <c r="E347" s="174">
        <f t="shared" si="110"/>
        <v>2561</v>
      </c>
      <c r="F347" s="201"/>
      <c r="G347" s="13">
        <v>41422</v>
      </c>
      <c r="H347" s="13">
        <f t="shared" si="112"/>
        <v>41324</v>
      </c>
      <c r="I347" s="13">
        <v>41792</v>
      </c>
      <c r="J347" s="13"/>
      <c r="K347" s="1">
        <f t="shared" si="117"/>
        <v>2191</v>
      </c>
      <c r="L347" s="1">
        <f t="shared" si="118"/>
        <v>98</v>
      </c>
      <c r="M347" s="1">
        <f t="shared" si="119"/>
        <v>370</v>
      </c>
      <c r="N347" s="1"/>
      <c r="O347" s="1" t="s">
        <v>417</v>
      </c>
      <c r="P347" s="1">
        <v>5.14</v>
      </c>
      <c r="Q347" s="1"/>
      <c r="R347" s="1">
        <f t="shared" si="114"/>
        <v>1</v>
      </c>
      <c r="S347" s="1">
        <f t="shared" si="115"/>
        <v>1</v>
      </c>
      <c r="T347" s="1">
        <f t="shared" si="116"/>
        <v>1</v>
      </c>
      <c r="U347" s="1"/>
      <c r="V347" s="1"/>
      <c r="W347" s="1"/>
      <c r="X347" s="1"/>
      <c r="Y347" s="1"/>
      <c r="Z347" s="1">
        <v>24</v>
      </c>
      <c r="AA347" s="1">
        <v>0</v>
      </c>
      <c r="AB347" s="1"/>
      <c r="AC347" s="1">
        <v>0</v>
      </c>
      <c r="AD347" s="98">
        <v>0</v>
      </c>
      <c r="AE347" s="172">
        <v>60</v>
      </c>
      <c r="AF347" s="1" t="s">
        <v>417</v>
      </c>
      <c r="AG347" s="1">
        <v>2</v>
      </c>
      <c r="AH347" s="1">
        <v>0.35</v>
      </c>
      <c r="AI347" s="1">
        <v>2.5</v>
      </c>
      <c r="AJ347" s="1">
        <v>0.35</v>
      </c>
      <c r="AK347" s="1"/>
      <c r="AL347" s="1"/>
      <c r="AM347" s="1">
        <v>0</v>
      </c>
    </row>
    <row r="348" spans="1:39" x14ac:dyDescent="0.25">
      <c r="A348" s="192" t="s">
        <v>75</v>
      </c>
      <c r="B348" s="1">
        <v>2</v>
      </c>
      <c r="C348" s="1" t="s">
        <v>418</v>
      </c>
      <c r="D348" s="13">
        <v>39231</v>
      </c>
      <c r="E348" s="174">
        <f t="shared" si="110"/>
        <v>2561</v>
      </c>
      <c r="F348" s="201"/>
      <c r="G348" s="13">
        <v>41499</v>
      </c>
      <c r="H348" s="13">
        <f t="shared" si="112"/>
        <v>41422</v>
      </c>
      <c r="I348" s="13">
        <v>41792</v>
      </c>
      <c r="J348" s="13"/>
      <c r="K348" s="1">
        <f t="shared" si="117"/>
        <v>2268</v>
      </c>
      <c r="L348" s="1">
        <f t="shared" si="118"/>
        <v>77</v>
      </c>
      <c r="M348" s="1">
        <f t="shared" si="119"/>
        <v>293</v>
      </c>
      <c r="N348" s="1"/>
      <c r="O348" s="1" t="s">
        <v>417</v>
      </c>
      <c r="P348" s="1">
        <v>5.12</v>
      </c>
      <c r="Q348" s="1"/>
      <c r="R348" s="1"/>
      <c r="S348" s="1">
        <f t="shared" si="115"/>
        <v>1</v>
      </c>
      <c r="T348" s="1">
        <f t="shared" si="116"/>
        <v>1</v>
      </c>
      <c r="U348" s="1"/>
      <c r="V348" s="1"/>
      <c r="W348" s="1"/>
      <c r="X348" s="1"/>
      <c r="Y348" s="1"/>
      <c r="Z348" s="1">
        <v>24</v>
      </c>
      <c r="AA348" s="1">
        <v>0</v>
      </c>
      <c r="AB348" s="1"/>
      <c r="AC348" s="1">
        <v>0</v>
      </c>
      <c r="AD348" s="98">
        <v>0</v>
      </c>
      <c r="AE348" s="172">
        <v>60</v>
      </c>
      <c r="AF348" s="1" t="s">
        <v>417</v>
      </c>
      <c r="AG348" s="1">
        <v>2</v>
      </c>
      <c r="AH348" s="1">
        <v>0.35</v>
      </c>
      <c r="AI348" s="1">
        <v>2.5</v>
      </c>
      <c r="AJ348" s="1">
        <v>0.35</v>
      </c>
      <c r="AK348" s="1"/>
      <c r="AL348" s="1"/>
      <c r="AM348" s="1">
        <v>0</v>
      </c>
    </row>
    <row r="349" spans="1:39" x14ac:dyDescent="0.25">
      <c r="A349" s="192" t="s">
        <v>75</v>
      </c>
      <c r="B349" s="1">
        <v>2</v>
      </c>
      <c r="C349" s="1" t="s">
        <v>418</v>
      </c>
      <c r="D349" s="13">
        <v>39231</v>
      </c>
      <c r="E349" s="174">
        <f t="shared" si="110"/>
        <v>2561</v>
      </c>
      <c r="F349" s="201"/>
      <c r="G349" s="13">
        <v>41697</v>
      </c>
      <c r="H349" s="13">
        <f t="shared" si="112"/>
        <v>41499</v>
      </c>
      <c r="I349" s="13">
        <v>41792</v>
      </c>
      <c r="J349" s="13"/>
      <c r="K349" s="1">
        <f t="shared" si="117"/>
        <v>2466</v>
      </c>
      <c r="L349" s="1">
        <f t="shared" si="118"/>
        <v>198</v>
      </c>
      <c r="M349" s="1">
        <f t="shared" si="119"/>
        <v>95</v>
      </c>
      <c r="N349" s="1"/>
      <c r="O349" s="1" t="s">
        <v>417</v>
      </c>
      <c r="P349" s="1">
        <v>5.04</v>
      </c>
      <c r="Q349" s="1"/>
      <c r="R349" s="1"/>
      <c r="S349" s="1"/>
      <c r="T349" s="1">
        <f t="shared" si="116"/>
        <v>1</v>
      </c>
      <c r="U349" s="1"/>
      <c r="V349" s="1"/>
      <c r="W349" s="1"/>
      <c r="X349" s="1"/>
      <c r="Y349" s="1"/>
      <c r="Z349" s="1">
        <v>25</v>
      </c>
      <c r="AA349" s="1">
        <v>2</v>
      </c>
      <c r="AB349" s="1"/>
      <c r="AC349" s="1">
        <v>0</v>
      </c>
      <c r="AD349" s="98">
        <v>0</v>
      </c>
      <c r="AE349" s="172">
        <v>60</v>
      </c>
      <c r="AF349" s="1" t="s">
        <v>417</v>
      </c>
      <c r="AG349" s="1">
        <v>2</v>
      </c>
      <c r="AH349" s="1">
        <v>0.35</v>
      </c>
      <c r="AI349" s="1">
        <v>2.5</v>
      </c>
      <c r="AJ349" s="1">
        <v>0.35</v>
      </c>
      <c r="AK349" s="1"/>
      <c r="AL349" s="1"/>
      <c r="AM349" s="1">
        <v>0</v>
      </c>
    </row>
    <row r="350" spans="1:39" x14ac:dyDescent="0.25">
      <c r="A350" s="192" t="s">
        <v>75</v>
      </c>
      <c r="B350" s="1">
        <v>2</v>
      </c>
      <c r="C350" s="1" t="s">
        <v>418</v>
      </c>
      <c r="D350" s="13">
        <v>39231</v>
      </c>
      <c r="E350" s="174">
        <f t="shared" si="110"/>
        <v>2561</v>
      </c>
      <c r="F350" s="201"/>
      <c r="G350" s="13">
        <v>41750</v>
      </c>
      <c r="H350" s="13">
        <f t="shared" si="112"/>
        <v>41697</v>
      </c>
      <c r="I350" s="13">
        <v>41792</v>
      </c>
      <c r="J350" s="13"/>
      <c r="K350" s="1">
        <f t="shared" si="117"/>
        <v>2519</v>
      </c>
      <c r="L350" s="1">
        <f t="shared" si="118"/>
        <v>53</v>
      </c>
      <c r="M350" s="1">
        <f t="shared" si="119"/>
        <v>42</v>
      </c>
      <c r="N350" s="1"/>
      <c r="O350" s="1" t="s">
        <v>417</v>
      </c>
      <c r="P350" s="1">
        <v>4.97</v>
      </c>
      <c r="Q350" s="1"/>
      <c r="R350" s="1"/>
      <c r="S350" s="1"/>
      <c r="T350" s="1"/>
      <c r="U350" s="1"/>
      <c r="V350" s="1"/>
      <c r="W350" s="1"/>
      <c r="X350" s="1"/>
      <c r="Y350" s="1"/>
      <c r="Z350" s="1">
        <v>20</v>
      </c>
      <c r="AA350" s="1">
        <v>0</v>
      </c>
      <c r="AB350" s="1"/>
      <c r="AC350" s="1">
        <v>0</v>
      </c>
      <c r="AD350" s="98">
        <v>0</v>
      </c>
      <c r="AE350" s="172">
        <v>60</v>
      </c>
      <c r="AF350" s="1" t="s">
        <v>417</v>
      </c>
      <c r="AG350" s="1">
        <v>2</v>
      </c>
      <c r="AH350" s="1">
        <v>0.35</v>
      </c>
      <c r="AI350" s="1">
        <v>2.5</v>
      </c>
      <c r="AJ350" s="1">
        <v>0.35</v>
      </c>
      <c r="AK350" s="1"/>
      <c r="AL350" s="1"/>
      <c r="AM350" s="1">
        <v>0</v>
      </c>
    </row>
    <row r="351" spans="1:39" x14ac:dyDescent="0.25">
      <c r="A351" s="192" t="s">
        <v>75</v>
      </c>
      <c r="B351" s="1">
        <v>2</v>
      </c>
      <c r="C351" s="1" t="s">
        <v>418</v>
      </c>
      <c r="D351" s="13">
        <v>39231</v>
      </c>
      <c r="E351" s="174">
        <f t="shared" si="110"/>
        <v>2561</v>
      </c>
      <c r="F351" s="201"/>
      <c r="G351" s="13">
        <v>41792</v>
      </c>
      <c r="H351" s="13">
        <f t="shared" si="112"/>
        <v>41750</v>
      </c>
      <c r="I351" s="13">
        <v>41792</v>
      </c>
      <c r="J351" s="13"/>
      <c r="K351" s="1">
        <f t="shared" si="117"/>
        <v>2561</v>
      </c>
      <c r="L351" s="1">
        <f t="shared" si="118"/>
        <v>42</v>
      </c>
      <c r="M351" s="1">
        <f t="shared" si="119"/>
        <v>0</v>
      </c>
      <c r="N351" s="1"/>
      <c r="O351" s="1" t="s">
        <v>417</v>
      </c>
      <c r="P351" s="1">
        <v>4.87</v>
      </c>
      <c r="Q351" s="1"/>
      <c r="R351" s="1"/>
      <c r="S351" s="1"/>
      <c r="T351" s="1"/>
      <c r="U351" s="1"/>
      <c r="V351" s="1"/>
      <c r="W351" s="1"/>
      <c r="X351" s="1"/>
      <c r="Y351" s="1"/>
      <c r="Z351" s="1">
        <v>19</v>
      </c>
      <c r="AA351" s="1">
        <v>0</v>
      </c>
      <c r="AB351" s="1"/>
      <c r="AC351" s="1">
        <v>0</v>
      </c>
      <c r="AD351" s="98">
        <v>0</v>
      </c>
      <c r="AE351" s="172">
        <v>60</v>
      </c>
      <c r="AF351" s="1" t="s">
        <v>417</v>
      </c>
      <c r="AG351" s="1">
        <v>2</v>
      </c>
      <c r="AH351" s="1">
        <v>0.35</v>
      </c>
      <c r="AI351" s="1">
        <v>2.5</v>
      </c>
      <c r="AJ351" s="1">
        <v>0.35</v>
      </c>
      <c r="AK351" s="1"/>
      <c r="AL351" s="1"/>
      <c r="AM351" s="1">
        <v>0</v>
      </c>
    </row>
    <row r="352" spans="1:39" x14ac:dyDescent="0.25">
      <c r="A352" s="182" t="s">
        <v>76</v>
      </c>
      <c r="B352" s="1">
        <v>2</v>
      </c>
      <c r="C352" s="1" t="s">
        <v>418</v>
      </c>
      <c r="D352" s="13">
        <v>38790</v>
      </c>
      <c r="E352" s="1">
        <f t="shared" si="110"/>
        <v>2647</v>
      </c>
      <c r="F352" s="1"/>
      <c r="G352" s="13">
        <v>40113</v>
      </c>
      <c r="H352" s="13">
        <v>38790</v>
      </c>
      <c r="I352" s="13">
        <v>41437</v>
      </c>
      <c r="J352" s="13"/>
      <c r="K352" s="1">
        <f t="shared" si="117"/>
        <v>1323</v>
      </c>
      <c r="L352" s="1">
        <f t="shared" si="118"/>
        <v>1323</v>
      </c>
      <c r="M352" s="1">
        <f t="shared" si="119"/>
        <v>1324</v>
      </c>
      <c r="N352" s="1"/>
      <c r="O352" s="1" t="s">
        <v>417</v>
      </c>
      <c r="P352" s="1">
        <v>5.9</v>
      </c>
      <c r="Q352" s="1">
        <v>1</v>
      </c>
      <c r="R352" s="1">
        <v>1</v>
      </c>
      <c r="S352" s="1">
        <v>1</v>
      </c>
      <c r="T352" s="1">
        <v>1</v>
      </c>
      <c r="U352" s="1" t="s">
        <v>437</v>
      </c>
      <c r="V352" s="1"/>
      <c r="W352" s="1"/>
      <c r="X352" s="1"/>
      <c r="Y352" s="1"/>
      <c r="Z352" s="1">
        <v>0</v>
      </c>
      <c r="AA352" s="1">
        <v>0</v>
      </c>
      <c r="AB352" s="1"/>
      <c r="AC352" s="1">
        <v>0</v>
      </c>
      <c r="AD352" s="1">
        <v>0</v>
      </c>
      <c r="AE352" s="1">
        <v>50</v>
      </c>
      <c r="AF352" s="1" t="s">
        <v>417</v>
      </c>
      <c r="AG352" s="1">
        <v>2.5</v>
      </c>
      <c r="AH352" s="1">
        <v>0.5</v>
      </c>
      <c r="AI352" s="1">
        <v>2.5</v>
      </c>
      <c r="AJ352" s="1">
        <v>0.5</v>
      </c>
      <c r="AK352" s="1"/>
      <c r="AL352" s="1"/>
      <c r="AM352" s="1">
        <v>0</v>
      </c>
    </row>
    <row r="353" spans="1:39" x14ac:dyDescent="0.25">
      <c r="A353" s="182" t="s">
        <v>76</v>
      </c>
      <c r="B353" s="1">
        <v>2</v>
      </c>
      <c r="C353" s="1" t="s">
        <v>418</v>
      </c>
      <c r="D353" s="13">
        <v>38790</v>
      </c>
      <c r="E353" s="1">
        <f t="shared" si="110"/>
        <v>2647</v>
      </c>
      <c r="F353" s="1"/>
      <c r="G353" s="13">
        <v>40295</v>
      </c>
      <c r="H353" s="13">
        <f>G352</f>
        <v>40113</v>
      </c>
      <c r="I353" s="13">
        <v>41437</v>
      </c>
      <c r="J353" s="13"/>
      <c r="K353" s="1">
        <f t="shared" si="117"/>
        <v>1505</v>
      </c>
      <c r="L353" s="1">
        <f t="shared" si="118"/>
        <v>182</v>
      </c>
      <c r="M353" s="1">
        <f t="shared" si="119"/>
        <v>1142</v>
      </c>
      <c r="N353" s="1"/>
      <c r="O353" s="1" t="s">
        <v>417</v>
      </c>
      <c r="P353" s="1">
        <v>5.8</v>
      </c>
      <c r="Q353" s="1">
        <f t="shared" si="113"/>
        <v>1</v>
      </c>
      <c r="R353" s="1">
        <f t="shared" si="114"/>
        <v>1</v>
      </c>
      <c r="S353" s="1">
        <f t="shared" si="115"/>
        <v>1</v>
      </c>
      <c r="T353" s="1">
        <f t="shared" si="116"/>
        <v>1</v>
      </c>
      <c r="U353" s="1" t="s">
        <v>437</v>
      </c>
      <c r="V353" s="1"/>
      <c r="W353" s="1"/>
      <c r="X353" s="1"/>
      <c r="Y353" s="1"/>
      <c r="Z353" s="1">
        <v>0</v>
      </c>
      <c r="AA353" s="1">
        <v>0</v>
      </c>
      <c r="AB353" s="1"/>
      <c r="AC353" s="1">
        <v>0</v>
      </c>
      <c r="AD353" s="1">
        <v>0</v>
      </c>
      <c r="AE353" s="1">
        <v>50</v>
      </c>
      <c r="AF353" s="1" t="s">
        <v>417</v>
      </c>
      <c r="AG353" s="1">
        <v>2.5</v>
      </c>
      <c r="AH353" s="1">
        <v>0.5</v>
      </c>
      <c r="AI353" s="1">
        <v>2.5</v>
      </c>
      <c r="AJ353" s="1">
        <v>0.5</v>
      </c>
      <c r="AK353" s="1"/>
      <c r="AL353" s="1"/>
      <c r="AM353" s="1">
        <v>0</v>
      </c>
    </row>
    <row r="354" spans="1:39" x14ac:dyDescent="0.25">
      <c r="A354" s="182" t="s">
        <v>76</v>
      </c>
      <c r="B354" s="1">
        <v>2</v>
      </c>
      <c r="C354" s="1" t="s">
        <v>418</v>
      </c>
      <c r="D354" s="13">
        <v>38790</v>
      </c>
      <c r="E354" s="1">
        <f t="shared" si="110"/>
        <v>2647</v>
      </c>
      <c r="F354" s="1"/>
      <c r="G354" s="13">
        <v>40487</v>
      </c>
      <c r="H354" s="13">
        <f t="shared" ref="H354:H371" si="120">G353</f>
        <v>40295</v>
      </c>
      <c r="I354" s="13">
        <v>41437</v>
      </c>
      <c r="J354" s="13"/>
      <c r="K354" s="1">
        <f t="shared" si="117"/>
        <v>1697</v>
      </c>
      <c r="L354" s="1">
        <f t="shared" si="118"/>
        <v>192</v>
      </c>
      <c r="M354" s="1">
        <f t="shared" si="119"/>
        <v>950</v>
      </c>
      <c r="N354" s="1"/>
      <c r="O354" s="1" t="s">
        <v>417</v>
      </c>
      <c r="P354" s="1">
        <v>5.27</v>
      </c>
      <c r="Q354" s="1">
        <f t="shared" si="113"/>
        <v>1</v>
      </c>
      <c r="R354" s="1">
        <f t="shared" si="114"/>
        <v>1</v>
      </c>
      <c r="S354" s="1">
        <f t="shared" si="115"/>
        <v>1</v>
      </c>
      <c r="T354" s="1">
        <f t="shared" si="116"/>
        <v>1</v>
      </c>
      <c r="U354" s="1" t="s">
        <v>437</v>
      </c>
      <c r="V354" s="1"/>
      <c r="W354" s="1"/>
      <c r="X354" s="1"/>
      <c r="Y354" s="1"/>
      <c r="Z354" s="1">
        <v>0</v>
      </c>
      <c r="AA354" s="1">
        <v>0</v>
      </c>
      <c r="AB354" s="1"/>
      <c r="AC354" s="1">
        <v>1</v>
      </c>
      <c r="AD354" s="1">
        <v>3</v>
      </c>
      <c r="AE354" s="1">
        <v>50</v>
      </c>
      <c r="AF354" s="1" t="s">
        <v>417</v>
      </c>
      <c r="AG354" s="1">
        <v>2.5</v>
      </c>
      <c r="AH354" s="1">
        <v>0.5</v>
      </c>
      <c r="AI354" s="1">
        <v>2.5</v>
      </c>
      <c r="AJ354" s="1">
        <v>0.5</v>
      </c>
      <c r="AK354" s="1"/>
      <c r="AL354" s="1"/>
      <c r="AM354" s="1">
        <v>0</v>
      </c>
    </row>
    <row r="355" spans="1:39" x14ac:dyDescent="0.25">
      <c r="A355" s="182" t="s">
        <v>76</v>
      </c>
      <c r="B355" s="1">
        <v>2</v>
      </c>
      <c r="C355" s="1" t="s">
        <v>418</v>
      </c>
      <c r="D355" s="13">
        <v>38790</v>
      </c>
      <c r="E355" s="1">
        <f t="shared" si="110"/>
        <v>2647</v>
      </c>
      <c r="F355" s="1"/>
      <c r="G355" s="13">
        <v>40494</v>
      </c>
      <c r="H355" s="13">
        <f t="shared" si="120"/>
        <v>40487</v>
      </c>
      <c r="I355" s="13">
        <v>41437</v>
      </c>
      <c r="J355" s="13"/>
      <c r="K355" s="1">
        <f t="shared" si="117"/>
        <v>1704</v>
      </c>
      <c r="L355" s="1">
        <f t="shared" si="118"/>
        <v>7</v>
      </c>
      <c r="M355" s="1">
        <f t="shared" si="119"/>
        <v>943</v>
      </c>
      <c r="N355" s="1"/>
      <c r="O355" s="1" t="s">
        <v>417</v>
      </c>
      <c r="P355" s="1">
        <v>5.24</v>
      </c>
      <c r="Q355" s="1">
        <f t="shared" si="113"/>
        <v>1</v>
      </c>
      <c r="R355" s="1">
        <f t="shared" si="114"/>
        <v>1</v>
      </c>
      <c r="S355" s="1">
        <f t="shared" si="115"/>
        <v>1</v>
      </c>
      <c r="T355" s="1">
        <f t="shared" si="116"/>
        <v>1</v>
      </c>
      <c r="U355" s="1" t="s">
        <v>437</v>
      </c>
      <c r="V355" s="1"/>
      <c r="W355" s="1"/>
      <c r="X355" s="1"/>
      <c r="Y355" s="1"/>
      <c r="Z355" s="1">
        <v>0</v>
      </c>
      <c r="AA355" s="1">
        <v>0</v>
      </c>
      <c r="AB355" s="1"/>
      <c r="AC355" s="1">
        <v>0</v>
      </c>
      <c r="AD355" s="1">
        <v>0</v>
      </c>
      <c r="AE355" s="1">
        <v>50</v>
      </c>
      <c r="AF355" s="1" t="s">
        <v>417</v>
      </c>
      <c r="AG355" s="1">
        <v>2.5</v>
      </c>
      <c r="AH355" s="1">
        <v>0.5</v>
      </c>
      <c r="AI355" s="1">
        <v>2.5</v>
      </c>
      <c r="AJ355" s="1">
        <v>0.5</v>
      </c>
      <c r="AK355" s="1"/>
      <c r="AL355" s="1"/>
      <c r="AM355" s="1">
        <v>0</v>
      </c>
    </row>
    <row r="356" spans="1:39" x14ac:dyDescent="0.25">
      <c r="A356" s="182" t="s">
        <v>76</v>
      </c>
      <c r="B356" s="1">
        <v>2</v>
      </c>
      <c r="C356" s="1" t="s">
        <v>418</v>
      </c>
      <c r="D356" s="13">
        <v>38790</v>
      </c>
      <c r="E356" s="174">
        <f t="shared" si="110"/>
        <v>2647</v>
      </c>
      <c r="F356" s="201"/>
      <c r="G356" s="13">
        <v>40673</v>
      </c>
      <c r="H356" s="13">
        <f t="shared" si="120"/>
        <v>40494</v>
      </c>
      <c r="I356" s="13">
        <v>41437</v>
      </c>
      <c r="J356" s="13"/>
      <c r="K356" s="1">
        <f t="shared" si="117"/>
        <v>1883</v>
      </c>
      <c r="L356" s="1">
        <f t="shared" si="118"/>
        <v>179</v>
      </c>
      <c r="M356" s="1">
        <f t="shared" si="119"/>
        <v>764</v>
      </c>
      <c r="N356" s="1"/>
      <c r="O356" s="1" t="s">
        <v>417</v>
      </c>
      <c r="P356" s="1">
        <v>5.17</v>
      </c>
      <c r="Q356" s="1">
        <f t="shared" si="113"/>
        <v>1</v>
      </c>
      <c r="R356" s="1">
        <f t="shared" si="114"/>
        <v>1</v>
      </c>
      <c r="S356" s="1">
        <f t="shared" si="115"/>
        <v>1</v>
      </c>
      <c r="T356" s="1">
        <f t="shared" si="116"/>
        <v>1</v>
      </c>
      <c r="U356" s="1" t="s">
        <v>437</v>
      </c>
      <c r="V356" s="1"/>
      <c r="W356" s="1"/>
      <c r="X356" s="1"/>
      <c r="Y356" s="1"/>
      <c r="Z356" s="1">
        <v>0</v>
      </c>
      <c r="AA356" s="1">
        <v>0</v>
      </c>
      <c r="AB356" s="1"/>
      <c r="AC356" s="1">
        <v>0</v>
      </c>
      <c r="AD356" s="98">
        <v>0</v>
      </c>
      <c r="AE356" s="172">
        <v>50</v>
      </c>
      <c r="AF356" s="1" t="s">
        <v>417</v>
      </c>
      <c r="AG356" s="1">
        <v>2.5</v>
      </c>
      <c r="AH356" s="1">
        <v>0.5</v>
      </c>
      <c r="AI356" s="1">
        <v>2.5</v>
      </c>
      <c r="AJ356" s="1">
        <v>0.5</v>
      </c>
      <c r="AK356" s="1"/>
      <c r="AL356" s="1"/>
      <c r="AM356" s="1">
        <v>0</v>
      </c>
    </row>
    <row r="357" spans="1:39" x14ac:dyDescent="0.25">
      <c r="A357" s="182" t="s">
        <v>76</v>
      </c>
      <c r="B357" s="1">
        <v>2</v>
      </c>
      <c r="C357" s="1" t="s">
        <v>418</v>
      </c>
      <c r="D357" s="13">
        <v>38790</v>
      </c>
      <c r="E357" s="1">
        <f t="shared" si="110"/>
        <v>2647</v>
      </c>
      <c r="F357" s="1"/>
      <c r="G357" s="13">
        <v>40710</v>
      </c>
      <c r="H357" s="13">
        <f t="shared" si="120"/>
        <v>40673</v>
      </c>
      <c r="I357" s="13">
        <v>41437</v>
      </c>
      <c r="J357" s="13"/>
      <c r="K357" s="1">
        <f t="shared" si="117"/>
        <v>1920</v>
      </c>
      <c r="L357" s="1">
        <f t="shared" si="118"/>
        <v>37</v>
      </c>
      <c r="M357" s="1">
        <f t="shared" si="119"/>
        <v>727</v>
      </c>
      <c r="N357" s="1"/>
      <c r="O357" s="1" t="s">
        <v>417</v>
      </c>
      <c r="P357" s="1">
        <v>5.17</v>
      </c>
      <c r="Q357" s="1">
        <f t="shared" si="113"/>
        <v>1</v>
      </c>
      <c r="R357" s="1">
        <f t="shared" si="114"/>
        <v>1</v>
      </c>
      <c r="S357" s="1">
        <f t="shared" si="115"/>
        <v>1</v>
      </c>
      <c r="T357" s="1">
        <f t="shared" si="116"/>
        <v>1</v>
      </c>
      <c r="U357" s="1" t="s">
        <v>437</v>
      </c>
      <c r="V357" s="1"/>
      <c r="W357" s="1"/>
      <c r="X357" s="1"/>
      <c r="Y357" s="1"/>
      <c r="Z357" s="1">
        <v>0</v>
      </c>
      <c r="AA357" s="1">
        <v>0</v>
      </c>
      <c r="AB357" s="1"/>
      <c r="AC357" s="1">
        <v>5</v>
      </c>
      <c r="AD357" s="1">
        <v>13</v>
      </c>
      <c r="AE357" s="1">
        <v>50</v>
      </c>
      <c r="AF357" s="1" t="s">
        <v>417</v>
      </c>
      <c r="AG357" s="1">
        <v>2.5</v>
      </c>
      <c r="AH357" s="1">
        <v>0.5</v>
      </c>
      <c r="AI357" s="1">
        <v>2.5</v>
      </c>
      <c r="AJ357" s="1">
        <v>0.5</v>
      </c>
      <c r="AK357" s="1"/>
      <c r="AL357" s="1"/>
      <c r="AM357" s="1">
        <v>0</v>
      </c>
    </row>
    <row r="358" spans="1:39" x14ac:dyDescent="0.25">
      <c r="A358" s="182" t="s">
        <v>76</v>
      </c>
      <c r="B358" s="1">
        <v>2</v>
      </c>
      <c r="C358" s="1" t="s">
        <v>418</v>
      </c>
      <c r="D358" s="13">
        <v>38790</v>
      </c>
      <c r="E358" s="174">
        <f t="shared" si="110"/>
        <v>2647</v>
      </c>
      <c r="F358" s="201"/>
      <c r="G358" s="13">
        <v>40813</v>
      </c>
      <c r="H358" s="13">
        <f t="shared" si="120"/>
        <v>40710</v>
      </c>
      <c r="I358" s="13">
        <v>41437</v>
      </c>
      <c r="J358" s="13"/>
      <c r="K358" s="1">
        <f t="shared" si="117"/>
        <v>2023</v>
      </c>
      <c r="L358" s="1">
        <f t="shared" si="118"/>
        <v>103</v>
      </c>
      <c r="M358" s="1">
        <f t="shared" si="119"/>
        <v>624</v>
      </c>
      <c r="N358" s="1"/>
      <c r="O358" s="1" t="s">
        <v>417</v>
      </c>
      <c r="P358" s="1">
        <v>5.15</v>
      </c>
      <c r="Q358" s="1">
        <f t="shared" si="113"/>
        <v>1</v>
      </c>
      <c r="R358" s="1">
        <f t="shared" si="114"/>
        <v>1</v>
      </c>
      <c r="S358" s="1">
        <f t="shared" si="115"/>
        <v>1</v>
      </c>
      <c r="T358" s="1">
        <f t="shared" si="116"/>
        <v>1</v>
      </c>
      <c r="U358" s="1" t="s">
        <v>437</v>
      </c>
      <c r="V358" s="1"/>
      <c r="W358" s="1"/>
      <c r="X358" s="1"/>
      <c r="Y358" s="1"/>
      <c r="Z358" s="1">
        <v>5</v>
      </c>
      <c r="AA358" s="1">
        <v>0</v>
      </c>
      <c r="AB358" s="1"/>
      <c r="AC358" s="1">
        <v>0</v>
      </c>
      <c r="AD358" s="98">
        <v>2</v>
      </c>
      <c r="AE358" s="172">
        <v>50</v>
      </c>
      <c r="AF358" s="1" t="s">
        <v>417</v>
      </c>
      <c r="AG358" s="1">
        <v>2.5</v>
      </c>
      <c r="AH358" s="1">
        <v>0.5</v>
      </c>
      <c r="AI358" s="1">
        <v>2.5</v>
      </c>
      <c r="AJ358" s="1">
        <v>0.5</v>
      </c>
      <c r="AK358" s="1"/>
      <c r="AL358" s="1"/>
      <c r="AM358" s="1">
        <v>0</v>
      </c>
    </row>
    <row r="359" spans="1:39" x14ac:dyDescent="0.25">
      <c r="A359" s="182" t="s">
        <v>76</v>
      </c>
      <c r="B359" s="1">
        <v>2</v>
      </c>
      <c r="C359" s="1" t="s">
        <v>418</v>
      </c>
      <c r="D359" s="13">
        <v>38790</v>
      </c>
      <c r="E359" s="174">
        <f t="shared" si="110"/>
        <v>2647</v>
      </c>
      <c r="F359" s="201"/>
      <c r="G359" s="13">
        <v>40897</v>
      </c>
      <c r="H359" s="13">
        <f t="shared" si="120"/>
        <v>40813</v>
      </c>
      <c r="I359" s="13">
        <v>41437</v>
      </c>
      <c r="J359" s="13"/>
      <c r="K359" s="1">
        <f t="shared" si="117"/>
        <v>2107</v>
      </c>
      <c r="L359" s="1">
        <f t="shared" si="118"/>
        <v>84</v>
      </c>
      <c r="M359" s="1">
        <f t="shared" si="119"/>
        <v>540</v>
      </c>
      <c r="N359" s="1"/>
      <c r="O359" s="1" t="s">
        <v>417</v>
      </c>
      <c r="P359" s="1">
        <v>5.15</v>
      </c>
      <c r="Q359" s="1">
        <f t="shared" si="113"/>
        <v>1</v>
      </c>
      <c r="R359" s="1">
        <f t="shared" si="114"/>
        <v>1</v>
      </c>
      <c r="S359" s="1">
        <f t="shared" si="115"/>
        <v>1</v>
      </c>
      <c r="T359" s="1">
        <f t="shared" si="116"/>
        <v>1</v>
      </c>
      <c r="U359" s="1" t="s">
        <v>437</v>
      </c>
      <c r="V359" s="1"/>
      <c r="W359" s="1"/>
      <c r="X359" s="1"/>
      <c r="Y359" s="1"/>
      <c r="Z359" s="1">
        <v>1</v>
      </c>
      <c r="AA359" s="1">
        <v>0</v>
      </c>
      <c r="AB359" s="1"/>
      <c r="AC359" s="1">
        <v>0</v>
      </c>
      <c r="AD359" s="98">
        <v>0</v>
      </c>
      <c r="AE359" s="172">
        <v>50</v>
      </c>
      <c r="AF359" s="1" t="s">
        <v>417</v>
      </c>
      <c r="AG359" s="1">
        <v>2.5</v>
      </c>
      <c r="AH359" s="1">
        <v>0.5</v>
      </c>
      <c r="AI359" s="1">
        <v>2.5</v>
      </c>
      <c r="AJ359" s="1">
        <v>0.5</v>
      </c>
      <c r="AK359" s="1"/>
      <c r="AL359" s="1"/>
      <c r="AM359" s="1">
        <v>0</v>
      </c>
    </row>
    <row r="360" spans="1:39" x14ac:dyDescent="0.25">
      <c r="A360" s="182" t="s">
        <v>76</v>
      </c>
      <c r="B360" s="1">
        <v>2</v>
      </c>
      <c r="C360" s="1" t="s">
        <v>418</v>
      </c>
      <c r="D360" s="13">
        <v>38790</v>
      </c>
      <c r="E360" s="174">
        <f t="shared" si="110"/>
        <v>2647</v>
      </c>
      <c r="F360" s="201"/>
      <c r="G360" s="13">
        <v>41023</v>
      </c>
      <c r="H360" s="13">
        <f t="shared" si="120"/>
        <v>40897</v>
      </c>
      <c r="I360" s="13">
        <v>41437</v>
      </c>
      <c r="J360" s="13"/>
      <c r="K360" s="1">
        <f t="shared" si="117"/>
        <v>2233</v>
      </c>
      <c r="L360" s="1">
        <f t="shared" si="118"/>
        <v>126</v>
      </c>
      <c r="M360" s="1">
        <f t="shared" si="119"/>
        <v>414</v>
      </c>
      <c r="N360" s="1"/>
      <c r="O360" s="1" t="s">
        <v>417</v>
      </c>
      <c r="P360" s="1">
        <v>5.14</v>
      </c>
      <c r="Q360" s="1"/>
      <c r="R360" s="1">
        <f t="shared" si="114"/>
        <v>1</v>
      </c>
      <c r="S360" s="1">
        <f t="shared" si="115"/>
        <v>1</v>
      </c>
      <c r="T360" s="1">
        <f t="shared" si="116"/>
        <v>1</v>
      </c>
      <c r="U360" s="1"/>
      <c r="V360" s="1"/>
      <c r="W360" s="1"/>
      <c r="X360" s="1"/>
      <c r="Y360" s="1"/>
      <c r="Z360" s="1">
        <v>42</v>
      </c>
      <c r="AA360" s="1">
        <v>0</v>
      </c>
      <c r="AB360" s="1"/>
      <c r="AC360" s="1">
        <v>0</v>
      </c>
      <c r="AD360" s="98">
        <v>0</v>
      </c>
      <c r="AE360" s="172">
        <v>50</v>
      </c>
      <c r="AF360" s="1" t="s">
        <v>417</v>
      </c>
      <c r="AG360" s="1">
        <v>2.5</v>
      </c>
      <c r="AH360" s="1">
        <v>0.5</v>
      </c>
      <c r="AI360" s="1">
        <v>2.5</v>
      </c>
      <c r="AJ360" s="1">
        <v>0.5</v>
      </c>
      <c r="AK360" s="1"/>
      <c r="AL360" s="1"/>
      <c r="AM360" s="1">
        <v>0</v>
      </c>
    </row>
    <row r="361" spans="1:39" x14ac:dyDescent="0.25">
      <c r="A361" s="182" t="s">
        <v>76</v>
      </c>
      <c r="B361" s="1">
        <v>2</v>
      </c>
      <c r="C361" s="1" t="s">
        <v>418</v>
      </c>
      <c r="D361" s="13">
        <v>38790</v>
      </c>
      <c r="E361" s="1">
        <f t="shared" si="110"/>
        <v>2647</v>
      </c>
      <c r="F361" s="1"/>
      <c r="G361" s="13">
        <v>41074</v>
      </c>
      <c r="H361" s="13">
        <f t="shared" si="120"/>
        <v>41023</v>
      </c>
      <c r="I361" s="13">
        <v>41437</v>
      </c>
      <c r="J361" s="13"/>
      <c r="K361" s="1">
        <f t="shared" si="117"/>
        <v>2284</v>
      </c>
      <c r="L361" s="1">
        <f t="shared" si="118"/>
        <v>51</v>
      </c>
      <c r="M361" s="1">
        <f t="shared" si="119"/>
        <v>363</v>
      </c>
      <c r="N361" s="1"/>
      <c r="O361" s="1" t="s">
        <v>417</v>
      </c>
      <c r="P361" s="1">
        <v>5.14</v>
      </c>
      <c r="Q361" s="1"/>
      <c r="R361" s="1">
        <f t="shared" si="114"/>
        <v>1</v>
      </c>
      <c r="S361" s="1">
        <f t="shared" si="115"/>
        <v>1</v>
      </c>
      <c r="T361" s="1">
        <f t="shared" si="116"/>
        <v>1</v>
      </c>
      <c r="U361" s="1"/>
      <c r="V361" s="1"/>
      <c r="W361" s="1"/>
      <c r="X361" s="1"/>
      <c r="Y361" s="1"/>
      <c r="Z361" s="1">
        <v>0</v>
      </c>
      <c r="AA361" s="1">
        <v>0</v>
      </c>
      <c r="AB361" s="1"/>
      <c r="AC361" s="1">
        <v>2</v>
      </c>
      <c r="AD361" s="1">
        <v>4</v>
      </c>
      <c r="AE361" s="1">
        <v>50</v>
      </c>
      <c r="AF361" s="1" t="s">
        <v>417</v>
      </c>
      <c r="AG361" s="1">
        <v>2.5</v>
      </c>
      <c r="AH361" s="1">
        <v>0.5</v>
      </c>
      <c r="AI361" s="1">
        <v>2.5</v>
      </c>
      <c r="AJ361" s="1">
        <v>0.5</v>
      </c>
      <c r="AK361" s="1"/>
      <c r="AL361" s="1"/>
      <c r="AM361" s="1">
        <v>0</v>
      </c>
    </row>
    <row r="362" spans="1:39" x14ac:dyDescent="0.25">
      <c r="A362" s="182" t="s">
        <v>76</v>
      </c>
      <c r="B362" s="1">
        <v>2</v>
      </c>
      <c r="C362" s="1" t="s">
        <v>418</v>
      </c>
      <c r="D362" s="13">
        <v>38790</v>
      </c>
      <c r="E362" s="174">
        <f t="shared" si="110"/>
        <v>2647</v>
      </c>
      <c r="F362" s="201"/>
      <c r="G362" s="13">
        <v>41086</v>
      </c>
      <c r="H362" s="13">
        <f t="shared" si="120"/>
        <v>41074</v>
      </c>
      <c r="I362" s="13">
        <v>41437</v>
      </c>
      <c r="J362" s="13"/>
      <c r="K362" s="1">
        <f t="shared" si="117"/>
        <v>2296</v>
      </c>
      <c r="L362" s="1">
        <f t="shared" si="118"/>
        <v>12</v>
      </c>
      <c r="M362" s="1">
        <f t="shared" si="119"/>
        <v>351</v>
      </c>
      <c r="N362" s="1"/>
      <c r="O362" s="1" t="s">
        <v>417</v>
      </c>
      <c r="P362" s="1">
        <v>5.14</v>
      </c>
      <c r="Q362" s="1"/>
      <c r="R362" s="1"/>
      <c r="S362" s="1">
        <f t="shared" si="115"/>
        <v>1</v>
      </c>
      <c r="T362" s="1">
        <f t="shared" si="116"/>
        <v>1</v>
      </c>
      <c r="U362" s="1"/>
      <c r="V362" s="1"/>
      <c r="W362" s="1"/>
      <c r="X362" s="1"/>
      <c r="Y362" s="1"/>
      <c r="Z362" s="1">
        <v>65</v>
      </c>
      <c r="AA362" s="1">
        <v>0</v>
      </c>
      <c r="AB362" s="1"/>
      <c r="AC362" s="1">
        <v>0</v>
      </c>
      <c r="AD362" s="98">
        <v>0</v>
      </c>
      <c r="AE362" s="172">
        <v>50</v>
      </c>
      <c r="AF362" s="1" t="s">
        <v>417</v>
      </c>
      <c r="AG362" s="1">
        <v>2.5</v>
      </c>
      <c r="AH362" s="1">
        <v>0.5</v>
      </c>
      <c r="AI362" s="1">
        <v>2.5</v>
      </c>
      <c r="AJ362" s="1">
        <v>0.5</v>
      </c>
      <c r="AK362" s="1"/>
      <c r="AL362" s="1"/>
      <c r="AM362" s="1">
        <v>0</v>
      </c>
    </row>
    <row r="363" spans="1:39" x14ac:dyDescent="0.25">
      <c r="A363" s="182" t="s">
        <v>76</v>
      </c>
      <c r="B363" s="1">
        <v>2</v>
      </c>
      <c r="C363" s="1" t="s">
        <v>418</v>
      </c>
      <c r="D363" s="13">
        <v>38790</v>
      </c>
      <c r="E363" s="174">
        <f t="shared" si="110"/>
        <v>2647</v>
      </c>
      <c r="F363" s="201"/>
      <c r="G363" s="13">
        <v>41163</v>
      </c>
      <c r="H363" s="13">
        <f t="shared" si="120"/>
        <v>41086</v>
      </c>
      <c r="I363" s="13">
        <v>41437</v>
      </c>
      <c r="J363" s="13"/>
      <c r="K363" s="1">
        <f t="shared" si="117"/>
        <v>2373</v>
      </c>
      <c r="L363" s="1">
        <f t="shared" si="118"/>
        <v>77</v>
      </c>
      <c r="M363" s="1">
        <f t="shared" si="119"/>
        <v>274</v>
      </c>
      <c r="N363" s="1"/>
      <c r="O363" s="1" t="s">
        <v>417</v>
      </c>
      <c r="P363" s="1">
        <v>5.13</v>
      </c>
      <c r="Q363" s="1"/>
      <c r="R363" s="1"/>
      <c r="S363" s="1">
        <f t="shared" si="115"/>
        <v>1</v>
      </c>
      <c r="T363" s="1">
        <f t="shared" si="116"/>
        <v>1</v>
      </c>
      <c r="U363" s="1"/>
      <c r="V363" s="1"/>
      <c r="W363" s="1"/>
      <c r="X363" s="1"/>
      <c r="Y363" s="1"/>
      <c r="Z363" s="1">
        <v>50</v>
      </c>
      <c r="AA363" s="1">
        <v>0</v>
      </c>
      <c r="AB363" s="1"/>
      <c r="AC363" s="1">
        <v>0</v>
      </c>
      <c r="AD363" s="98">
        <v>0</v>
      </c>
      <c r="AE363" s="172">
        <v>50</v>
      </c>
      <c r="AF363" s="1" t="s">
        <v>417</v>
      </c>
      <c r="AG363" s="1">
        <v>2.5</v>
      </c>
      <c r="AH363" s="1">
        <v>0.5</v>
      </c>
      <c r="AI363" s="1">
        <v>2.5</v>
      </c>
      <c r="AJ363" s="1">
        <v>0.5</v>
      </c>
      <c r="AK363" s="1"/>
      <c r="AL363" s="1"/>
      <c r="AM363" s="1">
        <v>0</v>
      </c>
    </row>
    <row r="364" spans="1:39" x14ac:dyDescent="0.25">
      <c r="A364" s="182" t="s">
        <v>76</v>
      </c>
      <c r="B364" s="1">
        <v>2</v>
      </c>
      <c r="C364" s="1" t="s">
        <v>418</v>
      </c>
      <c r="D364" s="13">
        <v>38790</v>
      </c>
      <c r="E364" s="174">
        <f t="shared" ref="E364:E395" si="121">I364-D364</f>
        <v>2647</v>
      </c>
      <c r="F364" s="201"/>
      <c r="G364" s="13">
        <v>41222</v>
      </c>
      <c r="H364" s="13">
        <f t="shared" si="120"/>
        <v>41163</v>
      </c>
      <c r="I364" s="13">
        <v>41437</v>
      </c>
      <c r="J364" s="13"/>
      <c r="K364" s="1">
        <f t="shared" si="117"/>
        <v>2432</v>
      </c>
      <c r="L364" s="1">
        <f t="shared" si="118"/>
        <v>59</v>
      </c>
      <c r="M364" s="1">
        <f t="shared" si="119"/>
        <v>215</v>
      </c>
      <c r="N364" s="1"/>
      <c r="O364" s="1" t="s">
        <v>417</v>
      </c>
      <c r="P364" s="1">
        <v>5.0999999999999996</v>
      </c>
      <c r="Q364" s="1"/>
      <c r="R364" s="1"/>
      <c r="S364" s="1">
        <f t="shared" si="115"/>
        <v>1</v>
      </c>
      <c r="T364" s="1">
        <f t="shared" si="116"/>
        <v>1</v>
      </c>
      <c r="U364" s="1"/>
      <c r="V364" s="1"/>
      <c r="W364" s="1"/>
      <c r="X364" s="1"/>
      <c r="Y364" s="1"/>
      <c r="Z364" s="1">
        <v>59</v>
      </c>
      <c r="AA364" s="1">
        <v>0</v>
      </c>
      <c r="AB364" s="1"/>
      <c r="AC364" s="1">
        <v>1</v>
      </c>
      <c r="AD364" s="98">
        <v>2</v>
      </c>
      <c r="AE364" s="172">
        <v>50</v>
      </c>
      <c r="AF364" s="1" t="s">
        <v>417</v>
      </c>
      <c r="AG364" s="1">
        <v>2.5</v>
      </c>
      <c r="AH364" s="1">
        <v>0.5</v>
      </c>
      <c r="AI364" s="1">
        <v>2.5</v>
      </c>
      <c r="AJ364" s="1">
        <v>0.5</v>
      </c>
      <c r="AK364" s="1"/>
      <c r="AL364" s="1"/>
      <c r="AM364" s="1">
        <v>0</v>
      </c>
    </row>
    <row r="365" spans="1:39" x14ac:dyDescent="0.25">
      <c r="A365" s="182" t="s">
        <v>76</v>
      </c>
      <c r="B365" s="1">
        <v>2</v>
      </c>
      <c r="C365" s="1" t="s">
        <v>418</v>
      </c>
      <c r="D365" s="13">
        <v>38790</v>
      </c>
      <c r="E365" s="174">
        <f t="shared" si="121"/>
        <v>2647</v>
      </c>
      <c r="F365" s="201"/>
      <c r="G365" s="13">
        <v>41268</v>
      </c>
      <c r="H365" s="13">
        <f t="shared" si="120"/>
        <v>41222</v>
      </c>
      <c r="I365" s="13">
        <v>41437</v>
      </c>
      <c r="J365" s="13"/>
      <c r="K365" s="1">
        <f t="shared" si="117"/>
        <v>2478</v>
      </c>
      <c r="L365" s="1">
        <f t="shared" si="118"/>
        <v>46</v>
      </c>
      <c r="M365" s="1">
        <f t="shared" si="119"/>
        <v>169</v>
      </c>
      <c r="N365" s="1"/>
      <c r="O365" s="1" t="s">
        <v>417</v>
      </c>
      <c r="P365" s="1">
        <v>5.0999999999999996</v>
      </c>
      <c r="Q365" s="1"/>
      <c r="R365" s="1"/>
      <c r="S365" s="1"/>
      <c r="T365" s="1">
        <f t="shared" si="116"/>
        <v>1</v>
      </c>
      <c r="U365" s="1"/>
      <c r="V365" s="1"/>
      <c r="W365" s="1"/>
      <c r="X365" s="1"/>
      <c r="Y365" s="1"/>
      <c r="Z365" s="1">
        <v>59</v>
      </c>
      <c r="AA365" s="1">
        <v>0</v>
      </c>
      <c r="AB365" s="1"/>
      <c r="AC365" s="1">
        <v>2</v>
      </c>
      <c r="AD365" s="98">
        <v>4</v>
      </c>
      <c r="AE365" s="172">
        <v>50</v>
      </c>
      <c r="AF365" s="1" t="s">
        <v>417</v>
      </c>
      <c r="AG365" s="1">
        <v>2.5</v>
      </c>
      <c r="AH365" s="1">
        <v>0.5</v>
      </c>
      <c r="AI365" s="1">
        <v>2.5</v>
      </c>
      <c r="AJ365" s="1">
        <v>0.5</v>
      </c>
      <c r="AK365" s="1"/>
      <c r="AL365" s="1"/>
      <c r="AM365" s="1">
        <v>0</v>
      </c>
    </row>
    <row r="366" spans="1:39" x14ac:dyDescent="0.25">
      <c r="A366" s="182" t="s">
        <v>76</v>
      </c>
      <c r="B366" s="1">
        <v>2</v>
      </c>
      <c r="C366" s="1" t="s">
        <v>418</v>
      </c>
      <c r="D366" s="13">
        <v>38790</v>
      </c>
      <c r="E366" s="174">
        <f t="shared" si="121"/>
        <v>2647</v>
      </c>
      <c r="F366" s="201"/>
      <c r="G366" s="13">
        <v>41272</v>
      </c>
      <c r="H366" s="13">
        <f t="shared" si="120"/>
        <v>41268</v>
      </c>
      <c r="I366" s="13">
        <v>41437</v>
      </c>
      <c r="J366" s="13"/>
      <c r="K366" s="1">
        <f t="shared" si="117"/>
        <v>2482</v>
      </c>
      <c r="L366" s="1">
        <f t="shared" si="118"/>
        <v>4</v>
      </c>
      <c r="M366" s="1">
        <f t="shared" si="119"/>
        <v>165</v>
      </c>
      <c r="N366" s="1"/>
      <c r="O366" s="1" t="s">
        <v>417</v>
      </c>
      <c r="P366" s="1">
        <v>5.08</v>
      </c>
      <c r="Q366" s="1"/>
      <c r="R366" s="1"/>
      <c r="S366" s="1"/>
      <c r="T366" s="1">
        <f t="shared" si="116"/>
        <v>1</v>
      </c>
      <c r="U366" s="1"/>
      <c r="V366" s="1"/>
      <c r="W366" s="1"/>
      <c r="X366" s="1"/>
      <c r="Y366" s="1"/>
      <c r="Z366" s="1">
        <v>73</v>
      </c>
      <c r="AA366" s="1">
        <v>0</v>
      </c>
      <c r="AB366" s="1"/>
      <c r="AC366" s="1">
        <v>2</v>
      </c>
      <c r="AD366" s="98">
        <v>4</v>
      </c>
      <c r="AE366" s="172">
        <v>50</v>
      </c>
      <c r="AF366" s="1" t="s">
        <v>417</v>
      </c>
      <c r="AG366" s="1">
        <v>2.5</v>
      </c>
      <c r="AH366" s="1">
        <v>0.5</v>
      </c>
      <c r="AI366" s="1">
        <v>2.5</v>
      </c>
      <c r="AJ366" s="1">
        <v>0.5</v>
      </c>
      <c r="AK366" s="1"/>
      <c r="AL366" s="1"/>
      <c r="AM366" s="1">
        <v>0</v>
      </c>
    </row>
    <row r="367" spans="1:39" x14ac:dyDescent="0.25">
      <c r="A367" s="182" t="s">
        <v>76</v>
      </c>
      <c r="B367" s="1">
        <v>2</v>
      </c>
      <c r="C367" s="1" t="s">
        <v>418</v>
      </c>
      <c r="D367" s="13">
        <v>38790</v>
      </c>
      <c r="E367" s="174">
        <f t="shared" si="121"/>
        <v>2647</v>
      </c>
      <c r="F367" s="201"/>
      <c r="G367" s="13">
        <v>41284</v>
      </c>
      <c r="H367" s="13">
        <f t="shared" si="120"/>
        <v>41272</v>
      </c>
      <c r="I367" s="13">
        <v>41437</v>
      </c>
      <c r="J367" s="13"/>
      <c r="K367" s="1">
        <f t="shared" si="117"/>
        <v>2494</v>
      </c>
      <c r="L367" s="1">
        <f t="shared" si="118"/>
        <v>12</v>
      </c>
      <c r="M367" s="1">
        <f t="shared" si="119"/>
        <v>153</v>
      </c>
      <c r="N367" s="1"/>
      <c r="O367" s="1" t="s">
        <v>417</v>
      </c>
      <c r="P367" s="1">
        <v>5.05</v>
      </c>
      <c r="Q367" s="1"/>
      <c r="R367" s="1"/>
      <c r="S367" s="1"/>
      <c r="T367" s="1">
        <f t="shared" si="116"/>
        <v>1</v>
      </c>
      <c r="U367" s="1"/>
      <c r="V367" s="1"/>
      <c r="W367" s="1"/>
      <c r="X367" s="1"/>
      <c r="Y367" s="1"/>
      <c r="Z367" s="1">
        <v>88</v>
      </c>
      <c r="AA367" s="1">
        <v>0</v>
      </c>
      <c r="AB367" s="1"/>
      <c r="AC367" s="1">
        <v>1</v>
      </c>
      <c r="AD367" s="98">
        <v>10</v>
      </c>
      <c r="AE367" s="172">
        <v>50</v>
      </c>
      <c r="AF367" s="1" t="s">
        <v>417</v>
      </c>
      <c r="AG367" s="1">
        <v>2.5</v>
      </c>
      <c r="AH367" s="1">
        <v>0.5</v>
      </c>
      <c r="AI367" s="1">
        <v>2.5</v>
      </c>
      <c r="AJ367" s="1">
        <v>0.5</v>
      </c>
      <c r="AK367" s="1"/>
      <c r="AL367" s="1"/>
      <c r="AM367" s="1">
        <v>0</v>
      </c>
    </row>
    <row r="368" spans="1:39" x14ac:dyDescent="0.25">
      <c r="A368" s="182" t="s">
        <v>76</v>
      </c>
      <c r="B368" s="1">
        <v>2</v>
      </c>
      <c r="C368" s="1" t="s">
        <v>418</v>
      </c>
      <c r="D368" s="13">
        <v>38790</v>
      </c>
      <c r="E368" s="174">
        <f t="shared" si="121"/>
        <v>2647</v>
      </c>
      <c r="F368" s="201"/>
      <c r="G368" s="13">
        <v>41306</v>
      </c>
      <c r="H368" s="13">
        <f t="shared" si="120"/>
        <v>41284</v>
      </c>
      <c r="I368" s="13">
        <v>41437</v>
      </c>
      <c r="J368" s="13"/>
      <c r="K368" s="1">
        <f t="shared" si="117"/>
        <v>2516</v>
      </c>
      <c r="L368" s="1">
        <f t="shared" si="118"/>
        <v>22</v>
      </c>
      <c r="M368" s="1">
        <f t="shared" si="119"/>
        <v>131</v>
      </c>
      <c r="N368" s="1"/>
      <c r="O368" s="1" t="s">
        <v>417</v>
      </c>
      <c r="P368" s="1">
        <v>5.03</v>
      </c>
      <c r="Q368" s="1"/>
      <c r="R368" s="1"/>
      <c r="S368" s="1"/>
      <c r="T368" s="1">
        <f t="shared" si="116"/>
        <v>1</v>
      </c>
      <c r="U368" s="1"/>
      <c r="V368" s="1"/>
      <c r="W368" s="1"/>
      <c r="X368" s="1"/>
      <c r="Y368" s="1"/>
      <c r="Z368" s="1">
        <v>89</v>
      </c>
      <c r="AA368" s="1">
        <v>0</v>
      </c>
      <c r="AB368" s="1"/>
      <c r="AC368" s="1">
        <v>1</v>
      </c>
      <c r="AD368" s="98">
        <v>10</v>
      </c>
      <c r="AE368" s="172">
        <v>50</v>
      </c>
      <c r="AF368" s="1" t="s">
        <v>417</v>
      </c>
      <c r="AG368" s="1">
        <v>2.5</v>
      </c>
      <c r="AH368" s="1">
        <v>0.5</v>
      </c>
      <c r="AI368" s="1">
        <v>2.5</v>
      </c>
      <c r="AJ368" s="1">
        <v>0.5</v>
      </c>
      <c r="AK368" s="1"/>
      <c r="AL368" s="1"/>
      <c r="AM368" s="1">
        <v>0</v>
      </c>
    </row>
    <row r="369" spans="1:39" x14ac:dyDescent="0.25">
      <c r="A369" s="182" t="s">
        <v>76</v>
      </c>
      <c r="B369" s="1">
        <v>2</v>
      </c>
      <c r="C369" s="1" t="s">
        <v>418</v>
      </c>
      <c r="D369" s="13">
        <v>38790</v>
      </c>
      <c r="E369" s="174">
        <f t="shared" si="121"/>
        <v>2647</v>
      </c>
      <c r="F369" s="201"/>
      <c r="G369" s="13">
        <v>41366</v>
      </c>
      <c r="H369" s="13">
        <f t="shared" si="120"/>
        <v>41306</v>
      </c>
      <c r="I369" s="13">
        <v>41437</v>
      </c>
      <c r="J369" s="13"/>
      <c r="K369" s="1">
        <f t="shared" si="117"/>
        <v>2576</v>
      </c>
      <c r="L369" s="1">
        <f t="shared" si="118"/>
        <v>60</v>
      </c>
      <c r="M369" s="1">
        <f t="shared" si="119"/>
        <v>71</v>
      </c>
      <c r="N369" s="1"/>
      <c r="O369" s="1" t="s">
        <v>417</v>
      </c>
      <c r="P369" s="1">
        <v>4.9000000000000004</v>
      </c>
      <c r="Q369" s="1"/>
      <c r="R369" s="1"/>
      <c r="S369" s="1"/>
      <c r="T369" s="1"/>
      <c r="U369" s="1"/>
      <c r="V369" s="1"/>
      <c r="W369" s="1"/>
      <c r="X369" s="1"/>
      <c r="Y369" s="1"/>
      <c r="Z369" s="1">
        <v>74</v>
      </c>
      <c r="AA369" s="1">
        <v>0</v>
      </c>
      <c r="AB369" s="1"/>
      <c r="AC369" s="1">
        <v>0</v>
      </c>
      <c r="AD369" s="98">
        <v>0</v>
      </c>
      <c r="AE369" s="172">
        <v>50</v>
      </c>
      <c r="AF369" s="1" t="s">
        <v>417</v>
      </c>
      <c r="AG369" s="1">
        <v>2.5</v>
      </c>
      <c r="AH369" s="1">
        <v>0.5</v>
      </c>
      <c r="AI369" s="1">
        <v>2.5</v>
      </c>
      <c r="AJ369" s="1">
        <v>0.5</v>
      </c>
      <c r="AK369" s="1"/>
      <c r="AL369" s="1"/>
      <c r="AM369" s="1">
        <v>0</v>
      </c>
    </row>
    <row r="370" spans="1:39" x14ac:dyDescent="0.25">
      <c r="A370" s="182" t="s">
        <v>76</v>
      </c>
      <c r="B370" s="1">
        <v>2</v>
      </c>
      <c r="C370" s="1" t="s">
        <v>418</v>
      </c>
      <c r="D370" s="13">
        <v>38790</v>
      </c>
      <c r="E370" s="174">
        <f t="shared" si="121"/>
        <v>2647</v>
      </c>
      <c r="F370" s="201"/>
      <c r="G370" s="13">
        <v>41428</v>
      </c>
      <c r="H370" s="13">
        <f t="shared" si="120"/>
        <v>41366</v>
      </c>
      <c r="I370" s="13">
        <v>41437</v>
      </c>
      <c r="J370" s="13"/>
      <c r="K370" s="1">
        <f t="shared" si="117"/>
        <v>2638</v>
      </c>
      <c r="L370" s="1">
        <f t="shared" si="118"/>
        <v>62</v>
      </c>
      <c r="M370" s="1">
        <f t="shared" si="119"/>
        <v>9</v>
      </c>
      <c r="N370" s="1"/>
      <c r="O370" s="1" t="s">
        <v>434</v>
      </c>
      <c r="P370" s="1">
        <v>4.7</v>
      </c>
      <c r="Q370" s="1"/>
      <c r="R370" s="1"/>
      <c r="S370" s="1"/>
      <c r="T370" s="1"/>
      <c r="U370" s="1"/>
      <c r="V370" s="1">
        <v>0</v>
      </c>
      <c r="W370" s="1">
        <v>0</v>
      </c>
      <c r="X370" s="1">
        <v>0</v>
      </c>
      <c r="Y370" s="1">
        <v>0</v>
      </c>
      <c r="Z370" s="1">
        <v>62</v>
      </c>
      <c r="AA370" s="1">
        <v>0</v>
      </c>
      <c r="AB370" s="1"/>
      <c r="AC370" s="1">
        <v>0</v>
      </c>
      <c r="AD370" s="98">
        <v>0</v>
      </c>
      <c r="AE370" s="172">
        <v>50</v>
      </c>
      <c r="AF370" s="1" t="s">
        <v>417</v>
      </c>
      <c r="AG370" s="1">
        <v>2.5</v>
      </c>
      <c r="AH370" s="1">
        <v>0.5</v>
      </c>
      <c r="AI370" s="1">
        <v>2.5</v>
      </c>
      <c r="AJ370" s="1">
        <v>0.5</v>
      </c>
      <c r="AK370" s="1"/>
      <c r="AL370" s="1"/>
      <c r="AM370" s="1">
        <v>0</v>
      </c>
    </row>
    <row r="371" spans="1:39" x14ac:dyDescent="0.25">
      <c r="A371" s="182" t="s">
        <v>76</v>
      </c>
      <c r="B371" s="1">
        <v>2</v>
      </c>
      <c r="C371" s="1" t="s">
        <v>418</v>
      </c>
      <c r="D371" s="13">
        <v>38790</v>
      </c>
      <c r="E371" s="1">
        <f t="shared" si="121"/>
        <v>2647</v>
      </c>
      <c r="F371" s="1"/>
      <c r="G371" s="13">
        <v>41437</v>
      </c>
      <c r="H371" s="13">
        <f t="shared" si="120"/>
        <v>41428</v>
      </c>
      <c r="I371" s="13">
        <v>41437</v>
      </c>
      <c r="J371" s="13"/>
      <c r="K371" s="1">
        <f t="shared" si="117"/>
        <v>2647</v>
      </c>
      <c r="L371" s="1">
        <f t="shared" si="118"/>
        <v>9</v>
      </c>
      <c r="M371" s="1">
        <f t="shared" si="119"/>
        <v>0</v>
      </c>
      <c r="N371" s="1"/>
      <c r="O371" s="1" t="s">
        <v>434</v>
      </c>
      <c r="P371" s="1">
        <v>4.76</v>
      </c>
      <c r="Q371" s="1"/>
      <c r="R371" s="1"/>
      <c r="S371" s="1"/>
      <c r="T371" s="1"/>
      <c r="U371" s="1"/>
      <c r="V371" s="1"/>
      <c r="W371" s="1"/>
      <c r="X371" s="1"/>
      <c r="Y371" s="1"/>
      <c r="Z371" s="1">
        <v>0</v>
      </c>
      <c r="AA371" s="1">
        <v>0</v>
      </c>
      <c r="AB371" s="1"/>
      <c r="AC371" s="1">
        <v>0</v>
      </c>
      <c r="AD371" s="1">
        <v>0</v>
      </c>
      <c r="AE371" s="1">
        <v>50</v>
      </c>
      <c r="AF371" s="1" t="s">
        <v>417</v>
      </c>
      <c r="AG371" s="1">
        <v>2.5</v>
      </c>
      <c r="AH371" s="1">
        <v>0.5</v>
      </c>
      <c r="AI371" s="1">
        <v>2.5</v>
      </c>
      <c r="AJ371" s="1">
        <v>0.5</v>
      </c>
      <c r="AK371" s="1"/>
      <c r="AL371" s="1"/>
      <c r="AM371" s="1">
        <v>0</v>
      </c>
    </row>
    <row r="372" spans="1:39" x14ac:dyDescent="0.25">
      <c r="A372" s="193" t="s">
        <v>107</v>
      </c>
      <c r="B372" s="1">
        <v>2</v>
      </c>
      <c r="C372" s="1" t="s">
        <v>418</v>
      </c>
      <c r="D372" s="13">
        <v>38832</v>
      </c>
      <c r="E372" s="174">
        <f t="shared" si="121"/>
        <v>2631</v>
      </c>
      <c r="F372" s="201"/>
      <c r="G372" s="13">
        <v>40197</v>
      </c>
      <c r="H372" s="13">
        <v>38832</v>
      </c>
      <c r="I372" s="13">
        <v>41463</v>
      </c>
      <c r="J372" s="13"/>
      <c r="K372" s="1">
        <f t="shared" si="117"/>
        <v>1365</v>
      </c>
      <c r="L372" s="1">
        <f t="shared" si="118"/>
        <v>1365</v>
      </c>
      <c r="M372" s="1">
        <f t="shared" si="119"/>
        <v>1266</v>
      </c>
      <c r="N372" s="1"/>
      <c r="O372" s="1" t="s">
        <v>417</v>
      </c>
      <c r="P372" s="1">
        <v>5.63</v>
      </c>
      <c r="Q372" s="1">
        <f t="shared" si="113"/>
        <v>1</v>
      </c>
      <c r="R372" s="1">
        <f t="shared" si="114"/>
        <v>1</v>
      </c>
      <c r="S372" s="1">
        <f t="shared" si="115"/>
        <v>1</v>
      </c>
      <c r="T372" s="1">
        <f t="shared" si="116"/>
        <v>1</v>
      </c>
      <c r="U372" s="1" t="s">
        <v>437</v>
      </c>
      <c r="V372" s="1"/>
      <c r="W372" s="1"/>
      <c r="X372" s="1"/>
      <c r="Y372" s="1"/>
      <c r="Z372" s="1">
        <v>58</v>
      </c>
      <c r="AA372" s="1">
        <v>0</v>
      </c>
      <c r="AB372" s="1"/>
      <c r="AC372" s="1">
        <v>0</v>
      </c>
      <c r="AD372" s="98">
        <v>0</v>
      </c>
      <c r="AE372" s="172">
        <v>60</v>
      </c>
      <c r="AF372" s="1" t="s">
        <v>417</v>
      </c>
      <c r="AG372" s="1">
        <v>2.5</v>
      </c>
      <c r="AH372" s="1">
        <v>0.5</v>
      </c>
      <c r="AI372" s="1">
        <v>2.5</v>
      </c>
      <c r="AJ372" s="1">
        <v>0.5</v>
      </c>
      <c r="AK372" s="1"/>
      <c r="AL372" s="1"/>
      <c r="AM372" s="1">
        <v>0</v>
      </c>
    </row>
    <row r="373" spans="1:39" x14ac:dyDescent="0.25">
      <c r="A373" s="193" t="s">
        <v>107</v>
      </c>
      <c r="B373" s="1">
        <v>2</v>
      </c>
      <c r="C373" s="1" t="s">
        <v>418</v>
      </c>
      <c r="D373" s="13">
        <v>38832</v>
      </c>
      <c r="E373" s="174">
        <f t="shared" si="121"/>
        <v>2631</v>
      </c>
      <c r="F373" s="201"/>
      <c r="G373" s="13">
        <v>40652</v>
      </c>
      <c r="H373" s="13">
        <f>G372</f>
        <v>40197</v>
      </c>
      <c r="I373" s="13">
        <v>41463</v>
      </c>
      <c r="J373" s="13"/>
      <c r="K373" s="1">
        <f t="shared" si="117"/>
        <v>1820</v>
      </c>
      <c r="L373" s="1">
        <f t="shared" si="118"/>
        <v>455</v>
      </c>
      <c r="M373" s="1">
        <f t="shared" si="119"/>
        <v>811</v>
      </c>
      <c r="N373" s="1"/>
      <c r="O373" s="1" t="s">
        <v>417</v>
      </c>
      <c r="P373" s="1">
        <v>5.18</v>
      </c>
      <c r="Q373" s="1">
        <f t="shared" si="113"/>
        <v>1</v>
      </c>
      <c r="R373" s="1">
        <f t="shared" si="114"/>
        <v>1</v>
      </c>
      <c r="S373" s="1">
        <f t="shared" si="115"/>
        <v>1</v>
      </c>
      <c r="T373" s="1">
        <f t="shared" si="116"/>
        <v>1</v>
      </c>
      <c r="U373" s="1" t="s">
        <v>437</v>
      </c>
      <c r="V373" s="1"/>
      <c r="W373" s="1"/>
      <c r="X373" s="1"/>
      <c r="Y373" s="1"/>
      <c r="Z373" s="1">
        <v>63</v>
      </c>
      <c r="AA373" s="1">
        <v>0</v>
      </c>
      <c r="AB373" s="1"/>
      <c r="AC373" s="1">
        <v>0</v>
      </c>
      <c r="AD373" s="98">
        <v>0</v>
      </c>
      <c r="AE373" s="172">
        <v>60</v>
      </c>
      <c r="AF373" s="1" t="s">
        <v>417</v>
      </c>
      <c r="AG373" s="1">
        <v>2.5</v>
      </c>
      <c r="AH373" s="1">
        <v>0.5</v>
      </c>
      <c r="AI373" s="1">
        <v>2.5</v>
      </c>
      <c r="AJ373" s="1">
        <v>0.5</v>
      </c>
      <c r="AK373" s="1"/>
      <c r="AL373" s="1"/>
      <c r="AM373" s="1">
        <v>0</v>
      </c>
    </row>
    <row r="374" spans="1:39" x14ac:dyDescent="0.25">
      <c r="A374" s="193" t="s">
        <v>107</v>
      </c>
      <c r="B374" s="1">
        <v>2</v>
      </c>
      <c r="C374" s="1" t="s">
        <v>418</v>
      </c>
      <c r="D374" s="13">
        <v>38832</v>
      </c>
      <c r="E374" s="174">
        <f t="shared" si="121"/>
        <v>2631</v>
      </c>
      <c r="F374" s="201"/>
      <c r="G374" s="13">
        <v>40862</v>
      </c>
      <c r="H374" s="13">
        <f t="shared" ref="H374:H379" si="122">G373</f>
        <v>40652</v>
      </c>
      <c r="I374" s="13">
        <v>41463</v>
      </c>
      <c r="J374" s="13"/>
      <c r="K374" s="1">
        <f t="shared" si="117"/>
        <v>2030</v>
      </c>
      <c r="L374" s="1">
        <f t="shared" si="118"/>
        <v>210</v>
      </c>
      <c r="M374" s="1">
        <f t="shared" si="119"/>
        <v>601</v>
      </c>
      <c r="N374" s="1"/>
      <c r="O374" s="1" t="s">
        <v>417</v>
      </c>
      <c r="P374" s="1">
        <v>5.16</v>
      </c>
      <c r="Q374" s="1">
        <f t="shared" si="113"/>
        <v>1</v>
      </c>
      <c r="R374" s="1">
        <f t="shared" si="114"/>
        <v>1</v>
      </c>
      <c r="S374" s="1">
        <f t="shared" si="115"/>
        <v>1</v>
      </c>
      <c r="T374" s="1">
        <f t="shared" si="116"/>
        <v>1</v>
      </c>
      <c r="U374" s="1" t="s">
        <v>437</v>
      </c>
      <c r="V374" s="1"/>
      <c r="W374" s="1"/>
      <c r="X374" s="1"/>
      <c r="Y374" s="1"/>
      <c r="Z374" s="1">
        <v>64</v>
      </c>
      <c r="AA374" s="1">
        <v>0</v>
      </c>
      <c r="AB374" s="1"/>
      <c r="AC374" s="1">
        <v>0</v>
      </c>
      <c r="AD374" s="98">
        <v>0</v>
      </c>
      <c r="AE374" s="172">
        <v>60</v>
      </c>
      <c r="AF374" s="1" t="s">
        <v>417</v>
      </c>
      <c r="AG374" s="1">
        <v>2.5</v>
      </c>
      <c r="AH374" s="1">
        <v>0.5</v>
      </c>
      <c r="AI374" s="1">
        <v>2.5</v>
      </c>
      <c r="AJ374" s="1">
        <v>0.5</v>
      </c>
      <c r="AK374" s="1"/>
      <c r="AL374" s="1"/>
      <c r="AM374" s="1">
        <v>0</v>
      </c>
    </row>
    <row r="375" spans="1:39" x14ac:dyDescent="0.25">
      <c r="A375" s="193" t="s">
        <v>107</v>
      </c>
      <c r="B375" s="1">
        <v>2</v>
      </c>
      <c r="C375" s="1" t="s">
        <v>418</v>
      </c>
      <c r="D375" s="13">
        <v>38832</v>
      </c>
      <c r="E375" s="174">
        <f t="shared" si="121"/>
        <v>2631</v>
      </c>
      <c r="F375" s="201"/>
      <c r="G375" s="13">
        <v>41051</v>
      </c>
      <c r="H375" s="13">
        <f t="shared" si="122"/>
        <v>40862</v>
      </c>
      <c r="I375" s="13">
        <v>41463</v>
      </c>
      <c r="J375" s="13"/>
      <c r="K375" s="1">
        <f t="shared" si="117"/>
        <v>2219</v>
      </c>
      <c r="L375" s="1">
        <f t="shared" si="118"/>
        <v>189</v>
      </c>
      <c r="M375" s="1">
        <f t="shared" si="119"/>
        <v>412</v>
      </c>
      <c r="N375" s="1"/>
      <c r="O375" s="1" t="s">
        <v>417</v>
      </c>
      <c r="P375" s="1">
        <v>5.15</v>
      </c>
      <c r="Q375" s="1"/>
      <c r="R375" s="1">
        <f t="shared" si="114"/>
        <v>1</v>
      </c>
      <c r="S375" s="1">
        <f t="shared" si="115"/>
        <v>1</v>
      </c>
      <c r="T375" s="1">
        <f t="shared" si="116"/>
        <v>1</v>
      </c>
      <c r="U375" s="1"/>
      <c r="V375" s="1"/>
      <c r="W375" s="1"/>
      <c r="X375" s="1"/>
      <c r="Y375" s="1"/>
      <c r="Z375" s="1">
        <v>62</v>
      </c>
      <c r="AA375" s="1">
        <v>0</v>
      </c>
      <c r="AB375" s="1"/>
      <c r="AC375" s="1">
        <v>0</v>
      </c>
      <c r="AD375" s="98">
        <v>0</v>
      </c>
      <c r="AE375" s="172">
        <v>60</v>
      </c>
      <c r="AF375" s="1" t="s">
        <v>417</v>
      </c>
      <c r="AG375" s="1">
        <v>2.5</v>
      </c>
      <c r="AH375" s="1">
        <v>0.5</v>
      </c>
      <c r="AI375" s="1">
        <v>2.5</v>
      </c>
      <c r="AJ375" s="1">
        <v>0.5</v>
      </c>
      <c r="AK375" s="1"/>
      <c r="AL375" s="1"/>
      <c r="AM375" s="1">
        <v>0</v>
      </c>
    </row>
    <row r="376" spans="1:39" x14ac:dyDescent="0.25">
      <c r="A376" s="193" t="s">
        <v>107</v>
      </c>
      <c r="B376" s="1">
        <v>2</v>
      </c>
      <c r="C376" s="1" t="s">
        <v>418</v>
      </c>
      <c r="D376" s="13">
        <v>38832</v>
      </c>
      <c r="E376" s="174">
        <f t="shared" si="121"/>
        <v>2631</v>
      </c>
      <c r="F376" s="201"/>
      <c r="G376" s="13">
        <v>41240</v>
      </c>
      <c r="H376" s="13">
        <f t="shared" si="122"/>
        <v>41051</v>
      </c>
      <c r="I376" s="13">
        <v>41463</v>
      </c>
      <c r="J376" s="13"/>
      <c r="K376" s="1">
        <f t="shared" si="117"/>
        <v>2408</v>
      </c>
      <c r="L376" s="1">
        <f t="shared" si="118"/>
        <v>189</v>
      </c>
      <c r="M376" s="1">
        <f t="shared" si="119"/>
        <v>223</v>
      </c>
      <c r="N376" s="1"/>
      <c r="O376" s="1" t="s">
        <v>417</v>
      </c>
      <c r="P376" s="1">
        <v>5.12</v>
      </c>
      <c r="Q376" s="1"/>
      <c r="R376" s="1"/>
      <c r="S376" s="1">
        <f t="shared" si="115"/>
        <v>1</v>
      </c>
      <c r="T376" s="1">
        <f t="shared" si="116"/>
        <v>1</v>
      </c>
      <c r="U376" s="1"/>
      <c r="V376" s="1"/>
      <c r="W376" s="1"/>
      <c r="X376" s="1"/>
      <c r="Y376" s="1"/>
      <c r="Z376" s="1">
        <v>64</v>
      </c>
      <c r="AA376" s="1">
        <v>0</v>
      </c>
      <c r="AB376" s="1"/>
      <c r="AC376" s="1">
        <v>0</v>
      </c>
      <c r="AD376" s="98">
        <v>0</v>
      </c>
      <c r="AE376" s="172">
        <v>60</v>
      </c>
      <c r="AF376" s="1" t="s">
        <v>417</v>
      </c>
      <c r="AG376" s="1">
        <v>2.5</v>
      </c>
      <c r="AH376" s="1">
        <v>0.5</v>
      </c>
      <c r="AI376" s="1">
        <v>2.5</v>
      </c>
      <c r="AJ376" s="1">
        <v>0.5</v>
      </c>
      <c r="AK376" s="1"/>
      <c r="AL376" s="1"/>
      <c r="AM376" s="1">
        <v>0</v>
      </c>
    </row>
    <row r="377" spans="1:39" x14ac:dyDescent="0.25">
      <c r="A377" s="193" t="s">
        <v>107</v>
      </c>
      <c r="B377" s="1">
        <v>2</v>
      </c>
      <c r="C377" s="1" t="s">
        <v>418</v>
      </c>
      <c r="D377" s="13">
        <v>38832</v>
      </c>
      <c r="E377" s="174">
        <f t="shared" si="121"/>
        <v>2631</v>
      </c>
      <c r="F377" s="201"/>
      <c r="G377" s="13">
        <v>41394</v>
      </c>
      <c r="H377" s="13">
        <f t="shared" si="122"/>
        <v>41240</v>
      </c>
      <c r="I377" s="13">
        <v>41463</v>
      </c>
      <c r="J377" s="13"/>
      <c r="K377" s="1">
        <f t="shared" si="117"/>
        <v>2562</v>
      </c>
      <c r="L377" s="1">
        <f t="shared" si="118"/>
        <v>154</v>
      </c>
      <c r="M377" s="1">
        <f t="shared" si="119"/>
        <v>69</v>
      </c>
      <c r="N377" s="1"/>
      <c r="O377" s="1" t="s">
        <v>417</v>
      </c>
      <c r="P377" s="1">
        <v>4.95</v>
      </c>
      <c r="Q377" s="1"/>
      <c r="R377" s="1"/>
      <c r="S377" s="1"/>
      <c r="T377" s="1"/>
      <c r="U377" s="1"/>
      <c r="V377" s="1"/>
      <c r="W377" s="1"/>
      <c r="X377" s="1"/>
      <c r="Y377" s="1"/>
      <c r="Z377" s="1">
        <v>57</v>
      </c>
      <c r="AA377" s="1">
        <v>0</v>
      </c>
      <c r="AB377" s="1"/>
      <c r="AC377" s="1">
        <v>0</v>
      </c>
      <c r="AD377" s="98">
        <v>0</v>
      </c>
      <c r="AE377" s="172">
        <v>60</v>
      </c>
      <c r="AF377" s="1" t="s">
        <v>417</v>
      </c>
      <c r="AG377" s="1">
        <v>2.5</v>
      </c>
      <c r="AH377" s="1">
        <v>0.5</v>
      </c>
      <c r="AI377" s="1">
        <v>2.5</v>
      </c>
      <c r="AJ377" s="1">
        <v>0.5</v>
      </c>
      <c r="AK377" s="1"/>
      <c r="AL377" s="1"/>
      <c r="AM377" s="1">
        <v>0</v>
      </c>
    </row>
    <row r="378" spans="1:39" x14ac:dyDescent="0.25">
      <c r="A378" s="193" t="s">
        <v>107</v>
      </c>
      <c r="B378" s="1">
        <v>2</v>
      </c>
      <c r="C378" s="1" t="s">
        <v>418</v>
      </c>
      <c r="D378" s="13">
        <v>38832</v>
      </c>
      <c r="E378" s="174">
        <f t="shared" si="121"/>
        <v>2631</v>
      </c>
      <c r="F378" s="201"/>
      <c r="G378" s="13">
        <v>41451</v>
      </c>
      <c r="H378" s="13">
        <f t="shared" si="122"/>
        <v>41394</v>
      </c>
      <c r="I378" s="13">
        <v>41463</v>
      </c>
      <c r="J378" s="13"/>
      <c r="K378" s="1">
        <f t="shared" ref="K378:K441" si="123">G378-D378</f>
        <v>2619</v>
      </c>
      <c r="L378" s="1">
        <f t="shared" ref="L378:L441" si="124">G378-H378</f>
        <v>57</v>
      </c>
      <c r="M378" s="1">
        <f t="shared" ref="M378:M441" si="125">I378-G378</f>
        <v>12</v>
      </c>
      <c r="N378" s="1"/>
      <c r="O378" s="1" t="s">
        <v>417</v>
      </c>
      <c r="P378" s="1">
        <v>4.87</v>
      </c>
      <c r="Q378" s="1"/>
      <c r="R378" s="1"/>
      <c r="S378" s="1"/>
      <c r="T378" s="1"/>
      <c r="U378" s="1"/>
      <c r="V378" s="1"/>
      <c r="W378" s="1"/>
      <c r="X378" s="1"/>
      <c r="Y378" s="1"/>
      <c r="Z378" s="1">
        <v>60</v>
      </c>
      <c r="AA378" s="1">
        <v>0</v>
      </c>
      <c r="AB378" s="1"/>
      <c r="AC378" s="1">
        <v>0</v>
      </c>
      <c r="AD378" s="98">
        <v>0</v>
      </c>
      <c r="AE378" s="172">
        <v>60</v>
      </c>
      <c r="AF378" s="1" t="s">
        <v>417</v>
      </c>
      <c r="AG378" s="1">
        <v>2.5</v>
      </c>
      <c r="AH378" s="1">
        <v>0.5</v>
      </c>
      <c r="AI378" s="1">
        <v>2.5</v>
      </c>
      <c r="AJ378" s="1">
        <v>0.5</v>
      </c>
      <c r="AK378" s="1"/>
      <c r="AL378" s="1"/>
      <c r="AM378" s="1">
        <v>0</v>
      </c>
    </row>
    <row r="379" spans="1:39" x14ac:dyDescent="0.25">
      <c r="A379" s="193" t="s">
        <v>107</v>
      </c>
      <c r="B379" s="1">
        <v>2</v>
      </c>
      <c r="C379" s="1" t="s">
        <v>418</v>
      </c>
      <c r="D379" s="13">
        <v>38832</v>
      </c>
      <c r="E379" s="1">
        <f t="shared" si="121"/>
        <v>2631</v>
      </c>
      <c r="F379" s="1"/>
      <c r="G379" s="13">
        <v>41463</v>
      </c>
      <c r="H379" s="13">
        <f t="shared" si="122"/>
        <v>41451</v>
      </c>
      <c r="I379" s="13">
        <v>41463</v>
      </c>
      <c r="J379" s="13"/>
      <c r="K379" s="1">
        <f t="shared" si="123"/>
        <v>2631</v>
      </c>
      <c r="L379" s="1">
        <f t="shared" si="124"/>
        <v>12</v>
      </c>
      <c r="M379" s="1">
        <f t="shared" si="125"/>
        <v>0</v>
      </c>
      <c r="N379" s="1"/>
      <c r="O379" s="1" t="s">
        <v>417</v>
      </c>
      <c r="P379" s="1">
        <v>4.84</v>
      </c>
      <c r="Q379" s="1"/>
      <c r="R379" s="1"/>
      <c r="S379" s="1"/>
      <c r="T379" s="1"/>
      <c r="U379" s="1"/>
      <c r="V379" s="1"/>
      <c r="W379" s="1"/>
      <c r="X379" s="1"/>
      <c r="Y379" s="1"/>
      <c r="Z379" s="1">
        <v>60</v>
      </c>
      <c r="AA379" s="1">
        <v>0</v>
      </c>
      <c r="AB379" s="1"/>
      <c r="AC379" s="1">
        <v>0</v>
      </c>
      <c r="AD379" s="1">
        <v>0</v>
      </c>
      <c r="AE379" s="1">
        <v>60</v>
      </c>
      <c r="AF379" s="1" t="s">
        <v>417</v>
      </c>
      <c r="AG379" s="1">
        <v>2.5</v>
      </c>
      <c r="AH379" s="1">
        <v>0.5</v>
      </c>
      <c r="AI379" s="1">
        <v>2.5</v>
      </c>
      <c r="AJ379" s="1">
        <v>0.5</v>
      </c>
      <c r="AK379" s="1"/>
      <c r="AL379" s="1"/>
      <c r="AM379" s="1">
        <v>0</v>
      </c>
    </row>
    <row r="380" spans="1:39" x14ac:dyDescent="0.25">
      <c r="A380" s="181" t="s">
        <v>108</v>
      </c>
      <c r="B380" s="1">
        <v>2</v>
      </c>
      <c r="C380" s="1" t="s">
        <v>418</v>
      </c>
      <c r="D380" s="13">
        <v>39437</v>
      </c>
      <c r="E380" s="1">
        <f t="shared" si="121"/>
        <v>2728</v>
      </c>
      <c r="F380" s="1"/>
      <c r="G380" s="13">
        <v>40231</v>
      </c>
      <c r="H380" s="13">
        <v>39437</v>
      </c>
      <c r="I380" s="13">
        <v>42165</v>
      </c>
      <c r="J380" s="13"/>
      <c r="K380" s="1">
        <f t="shared" si="123"/>
        <v>794</v>
      </c>
      <c r="L380" s="1">
        <f t="shared" si="124"/>
        <v>794</v>
      </c>
      <c r="M380" s="1">
        <f t="shared" si="125"/>
        <v>1934</v>
      </c>
      <c r="N380" s="1"/>
      <c r="O380" s="1" t="s">
        <v>417</v>
      </c>
      <c r="P380" s="1">
        <v>6.36</v>
      </c>
      <c r="Q380" s="1">
        <f t="shared" si="113"/>
        <v>1</v>
      </c>
      <c r="R380" s="1">
        <f t="shared" si="114"/>
        <v>1</v>
      </c>
      <c r="S380" s="1">
        <f t="shared" si="115"/>
        <v>1</v>
      </c>
      <c r="T380" s="1">
        <f t="shared" si="116"/>
        <v>1</v>
      </c>
      <c r="U380" s="1" t="s">
        <v>437</v>
      </c>
      <c r="V380" s="1"/>
      <c r="W380" s="1"/>
      <c r="X380" s="1"/>
      <c r="Y380" s="1"/>
      <c r="Z380" s="1">
        <v>15</v>
      </c>
      <c r="AA380" s="1">
        <v>0</v>
      </c>
      <c r="AB380" s="1"/>
      <c r="AC380" s="1">
        <v>1</v>
      </c>
      <c r="AD380" s="1">
        <v>0</v>
      </c>
      <c r="AE380" s="1">
        <v>60</v>
      </c>
      <c r="AF380" s="1" t="s">
        <v>417</v>
      </c>
      <c r="AG380" s="1">
        <v>2.5</v>
      </c>
      <c r="AH380" s="1">
        <v>0.5</v>
      </c>
      <c r="AI380" s="1">
        <v>4.5</v>
      </c>
      <c r="AJ380" s="1">
        <v>0.5</v>
      </c>
      <c r="AK380" s="1"/>
      <c r="AL380" s="1"/>
      <c r="AM380" s="1">
        <v>0</v>
      </c>
    </row>
    <row r="381" spans="1:39" x14ac:dyDescent="0.25">
      <c r="A381" s="181" t="s">
        <v>108</v>
      </c>
      <c r="B381" s="1">
        <v>2</v>
      </c>
      <c r="C381" s="1" t="s">
        <v>418</v>
      </c>
      <c r="D381" s="13">
        <v>39437</v>
      </c>
      <c r="E381" s="174">
        <f t="shared" si="121"/>
        <v>2728</v>
      </c>
      <c r="F381" s="201"/>
      <c r="G381" s="13">
        <v>40722</v>
      </c>
      <c r="H381" s="13">
        <f>G380</f>
        <v>40231</v>
      </c>
      <c r="I381" s="13">
        <v>42165</v>
      </c>
      <c r="J381" s="13"/>
      <c r="K381" s="1">
        <f t="shared" si="123"/>
        <v>1285</v>
      </c>
      <c r="L381" s="1">
        <f t="shared" si="124"/>
        <v>491</v>
      </c>
      <c r="M381" s="1">
        <f t="shared" si="125"/>
        <v>1443</v>
      </c>
      <c r="N381" s="1"/>
      <c r="O381" s="1" t="s">
        <v>417</v>
      </c>
      <c r="P381" s="1">
        <v>5.91</v>
      </c>
      <c r="Q381" s="1">
        <f t="shared" si="113"/>
        <v>1</v>
      </c>
      <c r="R381" s="1">
        <f t="shared" si="114"/>
        <v>1</v>
      </c>
      <c r="S381" s="1">
        <f t="shared" si="115"/>
        <v>1</v>
      </c>
      <c r="T381" s="1">
        <f t="shared" si="116"/>
        <v>1</v>
      </c>
      <c r="U381" s="1" t="s">
        <v>437</v>
      </c>
      <c r="V381" s="1"/>
      <c r="W381" s="1"/>
      <c r="X381" s="1"/>
      <c r="Y381" s="1"/>
      <c r="Z381" s="1">
        <v>15</v>
      </c>
      <c r="AA381" s="1">
        <v>0</v>
      </c>
      <c r="AB381" s="1"/>
      <c r="AC381" s="1">
        <v>0</v>
      </c>
      <c r="AD381" s="98">
        <v>0</v>
      </c>
      <c r="AE381" s="172">
        <v>60</v>
      </c>
      <c r="AF381" s="1" t="s">
        <v>417</v>
      </c>
      <c r="AG381" s="1">
        <v>2</v>
      </c>
      <c r="AH381" s="1">
        <v>0.5</v>
      </c>
      <c r="AI381" s="1">
        <v>4.5</v>
      </c>
      <c r="AJ381" s="1">
        <v>0.5</v>
      </c>
      <c r="AK381" s="1"/>
      <c r="AL381" s="1"/>
      <c r="AM381" s="1">
        <v>0</v>
      </c>
    </row>
    <row r="382" spans="1:39" x14ac:dyDescent="0.25">
      <c r="A382" s="181" t="s">
        <v>108</v>
      </c>
      <c r="B382" s="1">
        <v>2</v>
      </c>
      <c r="C382" s="1" t="s">
        <v>418</v>
      </c>
      <c r="D382" s="13">
        <v>39437</v>
      </c>
      <c r="E382" s="174">
        <f t="shared" si="121"/>
        <v>2728</v>
      </c>
      <c r="F382" s="201"/>
      <c r="G382" s="13">
        <v>40946</v>
      </c>
      <c r="H382" s="13">
        <f t="shared" ref="H382:H391" si="126">G381</f>
        <v>40722</v>
      </c>
      <c r="I382" s="13">
        <v>42165</v>
      </c>
      <c r="J382" s="13"/>
      <c r="K382" s="1">
        <f t="shared" si="123"/>
        <v>1509</v>
      </c>
      <c r="L382" s="1">
        <f t="shared" si="124"/>
        <v>224</v>
      </c>
      <c r="M382" s="1">
        <f t="shared" si="125"/>
        <v>1219</v>
      </c>
      <c r="N382" s="1"/>
      <c r="O382" s="1" t="s">
        <v>417</v>
      </c>
      <c r="P382" s="1">
        <v>5.56</v>
      </c>
      <c r="Q382" s="1">
        <f t="shared" si="113"/>
        <v>1</v>
      </c>
      <c r="R382" s="1">
        <f t="shared" si="114"/>
        <v>1</v>
      </c>
      <c r="S382" s="1">
        <f t="shared" si="115"/>
        <v>1</v>
      </c>
      <c r="T382" s="1">
        <f t="shared" si="116"/>
        <v>1</v>
      </c>
      <c r="U382" s="1" t="s">
        <v>437</v>
      </c>
      <c r="V382" s="1"/>
      <c r="W382" s="1"/>
      <c r="X382" s="1"/>
      <c r="Y382" s="1"/>
      <c r="Z382" s="1">
        <v>15</v>
      </c>
      <c r="AA382" s="1">
        <v>0</v>
      </c>
      <c r="AB382" s="1"/>
      <c r="AC382" s="1">
        <v>0</v>
      </c>
      <c r="AD382" s="98">
        <v>0</v>
      </c>
      <c r="AE382" s="172">
        <v>60</v>
      </c>
      <c r="AF382" s="1" t="s">
        <v>417</v>
      </c>
      <c r="AG382" s="1">
        <v>2</v>
      </c>
      <c r="AH382" s="1">
        <v>0.5</v>
      </c>
      <c r="AI382" s="1">
        <v>4.5</v>
      </c>
      <c r="AJ382" s="1">
        <v>0.5</v>
      </c>
      <c r="AK382" s="1"/>
      <c r="AL382" s="1"/>
      <c r="AM382" s="1">
        <v>0</v>
      </c>
    </row>
    <row r="383" spans="1:39" x14ac:dyDescent="0.25">
      <c r="A383" s="181" t="s">
        <v>108</v>
      </c>
      <c r="B383" s="1">
        <v>2</v>
      </c>
      <c r="C383" s="1" t="s">
        <v>418</v>
      </c>
      <c r="D383" s="13">
        <v>39437</v>
      </c>
      <c r="E383" s="174">
        <f t="shared" si="121"/>
        <v>2728</v>
      </c>
      <c r="F383" s="201"/>
      <c r="G383" s="13">
        <v>41079</v>
      </c>
      <c r="H383" s="13">
        <f t="shared" si="126"/>
        <v>40946</v>
      </c>
      <c r="I383" s="13">
        <v>42165</v>
      </c>
      <c r="J383" s="13"/>
      <c r="K383" s="1">
        <f t="shared" si="123"/>
        <v>1642</v>
      </c>
      <c r="L383" s="1">
        <f t="shared" si="124"/>
        <v>133</v>
      </c>
      <c r="M383" s="1">
        <f t="shared" si="125"/>
        <v>1086</v>
      </c>
      <c r="N383" s="1"/>
      <c r="O383" s="1" t="s">
        <v>417</v>
      </c>
      <c r="P383" s="1">
        <v>5.33</v>
      </c>
      <c r="Q383" s="1">
        <f t="shared" si="113"/>
        <v>1</v>
      </c>
      <c r="R383" s="1">
        <f t="shared" si="114"/>
        <v>1</v>
      </c>
      <c r="S383" s="1">
        <f t="shared" si="115"/>
        <v>1</v>
      </c>
      <c r="T383" s="1">
        <f t="shared" si="116"/>
        <v>1</v>
      </c>
      <c r="U383" s="1" t="s">
        <v>437</v>
      </c>
      <c r="V383" s="1"/>
      <c r="W383" s="1"/>
      <c r="X383" s="1"/>
      <c r="Y383" s="1"/>
      <c r="Z383" s="1">
        <v>18</v>
      </c>
      <c r="AA383" s="1">
        <v>0</v>
      </c>
      <c r="AB383" s="1"/>
      <c r="AC383" s="1">
        <v>0</v>
      </c>
      <c r="AD383" s="98">
        <v>0</v>
      </c>
      <c r="AE383" s="172">
        <v>60</v>
      </c>
      <c r="AF383" s="1" t="s">
        <v>417</v>
      </c>
      <c r="AG383" s="1">
        <v>2</v>
      </c>
      <c r="AH383" s="1">
        <v>0.5</v>
      </c>
      <c r="AI383" s="1">
        <v>4.5</v>
      </c>
      <c r="AJ383" s="1">
        <v>0.5</v>
      </c>
      <c r="AK383" s="1"/>
      <c r="AL383" s="1"/>
      <c r="AM383" s="1">
        <v>0</v>
      </c>
    </row>
    <row r="384" spans="1:39" x14ac:dyDescent="0.25">
      <c r="A384" s="181" t="s">
        <v>108</v>
      </c>
      <c r="B384" s="1">
        <v>2</v>
      </c>
      <c r="C384" s="1" t="s">
        <v>418</v>
      </c>
      <c r="D384" s="13">
        <v>39437</v>
      </c>
      <c r="E384" s="174">
        <f t="shared" si="121"/>
        <v>2728</v>
      </c>
      <c r="F384" s="201"/>
      <c r="G384" s="13">
        <v>41324</v>
      </c>
      <c r="H384" s="13">
        <f t="shared" si="126"/>
        <v>41079</v>
      </c>
      <c r="I384" s="13">
        <v>42165</v>
      </c>
      <c r="J384" s="13"/>
      <c r="K384" s="1">
        <f t="shared" si="123"/>
        <v>1887</v>
      </c>
      <c r="L384" s="1">
        <f t="shared" si="124"/>
        <v>245</v>
      </c>
      <c r="M384" s="1">
        <f t="shared" si="125"/>
        <v>841</v>
      </c>
      <c r="N384" s="1"/>
      <c r="O384" s="1" t="s">
        <v>417</v>
      </c>
      <c r="P384" s="1">
        <v>5.21</v>
      </c>
      <c r="Q384" s="1">
        <f t="shared" si="113"/>
        <v>1</v>
      </c>
      <c r="R384" s="1">
        <f t="shared" si="114"/>
        <v>1</v>
      </c>
      <c r="S384" s="1">
        <f t="shared" si="115"/>
        <v>1</v>
      </c>
      <c r="T384" s="1">
        <f t="shared" si="116"/>
        <v>1</v>
      </c>
      <c r="U384" s="1" t="s">
        <v>437</v>
      </c>
      <c r="V384" s="1"/>
      <c r="W384" s="1"/>
      <c r="X384" s="1"/>
      <c r="Y384" s="1"/>
      <c r="Z384" s="1">
        <v>15</v>
      </c>
      <c r="AA384" s="1">
        <v>0</v>
      </c>
      <c r="AB384" s="1"/>
      <c r="AC384" s="1">
        <v>0</v>
      </c>
      <c r="AD384" s="98">
        <v>0</v>
      </c>
      <c r="AE384" s="172">
        <v>60</v>
      </c>
      <c r="AF384" s="1" t="s">
        <v>417</v>
      </c>
      <c r="AG384" s="1">
        <v>2</v>
      </c>
      <c r="AH384" s="1">
        <v>0.5</v>
      </c>
      <c r="AI384" s="1">
        <v>4.5</v>
      </c>
      <c r="AJ384" s="1">
        <v>0.5</v>
      </c>
      <c r="AK384" s="1"/>
      <c r="AL384" s="1"/>
      <c r="AM384" s="1">
        <v>0</v>
      </c>
    </row>
    <row r="385" spans="1:39" x14ac:dyDescent="0.25">
      <c r="A385" s="181" t="s">
        <v>108</v>
      </c>
      <c r="B385" s="1">
        <v>2</v>
      </c>
      <c r="C385" s="1" t="s">
        <v>418</v>
      </c>
      <c r="D385" s="13">
        <v>39437</v>
      </c>
      <c r="E385" s="174">
        <f t="shared" si="121"/>
        <v>2728</v>
      </c>
      <c r="F385" s="201"/>
      <c r="G385" s="13">
        <v>41407</v>
      </c>
      <c r="H385" s="13">
        <f t="shared" si="126"/>
        <v>41324</v>
      </c>
      <c r="I385" s="13">
        <v>42165</v>
      </c>
      <c r="J385" s="13"/>
      <c r="K385" s="1">
        <f t="shared" si="123"/>
        <v>1970</v>
      </c>
      <c r="L385" s="1">
        <f t="shared" si="124"/>
        <v>83</v>
      </c>
      <c r="M385" s="1">
        <f t="shared" si="125"/>
        <v>758</v>
      </c>
      <c r="N385" s="1"/>
      <c r="O385" s="1" t="s">
        <v>417</v>
      </c>
      <c r="P385" s="1">
        <v>5.19</v>
      </c>
      <c r="Q385" s="1">
        <f t="shared" si="113"/>
        <v>1</v>
      </c>
      <c r="R385" s="1">
        <f t="shared" si="114"/>
        <v>1</v>
      </c>
      <c r="S385" s="1">
        <f t="shared" si="115"/>
        <v>1</v>
      </c>
      <c r="T385" s="1">
        <f t="shared" si="116"/>
        <v>1</v>
      </c>
      <c r="U385" s="1" t="s">
        <v>437</v>
      </c>
      <c r="V385" s="1"/>
      <c r="W385" s="1"/>
      <c r="X385" s="1"/>
      <c r="Y385" s="1"/>
      <c r="Z385" s="1">
        <v>0</v>
      </c>
      <c r="AA385" s="1">
        <v>0</v>
      </c>
      <c r="AB385" s="1"/>
      <c r="AC385" s="1">
        <v>0</v>
      </c>
      <c r="AD385" s="98">
        <v>0</v>
      </c>
      <c r="AE385" s="172">
        <v>60</v>
      </c>
      <c r="AF385" s="1" t="s">
        <v>417</v>
      </c>
      <c r="AG385" s="1">
        <v>2</v>
      </c>
      <c r="AH385" s="1">
        <v>0.5</v>
      </c>
      <c r="AI385" s="1">
        <v>4.5</v>
      </c>
      <c r="AJ385" s="1">
        <v>0.5</v>
      </c>
      <c r="AK385" s="1"/>
      <c r="AL385" s="1"/>
      <c r="AM385" s="1">
        <v>0</v>
      </c>
    </row>
    <row r="386" spans="1:39" x14ac:dyDescent="0.25">
      <c r="A386" s="181" t="s">
        <v>108</v>
      </c>
      <c r="B386" s="1">
        <v>2</v>
      </c>
      <c r="C386" s="1" t="s">
        <v>418</v>
      </c>
      <c r="D386" s="13">
        <v>39437</v>
      </c>
      <c r="E386" s="174">
        <f t="shared" si="121"/>
        <v>2728</v>
      </c>
      <c r="F386" s="201"/>
      <c r="G386" s="13">
        <v>41450</v>
      </c>
      <c r="H386" s="13">
        <f t="shared" si="126"/>
        <v>41407</v>
      </c>
      <c r="I386" s="13">
        <v>42165</v>
      </c>
      <c r="J386" s="13"/>
      <c r="K386" s="1">
        <f t="shared" si="123"/>
        <v>2013</v>
      </c>
      <c r="L386" s="1">
        <f t="shared" si="124"/>
        <v>43</v>
      </c>
      <c r="M386" s="1">
        <f t="shared" si="125"/>
        <v>715</v>
      </c>
      <c r="N386" s="1"/>
      <c r="O386" s="1" t="s">
        <v>417</v>
      </c>
      <c r="P386" s="1">
        <v>5.18</v>
      </c>
      <c r="Q386" s="1">
        <f t="shared" si="113"/>
        <v>1</v>
      </c>
      <c r="R386" s="1">
        <f t="shared" si="114"/>
        <v>1</v>
      </c>
      <c r="S386" s="1">
        <f t="shared" si="115"/>
        <v>1</v>
      </c>
      <c r="T386" s="1">
        <f t="shared" si="116"/>
        <v>1</v>
      </c>
      <c r="U386" s="1" t="s">
        <v>437</v>
      </c>
      <c r="V386" s="1"/>
      <c r="W386" s="1"/>
      <c r="X386" s="1"/>
      <c r="Y386" s="1"/>
      <c r="Z386" s="1">
        <v>11</v>
      </c>
      <c r="AA386" s="1">
        <v>0</v>
      </c>
      <c r="AB386" s="1"/>
      <c r="AC386" s="1">
        <v>0</v>
      </c>
      <c r="AD386" s="98">
        <v>0</v>
      </c>
      <c r="AE386" s="172">
        <v>60</v>
      </c>
      <c r="AF386" s="1" t="s">
        <v>417</v>
      </c>
      <c r="AG386" s="1">
        <v>2</v>
      </c>
      <c r="AH386" s="1">
        <v>0.5</v>
      </c>
      <c r="AI386" s="1">
        <v>4.5</v>
      </c>
      <c r="AJ386" s="1">
        <v>0.5</v>
      </c>
      <c r="AK386" s="1"/>
      <c r="AL386" s="1"/>
      <c r="AM386" s="1">
        <v>0</v>
      </c>
    </row>
    <row r="387" spans="1:39" x14ac:dyDescent="0.25">
      <c r="A387" s="181" t="s">
        <v>108</v>
      </c>
      <c r="B387" s="1">
        <v>2</v>
      </c>
      <c r="C387" s="1" t="s">
        <v>418</v>
      </c>
      <c r="D387" s="13">
        <v>39437</v>
      </c>
      <c r="E387" s="174">
        <f t="shared" si="121"/>
        <v>2728</v>
      </c>
      <c r="F387" s="201"/>
      <c r="G387" s="13">
        <v>41528</v>
      </c>
      <c r="H387" s="13">
        <f t="shared" si="126"/>
        <v>41450</v>
      </c>
      <c r="I387" s="13">
        <v>42165</v>
      </c>
      <c r="J387" s="13"/>
      <c r="K387" s="1">
        <f t="shared" si="123"/>
        <v>2091</v>
      </c>
      <c r="L387" s="1">
        <f t="shared" si="124"/>
        <v>78</v>
      </c>
      <c r="M387" s="1">
        <f t="shared" si="125"/>
        <v>637</v>
      </c>
      <c r="N387" s="1"/>
      <c r="O387" s="1" t="s">
        <v>417</v>
      </c>
      <c r="P387" s="1">
        <v>5.18</v>
      </c>
      <c r="Q387" s="1">
        <f t="shared" si="113"/>
        <v>1</v>
      </c>
      <c r="R387" s="1">
        <f t="shared" si="114"/>
        <v>1</v>
      </c>
      <c r="S387" s="1">
        <f t="shared" si="115"/>
        <v>1</v>
      </c>
      <c r="T387" s="1">
        <f t="shared" si="116"/>
        <v>1</v>
      </c>
      <c r="U387" s="1" t="s">
        <v>437</v>
      </c>
      <c r="V387" s="1"/>
      <c r="W387" s="1"/>
      <c r="X387" s="1"/>
      <c r="Y387" s="1"/>
      <c r="Z387" s="1">
        <v>0</v>
      </c>
      <c r="AA387" s="1">
        <v>0</v>
      </c>
      <c r="AB387" s="1"/>
      <c r="AC387" s="1">
        <v>0</v>
      </c>
      <c r="AD387" s="98">
        <v>0</v>
      </c>
      <c r="AE387" s="172">
        <v>60</v>
      </c>
      <c r="AF387" s="1" t="s">
        <v>417</v>
      </c>
      <c r="AG387" s="1">
        <v>2</v>
      </c>
      <c r="AH387" s="1">
        <v>0.5</v>
      </c>
      <c r="AI387" s="1">
        <v>3</v>
      </c>
      <c r="AJ387" s="1">
        <v>0.5</v>
      </c>
      <c r="AK387" s="1"/>
      <c r="AL387" s="1"/>
      <c r="AM387" s="1">
        <v>0</v>
      </c>
    </row>
    <row r="388" spans="1:39" x14ac:dyDescent="0.25">
      <c r="A388" s="181" t="s">
        <v>108</v>
      </c>
      <c r="B388" s="1">
        <v>2</v>
      </c>
      <c r="C388" s="1" t="s">
        <v>418</v>
      </c>
      <c r="D388" s="13">
        <v>39437</v>
      </c>
      <c r="E388" s="174">
        <f t="shared" si="121"/>
        <v>2728</v>
      </c>
      <c r="F388" s="201"/>
      <c r="G388" s="13">
        <v>41877</v>
      </c>
      <c r="H388" s="13">
        <f t="shared" si="126"/>
        <v>41528</v>
      </c>
      <c r="I388" s="13">
        <v>42165</v>
      </c>
      <c r="J388" s="13"/>
      <c r="K388" s="1">
        <f t="shared" si="123"/>
        <v>2440</v>
      </c>
      <c r="L388" s="1">
        <f t="shared" si="124"/>
        <v>349</v>
      </c>
      <c r="M388" s="1">
        <f t="shared" si="125"/>
        <v>288</v>
      </c>
      <c r="N388" s="1"/>
      <c r="O388" s="1" t="s">
        <v>417</v>
      </c>
      <c r="P388" s="1">
        <v>5.15</v>
      </c>
      <c r="Q388" s="1"/>
      <c r="R388" s="1"/>
      <c r="S388" s="1">
        <f t="shared" si="115"/>
        <v>1</v>
      </c>
      <c r="T388" s="1">
        <f t="shared" si="116"/>
        <v>1</v>
      </c>
      <c r="U388" s="1"/>
      <c r="V388" s="1"/>
      <c r="W388" s="1"/>
      <c r="X388" s="1"/>
      <c r="Y388" s="1"/>
      <c r="Z388" s="1">
        <v>0</v>
      </c>
      <c r="AA388" s="1">
        <v>0</v>
      </c>
      <c r="AB388" s="1"/>
      <c r="AC388" s="1">
        <v>0</v>
      </c>
      <c r="AD388" s="98">
        <v>0</v>
      </c>
      <c r="AE388" s="172">
        <v>60</v>
      </c>
      <c r="AF388" s="1" t="s">
        <v>417</v>
      </c>
      <c r="AG388" s="1">
        <v>2</v>
      </c>
      <c r="AH388" s="1">
        <v>0.5</v>
      </c>
      <c r="AI388" s="1">
        <v>3</v>
      </c>
      <c r="AJ388" s="1">
        <v>0.5</v>
      </c>
      <c r="AK388" s="1"/>
      <c r="AL388" s="1"/>
      <c r="AM388" s="1">
        <v>0</v>
      </c>
    </row>
    <row r="389" spans="1:39" x14ac:dyDescent="0.25">
      <c r="A389" s="181" t="s">
        <v>108</v>
      </c>
      <c r="B389" s="1">
        <v>2</v>
      </c>
      <c r="C389" s="1" t="s">
        <v>418</v>
      </c>
      <c r="D389" s="13">
        <v>39437</v>
      </c>
      <c r="E389" s="174">
        <f t="shared" si="121"/>
        <v>2728</v>
      </c>
      <c r="F389" s="201"/>
      <c r="G389" s="13">
        <v>42052</v>
      </c>
      <c r="H389" s="13">
        <f t="shared" si="126"/>
        <v>41877</v>
      </c>
      <c r="I389" s="13">
        <v>42165</v>
      </c>
      <c r="J389" s="13"/>
      <c r="K389" s="1">
        <f t="shared" si="123"/>
        <v>2615</v>
      </c>
      <c r="L389" s="1">
        <f t="shared" si="124"/>
        <v>175</v>
      </c>
      <c r="M389" s="1">
        <f t="shared" si="125"/>
        <v>113</v>
      </c>
      <c r="N389" s="1"/>
      <c r="O389" s="1" t="s">
        <v>417</v>
      </c>
      <c r="P389" s="1">
        <v>5.09</v>
      </c>
      <c r="Q389" s="1"/>
      <c r="R389" s="1"/>
      <c r="S389" s="1"/>
      <c r="T389" s="1">
        <f t="shared" si="116"/>
        <v>1</v>
      </c>
      <c r="U389" s="1"/>
      <c r="V389" s="1"/>
      <c r="W389" s="1"/>
      <c r="X389" s="1"/>
      <c r="Y389" s="1"/>
      <c r="Z389" s="1">
        <v>0</v>
      </c>
      <c r="AA389" s="1">
        <v>0</v>
      </c>
      <c r="AB389" s="1"/>
      <c r="AC389" s="1">
        <v>0</v>
      </c>
      <c r="AD389" s="98">
        <v>0</v>
      </c>
      <c r="AE389" s="172">
        <v>60</v>
      </c>
      <c r="AF389" s="1" t="s">
        <v>417</v>
      </c>
      <c r="AG389" s="1">
        <v>2</v>
      </c>
      <c r="AH389" s="1">
        <v>0.5</v>
      </c>
      <c r="AI389" s="1">
        <v>3</v>
      </c>
      <c r="AJ389" s="1">
        <v>0.5</v>
      </c>
      <c r="AK389" s="1"/>
      <c r="AL389" s="1"/>
      <c r="AM389" s="1">
        <v>0</v>
      </c>
    </row>
    <row r="390" spans="1:39" x14ac:dyDescent="0.25">
      <c r="A390" s="181" t="s">
        <v>108</v>
      </c>
      <c r="B390" s="1">
        <v>2</v>
      </c>
      <c r="C390" s="1" t="s">
        <v>418</v>
      </c>
      <c r="D390" s="13">
        <v>39437</v>
      </c>
      <c r="E390" s="174">
        <f t="shared" si="121"/>
        <v>2728</v>
      </c>
      <c r="F390" s="201"/>
      <c r="G390" s="13">
        <v>42139</v>
      </c>
      <c r="H390" s="13">
        <f t="shared" si="126"/>
        <v>42052</v>
      </c>
      <c r="I390" s="13">
        <v>42165</v>
      </c>
      <c r="J390" s="13"/>
      <c r="K390" s="1">
        <f t="shared" si="123"/>
        <v>2702</v>
      </c>
      <c r="L390" s="1">
        <f t="shared" si="124"/>
        <v>87</v>
      </c>
      <c r="M390" s="1">
        <f t="shared" si="125"/>
        <v>26</v>
      </c>
      <c r="N390" s="1"/>
      <c r="O390" s="1" t="s">
        <v>417</v>
      </c>
      <c r="P390" s="1">
        <v>5.04</v>
      </c>
      <c r="Q390" s="1"/>
      <c r="R390" s="1"/>
      <c r="S390" s="1"/>
      <c r="T390" s="1"/>
      <c r="U390" s="1"/>
      <c r="V390" s="1"/>
      <c r="W390" s="1"/>
      <c r="X390" s="1"/>
      <c r="Y390" s="1"/>
      <c r="Z390" s="1">
        <v>0</v>
      </c>
      <c r="AA390" s="1">
        <v>0</v>
      </c>
      <c r="AB390" s="1"/>
      <c r="AC390" s="1">
        <v>0</v>
      </c>
      <c r="AD390" s="98">
        <v>0</v>
      </c>
      <c r="AE390" s="172">
        <v>60</v>
      </c>
      <c r="AF390" s="1" t="s">
        <v>417</v>
      </c>
      <c r="AG390" s="1">
        <v>2</v>
      </c>
      <c r="AH390" s="1">
        <v>0.5</v>
      </c>
      <c r="AI390" s="1">
        <v>3</v>
      </c>
      <c r="AJ390" s="1">
        <v>0.5</v>
      </c>
      <c r="AK390" s="1"/>
      <c r="AL390" s="1"/>
      <c r="AM390" s="1">
        <v>0</v>
      </c>
    </row>
    <row r="391" spans="1:39" x14ac:dyDescent="0.25">
      <c r="A391" s="181" t="s">
        <v>108</v>
      </c>
      <c r="B391" s="1">
        <v>2</v>
      </c>
      <c r="C391" s="1" t="s">
        <v>418</v>
      </c>
      <c r="D391" s="13">
        <v>39437</v>
      </c>
      <c r="E391" s="1">
        <f t="shared" si="121"/>
        <v>2728</v>
      </c>
      <c r="F391" s="1"/>
      <c r="G391" s="13">
        <v>42165</v>
      </c>
      <c r="H391" s="13">
        <f t="shared" si="126"/>
        <v>42139</v>
      </c>
      <c r="I391" s="13">
        <v>42165</v>
      </c>
      <c r="J391" s="13"/>
      <c r="K391" s="1">
        <f t="shared" si="123"/>
        <v>2728</v>
      </c>
      <c r="L391" s="1">
        <f t="shared" si="124"/>
        <v>26</v>
      </c>
      <c r="M391" s="1">
        <f t="shared" si="125"/>
        <v>0</v>
      </c>
      <c r="N391" s="1"/>
      <c r="O391" s="1" t="s">
        <v>417</v>
      </c>
      <c r="P391" s="1">
        <v>5.01</v>
      </c>
      <c r="Q391" s="1"/>
      <c r="R391" s="1"/>
      <c r="S391" s="1"/>
      <c r="T391" s="1"/>
      <c r="U391" s="1"/>
      <c r="V391" s="1"/>
      <c r="W391" s="1"/>
      <c r="X391" s="1"/>
      <c r="Y391" s="1"/>
      <c r="Z391" s="1">
        <v>4</v>
      </c>
      <c r="AA391" s="1">
        <v>0</v>
      </c>
      <c r="AB391" s="1"/>
      <c r="AC391" s="1">
        <v>0</v>
      </c>
      <c r="AD391" s="1">
        <v>0</v>
      </c>
      <c r="AE391" s="1">
        <v>60</v>
      </c>
      <c r="AF391" s="1" t="s">
        <v>417</v>
      </c>
      <c r="AG391" s="1">
        <v>2</v>
      </c>
      <c r="AH391" s="1">
        <v>0.5</v>
      </c>
      <c r="AI391" s="1">
        <v>2.5</v>
      </c>
      <c r="AJ391" s="1">
        <v>0.5</v>
      </c>
      <c r="AK391" s="1"/>
      <c r="AL391" s="1"/>
      <c r="AM391" s="1">
        <v>0</v>
      </c>
    </row>
    <row r="392" spans="1:39" x14ac:dyDescent="0.25">
      <c r="A392" s="184" t="s">
        <v>112</v>
      </c>
      <c r="B392" s="1">
        <v>2</v>
      </c>
      <c r="C392" s="1" t="s">
        <v>418</v>
      </c>
      <c r="D392" s="13">
        <v>39948</v>
      </c>
      <c r="E392" s="1">
        <f t="shared" si="121"/>
        <v>2216</v>
      </c>
      <c r="F392" s="1"/>
      <c r="G392" s="13">
        <v>40099</v>
      </c>
      <c r="H392" s="13">
        <v>39948</v>
      </c>
      <c r="I392" s="13">
        <v>42164</v>
      </c>
      <c r="J392" s="13"/>
      <c r="K392" s="1">
        <f t="shared" si="123"/>
        <v>151</v>
      </c>
      <c r="L392" s="1">
        <f t="shared" si="124"/>
        <v>151</v>
      </c>
      <c r="M392" s="1">
        <f t="shared" si="125"/>
        <v>2065</v>
      </c>
      <c r="N392" s="1"/>
      <c r="O392" s="1" t="s">
        <v>417</v>
      </c>
      <c r="P392" s="1">
        <v>6.48</v>
      </c>
      <c r="Q392" s="1">
        <f t="shared" si="113"/>
        <v>1</v>
      </c>
      <c r="R392" s="1">
        <f t="shared" si="114"/>
        <v>1</v>
      </c>
      <c r="S392" s="1">
        <f t="shared" si="115"/>
        <v>1</v>
      </c>
      <c r="T392" s="1">
        <f t="shared" si="116"/>
        <v>1</v>
      </c>
      <c r="U392" s="1" t="s">
        <v>437</v>
      </c>
      <c r="V392" s="1"/>
      <c r="W392" s="1"/>
      <c r="X392" s="1"/>
      <c r="Y392" s="1"/>
      <c r="Z392" s="1">
        <v>23</v>
      </c>
      <c r="AA392" s="1">
        <v>2</v>
      </c>
      <c r="AB392" s="1"/>
      <c r="AC392" s="1">
        <v>0</v>
      </c>
      <c r="AD392" s="1">
        <v>0</v>
      </c>
      <c r="AE392" s="1">
        <v>60</v>
      </c>
      <c r="AF392" s="1" t="s">
        <v>417</v>
      </c>
      <c r="AG392" s="1">
        <v>3.5</v>
      </c>
      <c r="AH392" s="1">
        <v>0.35</v>
      </c>
      <c r="AI392" s="1">
        <v>3.5</v>
      </c>
      <c r="AJ392" s="1">
        <v>0.35</v>
      </c>
      <c r="AK392" s="1"/>
      <c r="AL392" s="1"/>
      <c r="AM392" s="1">
        <v>0</v>
      </c>
    </row>
    <row r="393" spans="1:39" x14ac:dyDescent="0.25">
      <c r="A393" s="184" t="s">
        <v>112</v>
      </c>
      <c r="B393" s="1">
        <v>2</v>
      </c>
      <c r="C393" s="1" t="s">
        <v>418</v>
      </c>
      <c r="D393" s="13">
        <v>39948</v>
      </c>
      <c r="E393" s="1">
        <f t="shared" si="121"/>
        <v>2216</v>
      </c>
      <c r="F393" s="1"/>
      <c r="G393" s="13">
        <v>40281</v>
      </c>
      <c r="H393" s="13">
        <f>G392</f>
        <v>40099</v>
      </c>
      <c r="I393" s="13">
        <v>42164</v>
      </c>
      <c r="J393" s="13"/>
      <c r="K393" s="1">
        <f t="shared" si="123"/>
        <v>333</v>
      </c>
      <c r="L393" s="1">
        <f t="shared" si="124"/>
        <v>182</v>
      </c>
      <c r="M393" s="1">
        <f t="shared" si="125"/>
        <v>1883</v>
      </c>
      <c r="N393" s="1"/>
      <c r="O393" s="1" t="s">
        <v>417</v>
      </c>
      <c r="P393" s="1">
        <v>6.46</v>
      </c>
      <c r="Q393" s="1">
        <f t="shared" si="113"/>
        <v>1</v>
      </c>
      <c r="R393" s="1">
        <f t="shared" si="114"/>
        <v>1</v>
      </c>
      <c r="S393" s="1">
        <f t="shared" si="115"/>
        <v>1</v>
      </c>
      <c r="T393" s="1">
        <f t="shared" si="116"/>
        <v>1</v>
      </c>
      <c r="U393" s="1" t="s">
        <v>437</v>
      </c>
      <c r="V393" s="1"/>
      <c r="W393" s="1"/>
      <c r="X393" s="1"/>
      <c r="Y393" s="1"/>
      <c r="Z393" s="1">
        <v>20</v>
      </c>
      <c r="AA393" s="1">
        <v>5</v>
      </c>
      <c r="AB393" s="1"/>
      <c r="AC393" s="1">
        <v>0</v>
      </c>
      <c r="AD393" s="1">
        <v>0</v>
      </c>
      <c r="AE393" s="1">
        <v>60</v>
      </c>
      <c r="AF393" s="1" t="s">
        <v>417</v>
      </c>
      <c r="AG393" s="1">
        <v>3.5</v>
      </c>
      <c r="AH393" s="1">
        <v>0.35</v>
      </c>
      <c r="AI393" s="1">
        <v>3.5</v>
      </c>
      <c r="AJ393" s="1">
        <v>0.35</v>
      </c>
      <c r="AK393" s="1"/>
      <c r="AL393" s="1"/>
      <c r="AM393" s="1">
        <v>0</v>
      </c>
    </row>
    <row r="394" spans="1:39" x14ac:dyDescent="0.25">
      <c r="A394" s="184" t="s">
        <v>112</v>
      </c>
      <c r="B394" s="1">
        <v>2</v>
      </c>
      <c r="C394" s="1" t="s">
        <v>418</v>
      </c>
      <c r="D394" s="13">
        <v>39948</v>
      </c>
      <c r="E394" s="1">
        <f t="shared" si="121"/>
        <v>2216</v>
      </c>
      <c r="F394" s="1"/>
      <c r="G394" s="13">
        <v>40484</v>
      </c>
      <c r="H394" s="13">
        <f t="shared" ref="H394:H404" si="127">G393</f>
        <v>40281</v>
      </c>
      <c r="I394" s="13">
        <v>42164</v>
      </c>
      <c r="J394" s="13"/>
      <c r="K394" s="1">
        <f t="shared" si="123"/>
        <v>536</v>
      </c>
      <c r="L394" s="1">
        <f t="shared" si="124"/>
        <v>203</v>
      </c>
      <c r="M394" s="1">
        <f t="shared" si="125"/>
        <v>1680</v>
      </c>
      <c r="N394" s="1"/>
      <c r="O394" s="1" t="s">
        <v>417</v>
      </c>
      <c r="P394" s="1">
        <v>6.41</v>
      </c>
      <c r="Q394" s="1">
        <f t="shared" si="113"/>
        <v>1</v>
      </c>
      <c r="R394" s="1">
        <f t="shared" si="114"/>
        <v>1</v>
      </c>
      <c r="S394" s="1">
        <f t="shared" si="115"/>
        <v>1</v>
      </c>
      <c r="T394" s="1">
        <f t="shared" si="116"/>
        <v>1</v>
      </c>
      <c r="U394" s="1" t="s">
        <v>437</v>
      </c>
      <c r="V394" s="1"/>
      <c r="W394" s="1"/>
      <c r="X394" s="1"/>
      <c r="Y394" s="1"/>
      <c r="Z394" s="1">
        <v>29</v>
      </c>
      <c r="AA394" s="1">
        <v>34</v>
      </c>
      <c r="AB394" s="1"/>
      <c r="AC394" s="1">
        <v>0</v>
      </c>
      <c r="AD394" s="1">
        <v>0</v>
      </c>
      <c r="AE394" s="1">
        <v>60</v>
      </c>
      <c r="AF394" s="1" t="s">
        <v>417</v>
      </c>
      <c r="AG394" s="1">
        <v>3.5</v>
      </c>
      <c r="AH394" s="1">
        <v>0.35</v>
      </c>
      <c r="AI394" s="1">
        <v>3.5</v>
      </c>
      <c r="AJ394" s="1">
        <v>0.35</v>
      </c>
      <c r="AK394" s="1"/>
      <c r="AL394" s="1"/>
      <c r="AM394" s="1">
        <v>0</v>
      </c>
    </row>
    <row r="395" spans="1:39" x14ac:dyDescent="0.25">
      <c r="A395" s="184" t="s">
        <v>112</v>
      </c>
      <c r="B395" s="1">
        <v>2</v>
      </c>
      <c r="C395" s="1" t="s">
        <v>418</v>
      </c>
      <c r="D395" s="13">
        <v>39948</v>
      </c>
      <c r="E395" s="174">
        <f t="shared" si="121"/>
        <v>2216</v>
      </c>
      <c r="F395" s="201"/>
      <c r="G395" s="13">
        <v>40666</v>
      </c>
      <c r="H395" s="13">
        <f t="shared" si="127"/>
        <v>40484</v>
      </c>
      <c r="I395" s="13">
        <v>42164</v>
      </c>
      <c r="J395" s="13"/>
      <c r="K395" s="1">
        <f t="shared" si="123"/>
        <v>718</v>
      </c>
      <c r="L395" s="1">
        <f t="shared" si="124"/>
        <v>182</v>
      </c>
      <c r="M395" s="1">
        <f t="shared" si="125"/>
        <v>1498</v>
      </c>
      <c r="N395" s="1"/>
      <c r="O395" s="1" t="s">
        <v>417</v>
      </c>
      <c r="P395" s="1">
        <v>6.36</v>
      </c>
      <c r="Q395" s="1">
        <f t="shared" si="113"/>
        <v>1</v>
      </c>
      <c r="R395" s="1">
        <f t="shared" si="114"/>
        <v>1</v>
      </c>
      <c r="S395" s="1">
        <f t="shared" si="115"/>
        <v>1</v>
      </c>
      <c r="T395" s="1">
        <f t="shared" si="116"/>
        <v>1</v>
      </c>
      <c r="U395" s="1" t="s">
        <v>437</v>
      </c>
      <c r="V395" s="1"/>
      <c r="W395" s="1"/>
      <c r="X395" s="1"/>
      <c r="Y395" s="1"/>
      <c r="Z395" s="1">
        <v>77</v>
      </c>
      <c r="AA395" s="1">
        <v>77</v>
      </c>
      <c r="AB395" s="1"/>
      <c r="AC395" s="1">
        <v>0</v>
      </c>
      <c r="AD395" s="98">
        <v>0</v>
      </c>
      <c r="AE395" s="172">
        <v>60</v>
      </c>
      <c r="AF395" s="1" t="s">
        <v>417</v>
      </c>
      <c r="AG395" s="1">
        <v>3.5</v>
      </c>
      <c r="AH395" s="1">
        <v>0.35</v>
      </c>
      <c r="AI395" s="1">
        <v>3.5</v>
      </c>
      <c r="AJ395" s="1">
        <v>0.35</v>
      </c>
      <c r="AK395" s="1"/>
      <c r="AL395" s="1"/>
      <c r="AM395" s="1">
        <v>0</v>
      </c>
    </row>
    <row r="396" spans="1:39" x14ac:dyDescent="0.25">
      <c r="A396" s="184" t="s">
        <v>112</v>
      </c>
      <c r="B396" s="1">
        <v>2</v>
      </c>
      <c r="C396" s="1" t="s">
        <v>418</v>
      </c>
      <c r="D396" s="13">
        <v>39948</v>
      </c>
      <c r="E396" s="174">
        <f t="shared" ref="E396:E404" si="128">I396-D396</f>
        <v>2216</v>
      </c>
      <c r="F396" s="201"/>
      <c r="G396" s="13">
        <v>40869</v>
      </c>
      <c r="H396" s="13">
        <f t="shared" si="127"/>
        <v>40666</v>
      </c>
      <c r="I396" s="13">
        <v>42164</v>
      </c>
      <c r="J396" s="13"/>
      <c r="K396" s="1">
        <f t="shared" si="123"/>
        <v>921</v>
      </c>
      <c r="L396" s="1">
        <f t="shared" si="124"/>
        <v>203</v>
      </c>
      <c r="M396" s="1">
        <f t="shared" si="125"/>
        <v>1295</v>
      </c>
      <c r="N396" s="1"/>
      <c r="O396" s="1" t="s">
        <v>417</v>
      </c>
      <c r="P396" s="1">
        <v>6.12</v>
      </c>
      <c r="Q396" s="1">
        <f t="shared" si="113"/>
        <v>1</v>
      </c>
      <c r="R396" s="1">
        <f t="shared" si="114"/>
        <v>1</v>
      </c>
      <c r="S396" s="1">
        <f t="shared" si="115"/>
        <v>1</v>
      </c>
      <c r="T396" s="1">
        <f t="shared" si="116"/>
        <v>1</v>
      </c>
      <c r="U396" s="1" t="s">
        <v>437</v>
      </c>
      <c r="V396" s="1"/>
      <c r="W396" s="1"/>
      <c r="X396" s="1"/>
      <c r="Y396" s="1"/>
      <c r="Z396" s="1">
        <v>70</v>
      </c>
      <c r="AA396" s="1">
        <v>70</v>
      </c>
      <c r="AB396" s="1"/>
      <c r="AC396" s="1">
        <v>0</v>
      </c>
      <c r="AD396" s="98">
        <v>0</v>
      </c>
      <c r="AE396" s="172">
        <v>60</v>
      </c>
      <c r="AF396" s="1" t="s">
        <v>417</v>
      </c>
      <c r="AG396" s="1">
        <v>3.5</v>
      </c>
      <c r="AH396" s="1">
        <v>0.35</v>
      </c>
      <c r="AI396" s="1">
        <v>2.5</v>
      </c>
      <c r="AJ396" s="1">
        <v>0.35</v>
      </c>
      <c r="AK396" s="1"/>
      <c r="AL396" s="1"/>
      <c r="AM396" s="1">
        <v>0</v>
      </c>
    </row>
    <row r="397" spans="1:39" x14ac:dyDescent="0.25">
      <c r="A397" s="184" t="s">
        <v>112</v>
      </c>
      <c r="B397" s="1">
        <v>2</v>
      </c>
      <c r="C397" s="1" t="s">
        <v>418</v>
      </c>
      <c r="D397" s="13">
        <v>39948</v>
      </c>
      <c r="E397" s="174">
        <f t="shared" si="128"/>
        <v>2216</v>
      </c>
      <c r="F397" s="201"/>
      <c r="G397" s="13">
        <v>41058</v>
      </c>
      <c r="H397" s="13">
        <f t="shared" si="127"/>
        <v>40869</v>
      </c>
      <c r="I397" s="13">
        <v>42164</v>
      </c>
      <c r="J397" s="13"/>
      <c r="K397" s="1">
        <f t="shared" si="123"/>
        <v>1110</v>
      </c>
      <c r="L397" s="1">
        <f t="shared" si="124"/>
        <v>189</v>
      </c>
      <c r="M397" s="1">
        <f t="shared" si="125"/>
        <v>1106</v>
      </c>
      <c r="N397" s="1"/>
      <c r="O397" s="1" t="s">
        <v>417</v>
      </c>
      <c r="P397" s="1">
        <v>5.89</v>
      </c>
      <c r="Q397" s="1">
        <f t="shared" si="113"/>
        <v>1</v>
      </c>
      <c r="R397" s="1">
        <f t="shared" si="114"/>
        <v>1</v>
      </c>
      <c r="S397" s="1">
        <f t="shared" si="115"/>
        <v>1</v>
      </c>
      <c r="T397" s="1">
        <f t="shared" si="116"/>
        <v>1</v>
      </c>
      <c r="U397" s="1" t="s">
        <v>437</v>
      </c>
      <c r="V397" s="1"/>
      <c r="W397" s="1"/>
      <c r="X397" s="1"/>
      <c r="Y397" s="1"/>
      <c r="Z397" s="1">
        <v>60</v>
      </c>
      <c r="AA397" s="1">
        <v>60</v>
      </c>
      <c r="AB397" s="1"/>
      <c r="AC397" s="1">
        <v>0</v>
      </c>
      <c r="AD397" s="98">
        <v>0</v>
      </c>
      <c r="AE397" s="172">
        <v>60</v>
      </c>
      <c r="AF397" s="1" t="s">
        <v>417</v>
      </c>
      <c r="AG397" s="1">
        <v>3</v>
      </c>
      <c r="AH397" s="1">
        <v>0.35</v>
      </c>
      <c r="AI397" s="1">
        <v>2.5</v>
      </c>
      <c r="AJ397" s="1">
        <v>0.35</v>
      </c>
      <c r="AK397" s="1"/>
      <c r="AL397" s="1"/>
      <c r="AM397" s="1">
        <v>0</v>
      </c>
    </row>
    <row r="398" spans="1:39" x14ac:dyDescent="0.25">
      <c r="A398" s="184" t="s">
        <v>112</v>
      </c>
      <c r="B398" s="1">
        <v>2</v>
      </c>
      <c r="C398" s="1" t="s">
        <v>418</v>
      </c>
      <c r="D398" s="13">
        <v>39948</v>
      </c>
      <c r="E398" s="174">
        <f t="shared" si="128"/>
        <v>2216</v>
      </c>
      <c r="F398" s="201"/>
      <c r="G398" s="13">
        <v>41247</v>
      </c>
      <c r="H398" s="13">
        <f t="shared" si="127"/>
        <v>41058</v>
      </c>
      <c r="I398" s="13">
        <v>42164</v>
      </c>
      <c r="J398" s="13"/>
      <c r="K398" s="1">
        <f t="shared" si="123"/>
        <v>1299</v>
      </c>
      <c r="L398" s="1">
        <f t="shared" si="124"/>
        <v>189</v>
      </c>
      <c r="M398" s="1">
        <f t="shared" si="125"/>
        <v>917</v>
      </c>
      <c r="N398" s="1"/>
      <c r="O398" s="1" t="s">
        <v>417</v>
      </c>
      <c r="P398" s="1">
        <v>5.55</v>
      </c>
      <c r="Q398" s="1">
        <f t="shared" si="113"/>
        <v>1</v>
      </c>
      <c r="R398" s="1">
        <f t="shared" si="114"/>
        <v>1</v>
      </c>
      <c r="S398" s="1">
        <f t="shared" si="115"/>
        <v>1</v>
      </c>
      <c r="T398" s="1">
        <f t="shared" si="116"/>
        <v>1</v>
      </c>
      <c r="U398" s="1" t="s">
        <v>437</v>
      </c>
      <c r="V398" s="1"/>
      <c r="W398" s="1"/>
      <c r="X398" s="1"/>
      <c r="Y398" s="1"/>
      <c r="Z398" s="1">
        <v>56</v>
      </c>
      <c r="AA398" s="1">
        <v>56</v>
      </c>
      <c r="AB398" s="1"/>
      <c r="AC398" s="1">
        <v>0</v>
      </c>
      <c r="AD398" s="98">
        <v>0</v>
      </c>
      <c r="AE398" s="172">
        <v>60</v>
      </c>
      <c r="AF398" s="1" t="s">
        <v>417</v>
      </c>
      <c r="AG398" s="1">
        <v>3</v>
      </c>
      <c r="AH398" s="1">
        <v>0.35</v>
      </c>
      <c r="AI398" s="1">
        <v>2.5</v>
      </c>
      <c r="AJ398" s="1">
        <v>0.35</v>
      </c>
      <c r="AK398" s="1"/>
      <c r="AL398" s="1"/>
      <c r="AM398" s="1">
        <v>0</v>
      </c>
    </row>
    <row r="399" spans="1:39" x14ac:dyDescent="0.25">
      <c r="A399" s="184" t="s">
        <v>112</v>
      </c>
      <c r="B399" s="1">
        <v>2</v>
      </c>
      <c r="C399" s="1" t="s">
        <v>418</v>
      </c>
      <c r="D399" s="13">
        <v>39948</v>
      </c>
      <c r="E399" s="174">
        <f t="shared" si="128"/>
        <v>2216</v>
      </c>
      <c r="F399" s="201"/>
      <c r="G399" s="13">
        <v>41351</v>
      </c>
      <c r="H399" s="13">
        <f t="shared" si="127"/>
        <v>41247</v>
      </c>
      <c r="I399" s="13">
        <v>42164</v>
      </c>
      <c r="J399" s="13"/>
      <c r="K399" s="1">
        <f t="shared" si="123"/>
        <v>1403</v>
      </c>
      <c r="L399" s="1">
        <f t="shared" si="124"/>
        <v>104</v>
      </c>
      <c r="M399" s="1">
        <f t="shared" si="125"/>
        <v>813</v>
      </c>
      <c r="N399" s="1"/>
      <c r="O399" s="1" t="s">
        <v>417</v>
      </c>
      <c r="P399" s="1">
        <v>5.34</v>
      </c>
      <c r="Q399" s="1">
        <f t="shared" si="113"/>
        <v>1</v>
      </c>
      <c r="R399" s="1">
        <f t="shared" si="114"/>
        <v>1</v>
      </c>
      <c r="S399" s="1">
        <f t="shared" si="115"/>
        <v>1</v>
      </c>
      <c r="T399" s="1">
        <f t="shared" si="116"/>
        <v>1</v>
      </c>
      <c r="U399" s="1" t="s">
        <v>437</v>
      </c>
      <c r="V399" s="1"/>
      <c r="W399" s="1"/>
      <c r="X399" s="1"/>
      <c r="Y399" s="1"/>
      <c r="Z399" s="1">
        <v>99</v>
      </c>
      <c r="AA399" s="1">
        <v>99</v>
      </c>
      <c r="AB399" s="1"/>
      <c r="AC399" s="1">
        <v>0</v>
      </c>
      <c r="AD399" s="98">
        <v>0</v>
      </c>
      <c r="AE399" s="172">
        <v>60</v>
      </c>
      <c r="AF399" s="1" t="s">
        <v>417</v>
      </c>
      <c r="AG399" s="1">
        <v>2.5</v>
      </c>
      <c r="AH399" s="1">
        <v>0.35</v>
      </c>
      <c r="AI399" s="1">
        <v>2</v>
      </c>
      <c r="AJ399" s="1">
        <v>0.35</v>
      </c>
      <c r="AK399" s="1"/>
      <c r="AL399" s="1"/>
      <c r="AM399" s="1">
        <v>0</v>
      </c>
    </row>
    <row r="400" spans="1:39" x14ac:dyDescent="0.25">
      <c r="A400" s="184" t="s">
        <v>112</v>
      </c>
      <c r="B400" s="1">
        <v>2</v>
      </c>
      <c r="C400" s="1" t="s">
        <v>418</v>
      </c>
      <c r="D400" s="13">
        <v>39948</v>
      </c>
      <c r="E400" s="174">
        <f t="shared" si="128"/>
        <v>2216</v>
      </c>
      <c r="F400" s="201"/>
      <c r="G400" s="13">
        <v>41436</v>
      </c>
      <c r="H400" s="13">
        <f t="shared" si="127"/>
        <v>41351</v>
      </c>
      <c r="I400" s="13">
        <v>42164</v>
      </c>
      <c r="J400" s="13"/>
      <c r="K400" s="1">
        <f t="shared" si="123"/>
        <v>1488</v>
      </c>
      <c r="L400" s="1">
        <f t="shared" si="124"/>
        <v>85</v>
      </c>
      <c r="M400" s="1">
        <f t="shared" si="125"/>
        <v>728</v>
      </c>
      <c r="N400" s="1"/>
      <c r="O400" s="1" t="s">
        <v>417</v>
      </c>
      <c r="P400" s="1">
        <v>5.28</v>
      </c>
      <c r="Q400" s="1">
        <f t="shared" si="113"/>
        <v>1</v>
      </c>
      <c r="R400" s="1">
        <f t="shared" si="114"/>
        <v>1</v>
      </c>
      <c r="S400" s="1">
        <f t="shared" si="115"/>
        <v>1</v>
      </c>
      <c r="T400" s="1">
        <f t="shared" si="116"/>
        <v>1</v>
      </c>
      <c r="U400" s="1" t="s">
        <v>437</v>
      </c>
      <c r="V400" s="1"/>
      <c r="W400" s="1"/>
      <c r="X400" s="1"/>
      <c r="Y400" s="1"/>
      <c r="Z400" s="1">
        <v>48</v>
      </c>
      <c r="AA400" s="1">
        <v>69</v>
      </c>
      <c r="AB400" s="1"/>
      <c r="AC400" s="1">
        <v>0</v>
      </c>
      <c r="AD400" s="98">
        <v>0</v>
      </c>
      <c r="AE400" s="172">
        <v>60</v>
      </c>
      <c r="AF400" s="1" t="s">
        <v>434</v>
      </c>
      <c r="AG400" s="1">
        <v>2.5</v>
      </c>
      <c r="AH400" s="1">
        <v>0.35</v>
      </c>
      <c r="AI400" s="1">
        <v>2</v>
      </c>
      <c r="AJ400" s="1">
        <v>0.35</v>
      </c>
      <c r="AK400" s="1"/>
      <c r="AL400" s="1"/>
      <c r="AM400" s="1">
        <v>0</v>
      </c>
    </row>
    <row r="401" spans="1:39" x14ac:dyDescent="0.25">
      <c r="A401" s="184" t="s">
        <v>112</v>
      </c>
      <c r="B401" s="1">
        <v>2</v>
      </c>
      <c r="C401" s="1" t="s">
        <v>418</v>
      </c>
      <c r="D401" s="13">
        <v>39948</v>
      </c>
      <c r="E401" s="174">
        <f t="shared" si="128"/>
        <v>2216</v>
      </c>
      <c r="F401" s="201"/>
      <c r="G401" s="13">
        <v>41554</v>
      </c>
      <c r="H401" s="13">
        <f t="shared" si="127"/>
        <v>41436</v>
      </c>
      <c r="I401" s="13">
        <v>42164</v>
      </c>
      <c r="J401" s="13"/>
      <c r="K401" s="1">
        <f t="shared" si="123"/>
        <v>1606</v>
      </c>
      <c r="L401" s="1">
        <f t="shared" si="124"/>
        <v>118</v>
      </c>
      <c r="M401" s="1">
        <f t="shared" si="125"/>
        <v>610</v>
      </c>
      <c r="N401" s="1"/>
      <c r="O401" s="1" t="s">
        <v>417</v>
      </c>
      <c r="P401" s="1">
        <v>5.21</v>
      </c>
      <c r="Q401" s="1">
        <f t="shared" si="113"/>
        <v>1</v>
      </c>
      <c r="R401" s="1">
        <f t="shared" si="114"/>
        <v>1</v>
      </c>
      <c r="S401" s="1">
        <f t="shared" si="115"/>
        <v>1</v>
      </c>
      <c r="T401" s="1">
        <f t="shared" si="116"/>
        <v>1</v>
      </c>
      <c r="U401" s="1" t="s">
        <v>437</v>
      </c>
      <c r="V401" s="1"/>
      <c r="W401" s="1"/>
      <c r="X401" s="1"/>
      <c r="Y401" s="1"/>
      <c r="Z401" s="1">
        <v>41</v>
      </c>
      <c r="AA401" s="1">
        <v>79</v>
      </c>
      <c r="AB401" s="1"/>
      <c r="AC401" s="1">
        <v>0</v>
      </c>
      <c r="AD401" s="98">
        <v>0</v>
      </c>
      <c r="AE401" s="172">
        <v>60</v>
      </c>
      <c r="AF401" s="1" t="s">
        <v>434</v>
      </c>
      <c r="AG401" s="1">
        <v>2.5</v>
      </c>
      <c r="AH401" s="1">
        <v>0.35</v>
      </c>
      <c r="AI401" s="1">
        <v>2</v>
      </c>
      <c r="AJ401" s="1">
        <v>0.35</v>
      </c>
      <c r="AK401" s="1"/>
      <c r="AL401" s="1"/>
      <c r="AM401" s="1">
        <v>0</v>
      </c>
    </row>
    <row r="402" spans="1:39" x14ac:dyDescent="0.25">
      <c r="A402" s="184" t="s">
        <v>112</v>
      </c>
      <c r="B402" s="1">
        <v>2</v>
      </c>
      <c r="C402" s="1" t="s">
        <v>418</v>
      </c>
      <c r="D402" s="13">
        <v>39948</v>
      </c>
      <c r="E402" s="174">
        <f t="shared" si="128"/>
        <v>2216</v>
      </c>
      <c r="F402" s="201"/>
      <c r="G402" s="13">
        <v>41736</v>
      </c>
      <c r="H402" s="13">
        <f t="shared" si="127"/>
        <v>41554</v>
      </c>
      <c r="I402" s="13">
        <v>42164</v>
      </c>
      <c r="J402" s="13"/>
      <c r="K402" s="1">
        <f t="shared" si="123"/>
        <v>1788</v>
      </c>
      <c r="L402" s="1">
        <f t="shared" si="124"/>
        <v>182</v>
      </c>
      <c r="M402" s="1">
        <f t="shared" si="125"/>
        <v>428</v>
      </c>
      <c r="N402" s="1"/>
      <c r="O402" s="1" t="s">
        <v>417</v>
      </c>
      <c r="P402" s="1">
        <v>5.18</v>
      </c>
      <c r="Q402" s="1"/>
      <c r="R402" s="1">
        <f t="shared" si="114"/>
        <v>1</v>
      </c>
      <c r="S402" s="1">
        <f t="shared" si="115"/>
        <v>1</v>
      </c>
      <c r="T402" s="1">
        <f t="shared" si="116"/>
        <v>1</v>
      </c>
      <c r="U402" s="1"/>
      <c r="V402" s="1"/>
      <c r="W402" s="1"/>
      <c r="X402" s="1"/>
      <c r="Y402" s="1"/>
      <c r="Z402" s="1">
        <v>44</v>
      </c>
      <c r="AA402" s="1">
        <v>88</v>
      </c>
      <c r="AB402" s="1"/>
      <c r="AC402" s="1">
        <v>0</v>
      </c>
      <c r="AD402" s="98">
        <v>0</v>
      </c>
      <c r="AE402" s="172">
        <v>60</v>
      </c>
      <c r="AF402" s="1" t="s">
        <v>434</v>
      </c>
      <c r="AG402" s="1">
        <v>2.5</v>
      </c>
      <c r="AH402" s="1">
        <v>0.35</v>
      </c>
      <c r="AI402" s="1">
        <v>2</v>
      </c>
      <c r="AJ402" s="1">
        <v>0.35</v>
      </c>
      <c r="AK402" s="1"/>
      <c r="AL402" s="1"/>
      <c r="AM402" s="1">
        <v>0</v>
      </c>
    </row>
    <row r="403" spans="1:39" x14ac:dyDescent="0.25">
      <c r="A403" s="184" t="s">
        <v>112</v>
      </c>
      <c r="B403" s="1">
        <v>2</v>
      </c>
      <c r="C403" s="1" t="s">
        <v>418</v>
      </c>
      <c r="D403" s="13">
        <v>39948</v>
      </c>
      <c r="E403" s="174">
        <f t="shared" si="128"/>
        <v>2216</v>
      </c>
      <c r="F403" s="201"/>
      <c r="G403" s="13">
        <v>41954</v>
      </c>
      <c r="H403" s="13">
        <f t="shared" si="127"/>
        <v>41736</v>
      </c>
      <c r="I403" s="13">
        <v>42164</v>
      </c>
      <c r="J403" s="13"/>
      <c r="K403" s="1">
        <f t="shared" si="123"/>
        <v>2006</v>
      </c>
      <c r="L403" s="1">
        <f t="shared" si="124"/>
        <v>218</v>
      </c>
      <c r="M403" s="1">
        <f t="shared" si="125"/>
        <v>210</v>
      </c>
      <c r="N403" s="1"/>
      <c r="O403" s="1" t="s">
        <v>417</v>
      </c>
      <c r="P403" s="1">
        <v>5.16</v>
      </c>
      <c r="Q403" s="1"/>
      <c r="R403" s="1"/>
      <c r="S403" s="1">
        <f t="shared" si="115"/>
        <v>1</v>
      </c>
      <c r="T403" s="1">
        <f t="shared" si="116"/>
        <v>1</v>
      </c>
      <c r="U403" s="1"/>
      <c r="V403" s="1"/>
      <c r="W403" s="1"/>
      <c r="X403" s="1"/>
      <c r="Y403" s="1"/>
      <c r="Z403" s="1">
        <v>46</v>
      </c>
      <c r="AA403" s="1">
        <v>93</v>
      </c>
      <c r="AB403" s="1"/>
      <c r="AC403" s="1">
        <v>0</v>
      </c>
      <c r="AD403" s="98">
        <v>0</v>
      </c>
      <c r="AE403" s="172">
        <v>60</v>
      </c>
      <c r="AF403" s="1" t="s">
        <v>434</v>
      </c>
      <c r="AG403" s="1">
        <v>2.5</v>
      </c>
      <c r="AH403" s="1">
        <v>0.35</v>
      </c>
      <c r="AI403" s="1">
        <v>2</v>
      </c>
      <c r="AJ403" s="1">
        <v>0.35</v>
      </c>
      <c r="AK403" s="1"/>
      <c r="AL403" s="1"/>
      <c r="AM403" s="1">
        <v>0</v>
      </c>
    </row>
    <row r="404" spans="1:39" x14ac:dyDescent="0.25">
      <c r="A404" s="184" t="s">
        <v>112</v>
      </c>
      <c r="B404" s="1">
        <v>2</v>
      </c>
      <c r="C404" s="1" t="s">
        <v>418</v>
      </c>
      <c r="D404" s="13">
        <v>39948</v>
      </c>
      <c r="E404" s="174">
        <f t="shared" si="128"/>
        <v>2216</v>
      </c>
      <c r="F404" s="201"/>
      <c r="G404" s="13">
        <v>42164</v>
      </c>
      <c r="H404" s="13">
        <f t="shared" si="127"/>
        <v>41954</v>
      </c>
      <c r="I404" s="13">
        <v>42164</v>
      </c>
      <c r="J404" s="13"/>
      <c r="K404" s="1">
        <f t="shared" si="123"/>
        <v>2216</v>
      </c>
      <c r="L404" s="1">
        <f t="shared" si="124"/>
        <v>210</v>
      </c>
      <c r="M404" s="1">
        <f t="shared" si="125"/>
        <v>0</v>
      </c>
      <c r="N404" s="1"/>
      <c r="O404" s="1" t="s">
        <v>417</v>
      </c>
      <c r="P404" s="1">
        <v>5.13</v>
      </c>
      <c r="Q404" s="1"/>
      <c r="R404" s="1"/>
      <c r="S404" s="1"/>
      <c r="T404" s="1"/>
      <c r="U404" s="1"/>
      <c r="V404" s="1"/>
      <c r="W404" s="1"/>
      <c r="X404" s="1"/>
      <c r="Y404" s="1"/>
      <c r="Z404" s="1">
        <v>47</v>
      </c>
      <c r="AA404" s="1">
        <v>99</v>
      </c>
      <c r="AB404" s="1"/>
      <c r="AC404" s="1">
        <v>0</v>
      </c>
      <c r="AD404" s="98">
        <v>0</v>
      </c>
      <c r="AE404" s="172">
        <v>60</v>
      </c>
      <c r="AF404" s="1" t="s">
        <v>434</v>
      </c>
      <c r="AG404" s="1">
        <v>2.5</v>
      </c>
      <c r="AH404" s="1">
        <v>0.35</v>
      </c>
      <c r="AI404" s="1">
        <v>2</v>
      </c>
      <c r="AJ404" s="1">
        <v>0.35</v>
      </c>
      <c r="AK404" s="1"/>
      <c r="AL404" s="1"/>
      <c r="AM404" s="1">
        <v>0</v>
      </c>
    </row>
    <row r="405" spans="1:39" x14ac:dyDescent="0.25">
      <c r="A405" s="191" t="s">
        <v>122</v>
      </c>
      <c r="B405" s="1">
        <v>2</v>
      </c>
      <c r="C405" s="1" t="s">
        <v>418</v>
      </c>
      <c r="D405" s="13">
        <v>39993</v>
      </c>
      <c r="E405" s="174">
        <f t="shared" ref="E405:E426" si="129">I405-D405</f>
        <v>2122</v>
      </c>
      <c r="F405" s="1"/>
      <c r="G405" s="61">
        <v>40099</v>
      </c>
      <c r="H405" s="13">
        <v>39993</v>
      </c>
      <c r="I405" s="13">
        <v>42115</v>
      </c>
      <c r="J405" s="13"/>
      <c r="K405" s="1">
        <f t="shared" si="123"/>
        <v>106</v>
      </c>
      <c r="L405" s="1">
        <f t="shared" si="124"/>
        <v>106</v>
      </c>
      <c r="M405" s="1">
        <f t="shared" si="125"/>
        <v>2016</v>
      </c>
      <c r="N405" s="1"/>
      <c r="O405" s="1" t="s">
        <v>417</v>
      </c>
      <c r="P405" s="57">
        <v>6.46</v>
      </c>
      <c r="Q405" s="1">
        <f t="shared" si="113"/>
        <v>1</v>
      </c>
      <c r="R405" s="1">
        <f t="shared" si="114"/>
        <v>1</v>
      </c>
      <c r="S405" s="1">
        <f t="shared" si="115"/>
        <v>1</v>
      </c>
      <c r="T405" s="1">
        <f t="shared" si="116"/>
        <v>1</v>
      </c>
      <c r="U405" s="1" t="s">
        <v>437</v>
      </c>
      <c r="V405" s="1"/>
      <c r="W405" s="1"/>
      <c r="X405" s="1"/>
      <c r="Y405" s="1"/>
      <c r="Z405" s="57">
        <v>88</v>
      </c>
      <c r="AA405" s="57">
        <v>0</v>
      </c>
      <c r="AB405" s="1"/>
      <c r="AC405" s="1">
        <v>0</v>
      </c>
      <c r="AD405" s="98">
        <v>1</v>
      </c>
      <c r="AE405" s="172">
        <v>55</v>
      </c>
      <c r="AF405" s="1" t="s">
        <v>417</v>
      </c>
      <c r="AG405" s="57">
        <v>3.5</v>
      </c>
      <c r="AH405" s="57">
        <v>0.35</v>
      </c>
      <c r="AI405" s="57">
        <v>3.5</v>
      </c>
      <c r="AJ405" s="57">
        <v>0.35</v>
      </c>
      <c r="AK405" s="1"/>
      <c r="AL405" s="1"/>
      <c r="AM405" s="1">
        <v>0</v>
      </c>
    </row>
    <row r="406" spans="1:39" x14ac:dyDescent="0.25">
      <c r="A406" s="191" t="s">
        <v>122</v>
      </c>
      <c r="B406" s="1">
        <v>2</v>
      </c>
      <c r="C406" s="1" t="s">
        <v>418</v>
      </c>
      <c r="D406" s="13">
        <v>39993</v>
      </c>
      <c r="E406" s="174">
        <f t="shared" si="129"/>
        <v>2122</v>
      </c>
      <c r="F406" s="1"/>
      <c r="G406" s="13">
        <v>40281</v>
      </c>
      <c r="H406" s="13">
        <f>G405</f>
        <v>40099</v>
      </c>
      <c r="I406" s="13">
        <v>42115</v>
      </c>
      <c r="J406" s="13"/>
      <c r="K406" s="1">
        <f t="shared" si="123"/>
        <v>288</v>
      </c>
      <c r="L406" s="1">
        <f t="shared" si="124"/>
        <v>182</v>
      </c>
      <c r="M406" s="1">
        <f t="shared" si="125"/>
        <v>1834</v>
      </c>
      <c r="N406" s="1"/>
      <c r="O406" s="1" t="s">
        <v>417</v>
      </c>
      <c r="P406" s="4">
        <v>6.43</v>
      </c>
      <c r="Q406" s="1">
        <f t="shared" si="113"/>
        <v>1</v>
      </c>
      <c r="R406" s="1">
        <f t="shared" si="114"/>
        <v>1</v>
      </c>
      <c r="S406" s="1">
        <f t="shared" si="115"/>
        <v>1</v>
      </c>
      <c r="T406" s="1">
        <f t="shared" si="116"/>
        <v>1</v>
      </c>
      <c r="U406" s="1" t="s">
        <v>437</v>
      </c>
      <c r="V406" s="1"/>
      <c r="W406" s="1"/>
      <c r="X406" s="1"/>
      <c r="Y406" s="1"/>
      <c r="Z406" s="4">
        <v>76</v>
      </c>
      <c r="AA406" s="4">
        <v>0</v>
      </c>
      <c r="AB406" s="1"/>
      <c r="AC406" s="1">
        <v>0</v>
      </c>
      <c r="AD406" s="98">
        <v>3</v>
      </c>
      <c r="AE406" s="172">
        <v>55</v>
      </c>
      <c r="AF406" s="1" t="s">
        <v>417</v>
      </c>
      <c r="AG406" s="4">
        <v>3.5</v>
      </c>
      <c r="AH406" s="4">
        <v>0.35</v>
      </c>
      <c r="AI406" s="4">
        <v>3.5</v>
      </c>
      <c r="AJ406" s="4">
        <v>0.35</v>
      </c>
      <c r="AK406" s="1"/>
      <c r="AL406" s="1"/>
      <c r="AM406" s="1">
        <v>0</v>
      </c>
    </row>
    <row r="407" spans="1:39" x14ac:dyDescent="0.25">
      <c r="A407" s="191" t="s">
        <v>122</v>
      </c>
      <c r="B407" s="1">
        <v>2</v>
      </c>
      <c r="C407" s="1" t="s">
        <v>418</v>
      </c>
      <c r="D407" s="13">
        <v>39993</v>
      </c>
      <c r="E407" s="174">
        <f t="shared" si="129"/>
        <v>2122</v>
      </c>
      <c r="F407" s="1"/>
      <c r="G407" s="13">
        <v>40477</v>
      </c>
      <c r="H407" s="13">
        <f t="shared" ref="H407:H426" si="130">G406</f>
        <v>40281</v>
      </c>
      <c r="I407" s="13">
        <v>42115</v>
      </c>
      <c r="J407" s="13"/>
      <c r="K407" s="1">
        <f t="shared" si="123"/>
        <v>484</v>
      </c>
      <c r="L407" s="1">
        <f t="shared" si="124"/>
        <v>196</v>
      </c>
      <c r="M407" s="1">
        <f t="shared" si="125"/>
        <v>1638</v>
      </c>
      <c r="N407" s="1"/>
      <c r="O407" s="1" t="s">
        <v>417</v>
      </c>
      <c r="P407" s="4">
        <v>6.41</v>
      </c>
      <c r="Q407" s="1">
        <f t="shared" si="113"/>
        <v>1</v>
      </c>
      <c r="R407" s="1">
        <f t="shared" si="114"/>
        <v>1</v>
      </c>
      <c r="S407" s="1">
        <f t="shared" si="115"/>
        <v>1</v>
      </c>
      <c r="T407" s="1">
        <f t="shared" si="116"/>
        <v>1</v>
      </c>
      <c r="U407" s="1" t="s">
        <v>437</v>
      </c>
      <c r="V407" s="1"/>
      <c r="W407" s="1"/>
      <c r="X407" s="1"/>
      <c r="Y407" s="1"/>
      <c r="Z407" s="4">
        <v>76</v>
      </c>
      <c r="AA407" s="4">
        <v>0</v>
      </c>
      <c r="AB407" s="1"/>
      <c r="AC407" s="1">
        <v>0</v>
      </c>
      <c r="AD407" s="98">
        <v>2</v>
      </c>
      <c r="AE407" s="172">
        <v>55</v>
      </c>
      <c r="AF407" s="1" t="s">
        <v>417</v>
      </c>
      <c r="AG407" s="4">
        <v>3.5</v>
      </c>
      <c r="AH407" s="4">
        <v>0.35</v>
      </c>
      <c r="AI407" s="4">
        <v>3.5</v>
      </c>
      <c r="AJ407" s="4">
        <v>0.35</v>
      </c>
      <c r="AK407" s="1"/>
      <c r="AL407" s="1"/>
      <c r="AM407" s="1">
        <v>0</v>
      </c>
    </row>
    <row r="408" spans="1:39" x14ac:dyDescent="0.25">
      <c r="A408" s="191" t="s">
        <v>122</v>
      </c>
      <c r="B408" s="1">
        <v>2</v>
      </c>
      <c r="C408" s="1" t="s">
        <v>418</v>
      </c>
      <c r="D408" s="13">
        <v>39993</v>
      </c>
      <c r="E408" s="174">
        <f t="shared" si="129"/>
        <v>2122</v>
      </c>
      <c r="F408" s="201"/>
      <c r="G408" s="13">
        <v>40659</v>
      </c>
      <c r="H408" s="13">
        <f t="shared" si="130"/>
        <v>40477</v>
      </c>
      <c r="I408" s="13">
        <v>42115</v>
      </c>
      <c r="J408" s="13"/>
      <c r="K408" s="1">
        <f t="shared" si="123"/>
        <v>666</v>
      </c>
      <c r="L408" s="1">
        <f t="shared" si="124"/>
        <v>182</v>
      </c>
      <c r="M408" s="1">
        <f t="shared" si="125"/>
        <v>1456</v>
      </c>
      <c r="N408" s="1"/>
      <c r="O408" s="1" t="s">
        <v>417</v>
      </c>
      <c r="P408" s="1">
        <v>6.37</v>
      </c>
      <c r="Q408" s="1">
        <f t="shared" ref="Q408:Q471" si="131">IF(M408&gt;=540,1,"nulo")</f>
        <v>1</v>
      </c>
      <c r="R408" s="1">
        <f t="shared" ref="R408:R471" si="132">IF(M408&gt;=360,1,"nulo")</f>
        <v>1</v>
      </c>
      <c r="S408" s="1">
        <f t="shared" ref="S408:S471" si="133">IF(M408&gt;=180,1,"nulo")</f>
        <v>1</v>
      </c>
      <c r="T408" s="1">
        <f t="shared" ref="T408:T471" si="134">IF(M408&gt;=90,1,"nulo")</f>
        <v>1</v>
      </c>
      <c r="U408" s="1" t="s">
        <v>437</v>
      </c>
      <c r="V408" s="1"/>
      <c r="W408" s="1"/>
      <c r="X408" s="1"/>
      <c r="Y408" s="1"/>
      <c r="Z408" s="1">
        <v>83</v>
      </c>
      <c r="AA408" s="1">
        <v>0</v>
      </c>
      <c r="AB408" s="1"/>
      <c r="AC408" s="1">
        <v>0</v>
      </c>
      <c r="AD408" s="98">
        <v>2</v>
      </c>
      <c r="AE408" s="172">
        <v>55</v>
      </c>
      <c r="AF408" s="1" t="s">
        <v>417</v>
      </c>
      <c r="AG408" s="1">
        <v>3.5</v>
      </c>
      <c r="AH408" s="1">
        <v>0.35</v>
      </c>
      <c r="AI408" s="1">
        <v>3.5</v>
      </c>
      <c r="AJ408" s="1">
        <v>0.35</v>
      </c>
      <c r="AK408" s="1"/>
      <c r="AL408" s="1"/>
      <c r="AM408" s="1">
        <v>0</v>
      </c>
    </row>
    <row r="409" spans="1:39" x14ac:dyDescent="0.25">
      <c r="A409" s="191" t="s">
        <v>122</v>
      </c>
      <c r="B409" s="1">
        <v>2</v>
      </c>
      <c r="C409" s="1" t="s">
        <v>418</v>
      </c>
      <c r="D409" s="13">
        <v>39993</v>
      </c>
      <c r="E409" s="174">
        <f t="shared" si="129"/>
        <v>2122</v>
      </c>
      <c r="F409" s="201"/>
      <c r="G409" s="13">
        <v>40680</v>
      </c>
      <c r="H409" s="13">
        <f t="shared" si="130"/>
        <v>40659</v>
      </c>
      <c r="I409" s="13">
        <v>42115</v>
      </c>
      <c r="J409" s="13"/>
      <c r="K409" s="1">
        <f t="shared" si="123"/>
        <v>687</v>
      </c>
      <c r="L409" s="1">
        <f t="shared" si="124"/>
        <v>21</v>
      </c>
      <c r="M409" s="1">
        <f t="shared" si="125"/>
        <v>1435</v>
      </c>
      <c r="N409" s="1"/>
      <c r="O409" s="1" t="s">
        <v>417</v>
      </c>
      <c r="P409" s="1">
        <v>6.37</v>
      </c>
      <c r="Q409" s="1">
        <f t="shared" si="131"/>
        <v>1</v>
      </c>
      <c r="R409" s="1">
        <f t="shared" si="132"/>
        <v>1</v>
      </c>
      <c r="S409" s="1">
        <f t="shared" si="133"/>
        <v>1</v>
      </c>
      <c r="T409" s="1">
        <f t="shared" si="134"/>
        <v>1</v>
      </c>
      <c r="U409" s="1" t="s">
        <v>437</v>
      </c>
      <c r="V409" s="1"/>
      <c r="W409" s="1"/>
      <c r="X409" s="1"/>
      <c r="Y409" s="1"/>
      <c r="Z409" s="1">
        <v>81</v>
      </c>
      <c r="AA409" s="1">
        <v>0</v>
      </c>
      <c r="AB409" s="1"/>
      <c r="AC409" s="1">
        <v>1</v>
      </c>
      <c r="AD409" s="98">
        <v>4</v>
      </c>
      <c r="AE409" s="172">
        <v>55</v>
      </c>
      <c r="AF409" s="1" t="s">
        <v>417</v>
      </c>
      <c r="AG409" s="1">
        <v>3.5</v>
      </c>
      <c r="AH409" s="1">
        <v>0.35</v>
      </c>
      <c r="AI409" s="1">
        <v>3.5</v>
      </c>
      <c r="AJ409" s="1">
        <v>0.35</v>
      </c>
      <c r="AK409" s="1"/>
      <c r="AL409" s="1"/>
      <c r="AM409" s="1">
        <v>0</v>
      </c>
    </row>
    <row r="410" spans="1:39" x14ac:dyDescent="0.25">
      <c r="A410" s="191" t="s">
        <v>122</v>
      </c>
      <c r="B410" s="1">
        <v>2</v>
      </c>
      <c r="C410" s="1" t="s">
        <v>418</v>
      </c>
      <c r="D410" s="13">
        <v>39993</v>
      </c>
      <c r="E410" s="174">
        <f t="shared" si="129"/>
        <v>2122</v>
      </c>
      <c r="F410" s="1"/>
      <c r="G410" s="13">
        <v>40694</v>
      </c>
      <c r="H410" s="13">
        <f t="shared" si="130"/>
        <v>40680</v>
      </c>
      <c r="I410" s="13">
        <v>42115</v>
      </c>
      <c r="J410" s="13"/>
      <c r="K410" s="1">
        <f t="shared" si="123"/>
        <v>701</v>
      </c>
      <c r="L410" s="1">
        <f t="shared" si="124"/>
        <v>14</v>
      </c>
      <c r="M410" s="1">
        <f t="shared" si="125"/>
        <v>1421</v>
      </c>
      <c r="N410" s="1"/>
      <c r="O410" s="1" t="s">
        <v>417</v>
      </c>
      <c r="P410" s="4">
        <v>6.37</v>
      </c>
      <c r="Q410" s="1">
        <f t="shared" si="131"/>
        <v>1</v>
      </c>
      <c r="R410" s="1">
        <f t="shared" si="132"/>
        <v>1</v>
      </c>
      <c r="S410" s="1">
        <f t="shared" si="133"/>
        <v>1</v>
      </c>
      <c r="T410" s="1">
        <f t="shared" si="134"/>
        <v>1</v>
      </c>
      <c r="U410" s="1" t="s">
        <v>437</v>
      </c>
      <c r="V410" s="1"/>
      <c r="W410" s="1"/>
      <c r="X410" s="1"/>
      <c r="Y410" s="1"/>
      <c r="Z410" s="4">
        <v>80</v>
      </c>
      <c r="AA410" s="4">
        <v>0</v>
      </c>
      <c r="AB410" s="1"/>
      <c r="AC410" s="1">
        <v>0</v>
      </c>
      <c r="AD410" s="98">
        <v>0</v>
      </c>
      <c r="AE410" s="172">
        <v>55</v>
      </c>
      <c r="AF410" s="1" t="s">
        <v>417</v>
      </c>
      <c r="AG410" s="4">
        <v>3.5</v>
      </c>
      <c r="AH410" s="4">
        <v>0.35</v>
      </c>
      <c r="AI410" s="4">
        <v>2.5</v>
      </c>
      <c r="AJ410" s="4">
        <v>0.35</v>
      </c>
      <c r="AK410" s="1"/>
      <c r="AL410" s="1"/>
      <c r="AM410" s="1">
        <v>0</v>
      </c>
    </row>
    <row r="411" spans="1:39" x14ac:dyDescent="0.25">
      <c r="A411" s="191" t="s">
        <v>122</v>
      </c>
      <c r="B411" s="1">
        <v>2</v>
      </c>
      <c r="C411" s="1" t="s">
        <v>418</v>
      </c>
      <c r="D411" s="13">
        <v>39993</v>
      </c>
      <c r="E411" s="174">
        <f t="shared" si="129"/>
        <v>2122</v>
      </c>
      <c r="F411" s="201"/>
      <c r="G411" s="13">
        <v>40862</v>
      </c>
      <c r="H411" s="13">
        <f t="shared" si="130"/>
        <v>40694</v>
      </c>
      <c r="I411" s="13">
        <v>42115</v>
      </c>
      <c r="J411" s="13"/>
      <c r="K411" s="1">
        <f t="shared" si="123"/>
        <v>869</v>
      </c>
      <c r="L411" s="1">
        <f t="shared" si="124"/>
        <v>168</v>
      </c>
      <c r="M411" s="1">
        <f t="shared" si="125"/>
        <v>1253</v>
      </c>
      <c r="N411" s="1"/>
      <c r="O411" s="1" t="s">
        <v>417</v>
      </c>
      <c r="P411" s="1">
        <v>6.27</v>
      </c>
      <c r="Q411" s="1">
        <f t="shared" si="131"/>
        <v>1</v>
      </c>
      <c r="R411" s="1">
        <f t="shared" si="132"/>
        <v>1</v>
      </c>
      <c r="S411" s="1">
        <f t="shared" si="133"/>
        <v>1</v>
      </c>
      <c r="T411" s="1">
        <f t="shared" si="134"/>
        <v>1</v>
      </c>
      <c r="U411" s="1" t="s">
        <v>437</v>
      </c>
      <c r="V411" s="1"/>
      <c r="W411" s="1"/>
      <c r="X411" s="1"/>
      <c r="Y411" s="1"/>
      <c r="Z411" s="1">
        <v>95</v>
      </c>
      <c r="AA411" s="1">
        <v>0</v>
      </c>
      <c r="AB411" s="1"/>
      <c r="AC411" s="1">
        <v>0</v>
      </c>
      <c r="AD411" s="98">
        <v>1</v>
      </c>
      <c r="AE411" s="172">
        <v>55</v>
      </c>
      <c r="AF411" s="1" t="s">
        <v>417</v>
      </c>
      <c r="AG411" s="1">
        <v>3.5</v>
      </c>
      <c r="AH411" s="1">
        <v>0.35</v>
      </c>
      <c r="AI411" s="1">
        <v>2.5</v>
      </c>
      <c r="AJ411" s="1">
        <v>0.35</v>
      </c>
      <c r="AK411" s="1"/>
      <c r="AL411" s="1"/>
      <c r="AM411" s="1">
        <v>0</v>
      </c>
    </row>
    <row r="412" spans="1:39" x14ac:dyDescent="0.25">
      <c r="A412" s="191" t="s">
        <v>122</v>
      </c>
      <c r="B412" s="1">
        <v>2</v>
      </c>
      <c r="C412" s="1" t="s">
        <v>418</v>
      </c>
      <c r="D412" s="13">
        <v>39993</v>
      </c>
      <c r="E412" s="174">
        <f t="shared" si="129"/>
        <v>2122</v>
      </c>
      <c r="F412" s="1"/>
      <c r="G412" s="13">
        <v>41035</v>
      </c>
      <c r="H412" s="13">
        <f t="shared" si="130"/>
        <v>40862</v>
      </c>
      <c r="I412" s="13">
        <v>42115</v>
      </c>
      <c r="J412" s="13"/>
      <c r="K412" s="1">
        <f t="shared" si="123"/>
        <v>1042</v>
      </c>
      <c r="L412" s="1">
        <f t="shared" si="124"/>
        <v>173</v>
      </c>
      <c r="M412" s="1">
        <f t="shared" si="125"/>
        <v>1080</v>
      </c>
      <c r="N412" s="1"/>
      <c r="O412" s="1" t="s">
        <v>417</v>
      </c>
      <c r="P412" s="4">
        <v>6.09</v>
      </c>
      <c r="Q412" s="1">
        <f t="shared" si="131"/>
        <v>1</v>
      </c>
      <c r="R412" s="1">
        <f t="shared" si="132"/>
        <v>1</v>
      </c>
      <c r="S412" s="1">
        <f t="shared" si="133"/>
        <v>1</v>
      </c>
      <c r="T412" s="1">
        <f t="shared" si="134"/>
        <v>1</v>
      </c>
      <c r="U412" s="1" t="s">
        <v>437</v>
      </c>
      <c r="V412" s="1"/>
      <c r="W412" s="1"/>
      <c r="X412" s="1"/>
      <c r="Y412" s="1"/>
      <c r="Z412" s="4">
        <v>97</v>
      </c>
      <c r="AA412" s="4">
        <v>0</v>
      </c>
      <c r="AB412" s="1"/>
      <c r="AC412" s="1">
        <v>0</v>
      </c>
      <c r="AD412" s="98">
        <v>2</v>
      </c>
      <c r="AE412" s="172">
        <v>55</v>
      </c>
      <c r="AF412" s="1" t="s">
        <v>417</v>
      </c>
      <c r="AG412" s="4">
        <v>3.5</v>
      </c>
      <c r="AH412" s="4">
        <v>0.35</v>
      </c>
      <c r="AI412" s="4">
        <v>2.5</v>
      </c>
      <c r="AJ412" s="4">
        <v>0.35</v>
      </c>
      <c r="AK412" s="1"/>
      <c r="AL412" s="1"/>
      <c r="AM412" s="1">
        <v>0</v>
      </c>
    </row>
    <row r="413" spans="1:39" x14ac:dyDescent="0.25">
      <c r="A413" s="191" t="s">
        <v>122</v>
      </c>
      <c r="B413" s="1">
        <v>2</v>
      </c>
      <c r="C413" s="1" t="s">
        <v>418</v>
      </c>
      <c r="D413" s="13">
        <v>39993</v>
      </c>
      <c r="E413" s="174">
        <f t="shared" si="129"/>
        <v>2122</v>
      </c>
      <c r="F413" s="201"/>
      <c r="G413" s="13">
        <v>41036</v>
      </c>
      <c r="H413" s="13">
        <f t="shared" si="130"/>
        <v>41035</v>
      </c>
      <c r="I413" s="13">
        <v>42115</v>
      </c>
      <c r="J413" s="13"/>
      <c r="K413" s="1">
        <f t="shared" si="123"/>
        <v>1043</v>
      </c>
      <c r="L413" s="1">
        <f t="shared" si="124"/>
        <v>1</v>
      </c>
      <c r="M413" s="1">
        <f t="shared" si="125"/>
        <v>1079</v>
      </c>
      <c r="N413" s="1"/>
      <c r="O413" s="1" t="s">
        <v>417</v>
      </c>
      <c r="P413" s="1">
        <v>6.09</v>
      </c>
      <c r="Q413" s="1">
        <f t="shared" si="131"/>
        <v>1</v>
      </c>
      <c r="R413" s="1">
        <f t="shared" si="132"/>
        <v>1</v>
      </c>
      <c r="S413" s="1">
        <f t="shared" si="133"/>
        <v>1</v>
      </c>
      <c r="T413" s="1">
        <f t="shared" si="134"/>
        <v>1</v>
      </c>
      <c r="U413" s="1" t="s">
        <v>437</v>
      </c>
      <c r="V413" s="1"/>
      <c r="W413" s="1"/>
      <c r="X413" s="1"/>
      <c r="Y413" s="1"/>
      <c r="Z413" s="1">
        <v>88</v>
      </c>
      <c r="AA413" s="1">
        <v>34</v>
      </c>
      <c r="AB413" s="1"/>
      <c r="AC413" s="1">
        <v>0</v>
      </c>
      <c r="AD413" s="98">
        <v>2</v>
      </c>
      <c r="AE413" s="172">
        <v>55</v>
      </c>
      <c r="AF413" s="1" t="s">
        <v>417</v>
      </c>
      <c r="AG413" s="1">
        <v>3.5</v>
      </c>
      <c r="AH413" s="1">
        <v>0.35</v>
      </c>
      <c r="AI413" s="1">
        <v>4.5</v>
      </c>
      <c r="AJ413" s="1">
        <v>0.35</v>
      </c>
      <c r="AK413" s="1"/>
      <c r="AL413" s="1"/>
      <c r="AM413" s="1">
        <v>0</v>
      </c>
    </row>
    <row r="414" spans="1:39" x14ac:dyDescent="0.25">
      <c r="A414" s="191" t="s">
        <v>122</v>
      </c>
      <c r="B414" s="1">
        <v>2</v>
      </c>
      <c r="C414" s="1" t="s">
        <v>418</v>
      </c>
      <c r="D414" s="13">
        <v>39993</v>
      </c>
      <c r="E414" s="174">
        <f t="shared" si="129"/>
        <v>2122</v>
      </c>
      <c r="F414" s="201"/>
      <c r="G414" s="13">
        <v>41213</v>
      </c>
      <c r="H414" s="13">
        <f t="shared" si="130"/>
        <v>41036</v>
      </c>
      <c r="I414" s="13">
        <v>42115</v>
      </c>
      <c r="J414" s="13"/>
      <c r="K414" s="1">
        <f t="shared" si="123"/>
        <v>1220</v>
      </c>
      <c r="L414" s="1">
        <f t="shared" si="124"/>
        <v>177</v>
      </c>
      <c r="M414" s="1">
        <f t="shared" si="125"/>
        <v>902</v>
      </c>
      <c r="N414" s="1"/>
      <c r="O414" s="1" t="s">
        <v>417</v>
      </c>
      <c r="P414" s="1">
        <v>5.85</v>
      </c>
      <c r="Q414" s="1">
        <f t="shared" si="131"/>
        <v>1</v>
      </c>
      <c r="R414" s="1">
        <f t="shared" si="132"/>
        <v>1</v>
      </c>
      <c r="S414" s="1">
        <f t="shared" si="133"/>
        <v>1</v>
      </c>
      <c r="T414" s="1">
        <f t="shared" si="134"/>
        <v>1</v>
      </c>
      <c r="U414" s="1" t="s">
        <v>437</v>
      </c>
      <c r="V414" s="1"/>
      <c r="W414" s="1"/>
      <c r="X414" s="1"/>
      <c r="Y414" s="1"/>
      <c r="Z414" s="1">
        <v>99</v>
      </c>
      <c r="AA414" s="1">
        <v>0</v>
      </c>
      <c r="AB414" s="1"/>
      <c r="AC414" s="1">
        <v>0</v>
      </c>
      <c r="AD414" s="98">
        <v>0</v>
      </c>
      <c r="AE414" s="172">
        <v>55</v>
      </c>
      <c r="AF414" s="1" t="s">
        <v>417</v>
      </c>
      <c r="AG414" s="1">
        <v>3.5</v>
      </c>
      <c r="AH414" s="1">
        <v>0.35</v>
      </c>
      <c r="AI414" s="1">
        <v>4</v>
      </c>
      <c r="AJ414" s="1">
        <v>0.35</v>
      </c>
      <c r="AK414" s="1"/>
      <c r="AL414" s="1"/>
      <c r="AM414" s="1">
        <v>0</v>
      </c>
    </row>
    <row r="415" spans="1:39" x14ac:dyDescent="0.25">
      <c r="A415" s="191" t="s">
        <v>122</v>
      </c>
      <c r="B415" s="1">
        <v>2</v>
      </c>
      <c r="C415" s="1" t="s">
        <v>418</v>
      </c>
      <c r="D415" s="13">
        <v>39993</v>
      </c>
      <c r="E415" s="174">
        <f t="shared" si="129"/>
        <v>2122</v>
      </c>
      <c r="F415" s="201"/>
      <c r="G415" s="13">
        <v>41323</v>
      </c>
      <c r="H415" s="13">
        <f t="shared" si="130"/>
        <v>41213</v>
      </c>
      <c r="I415" s="13">
        <v>42115</v>
      </c>
      <c r="J415" s="13"/>
      <c r="K415" s="1">
        <f t="shared" si="123"/>
        <v>1330</v>
      </c>
      <c r="L415" s="1">
        <f t="shared" si="124"/>
        <v>110</v>
      </c>
      <c r="M415" s="1">
        <f t="shared" si="125"/>
        <v>792</v>
      </c>
      <c r="N415" s="1"/>
      <c r="O415" s="1" t="s">
        <v>417</v>
      </c>
      <c r="P415" s="1">
        <v>5.65</v>
      </c>
      <c r="Q415" s="1">
        <f t="shared" si="131"/>
        <v>1</v>
      </c>
      <c r="R415" s="1">
        <f t="shared" si="132"/>
        <v>1</v>
      </c>
      <c r="S415" s="1">
        <f t="shared" si="133"/>
        <v>1</v>
      </c>
      <c r="T415" s="1">
        <f t="shared" si="134"/>
        <v>1</v>
      </c>
      <c r="U415" s="1" t="s">
        <v>437</v>
      </c>
      <c r="V415" s="1"/>
      <c r="W415" s="1"/>
      <c r="X415" s="1"/>
      <c r="Y415" s="1"/>
      <c r="Z415" s="1">
        <v>99</v>
      </c>
      <c r="AA415" s="1">
        <v>0</v>
      </c>
      <c r="AB415" s="1"/>
      <c r="AC415" s="1">
        <v>0</v>
      </c>
      <c r="AD415" s="98">
        <v>0</v>
      </c>
      <c r="AE415" s="172">
        <v>55</v>
      </c>
      <c r="AF415" s="1" t="s">
        <v>417</v>
      </c>
      <c r="AG415" s="1">
        <v>3.5</v>
      </c>
      <c r="AH415" s="1">
        <v>0.35</v>
      </c>
      <c r="AI415" s="1">
        <v>2.5</v>
      </c>
      <c r="AJ415" s="1">
        <v>0.35</v>
      </c>
      <c r="AK415" s="1"/>
      <c r="AL415" s="1"/>
      <c r="AM415" s="1">
        <v>0</v>
      </c>
    </row>
    <row r="416" spans="1:39" x14ac:dyDescent="0.25">
      <c r="A416" s="191" t="s">
        <v>122</v>
      </c>
      <c r="B416" s="1">
        <v>2</v>
      </c>
      <c r="C416" s="1" t="s">
        <v>418</v>
      </c>
      <c r="D416" s="13">
        <v>39993</v>
      </c>
      <c r="E416" s="174">
        <f t="shared" si="129"/>
        <v>2122</v>
      </c>
      <c r="F416" s="201"/>
      <c r="G416" s="13">
        <v>41474</v>
      </c>
      <c r="H416" s="13">
        <f t="shared" si="130"/>
        <v>41323</v>
      </c>
      <c r="I416" s="13">
        <v>42115</v>
      </c>
      <c r="J416" s="13"/>
      <c r="K416" s="1">
        <f t="shared" si="123"/>
        <v>1481</v>
      </c>
      <c r="L416" s="1">
        <f t="shared" si="124"/>
        <v>151</v>
      </c>
      <c r="M416" s="1">
        <f t="shared" si="125"/>
        <v>641</v>
      </c>
      <c r="N416" s="1"/>
      <c r="O416" s="1" t="s">
        <v>417</v>
      </c>
      <c r="P416" s="1">
        <v>5.32</v>
      </c>
      <c r="Q416" s="1">
        <f t="shared" si="131"/>
        <v>1</v>
      </c>
      <c r="R416" s="1">
        <f t="shared" si="132"/>
        <v>1</v>
      </c>
      <c r="S416" s="1">
        <f t="shared" si="133"/>
        <v>1</v>
      </c>
      <c r="T416" s="1">
        <f t="shared" si="134"/>
        <v>1</v>
      </c>
      <c r="U416" s="1" t="s">
        <v>437</v>
      </c>
      <c r="V416" s="1"/>
      <c r="W416" s="1"/>
      <c r="X416" s="1"/>
      <c r="Y416" s="1"/>
      <c r="Z416" s="1">
        <v>99</v>
      </c>
      <c r="AA416" s="1">
        <v>1</v>
      </c>
      <c r="AB416" s="1"/>
      <c r="AC416" s="1">
        <v>0</v>
      </c>
      <c r="AD416" s="98">
        <v>1</v>
      </c>
      <c r="AE416" s="172">
        <v>55</v>
      </c>
      <c r="AF416" s="1" t="s">
        <v>434</v>
      </c>
      <c r="AG416" s="1">
        <v>3.5</v>
      </c>
      <c r="AH416" s="1">
        <v>0.35</v>
      </c>
      <c r="AI416" s="1">
        <v>2.5</v>
      </c>
      <c r="AJ416" s="1">
        <v>0.35</v>
      </c>
      <c r="AK416" s="1"/>
      <c r="AL416" s="1"/>
      <c r="AM416" s="1">
        <v>0</v>
      </c>
    </row>
    <row r="417" spans="1:39" x14ac:dyDescent="0.25">
      <c r="A417" s="191" t="s">
        <v>122</v>
      </c>
      <c r="B417" s="1">
        <v>2</v>
      </c>
      <c r="C417" s="1" t="s">
        <v>418</v>
      </c>
      <c r="D417" s="13">
        <v>39993</v>
      </c>
      <c r="E417" s="174">
        <f t="shared" si="129"/>
        <v>2122</v>
      </c>
      <c r="F417" s="1"/>
      <c r="G417" s="13">
        <v>41478</v>
      </c>
      <c r="H417" s="13">
        <f t="shared" si="130"/>
        <v>41474</v>
      </c>
      <c r="I417" s="13">
        <v>42115</v>
      </c>
      <c r="J417" s="13"/>
      <c r="K417" s="1">
        <f t="shared" si="123"/>
        <v>1485</v>
      </c>
      <c r="L417" s="1">
        <f t="shared" si="124"/>
        <v>4</v>
      </c>
      <c r="M417" s="1">
        <f t="shared" si="125"/>
        <v>637</v>
      </c>
      <c r="N417" s="1"/>
      <c r="O417" s="1" t="s">
        <v>417</v>
      </c>
      <c r="P417" s="4">
        <v>5.31</v>
      </c>
      <c r="Q417" s="1">
        <f t="shared" si="131"/>
        <v>1</v>
      </c>
      <c r="R417" s="1">
        <f t="shared" si="132"/>
        <v>1</v>
      </c>
      <c r="S417" s="1">
        <f t="shared" si="133"/>
        <v>1</v>
      </c>
      <c r="T417" s="1">
        <f t="shared" si="134"/>
        <v>1</v>
      </c>
      <c r="U417" s="1" t="s">
        <v>437</v>
      </c>
      <c r="V417" s="1"/>
      <c r="W417" s="1"/>
      <c r="X417" s="1"/>
      <c r="Y417" s="1"/>
      <c r="Z417" s="4">
        <v>100</v>
      </c>
      <c r="AA417" s="4">
        <v>16</v>
      </c>
      <c r="AB417" s="1"/>
      <c r="AC417" s="1">
        <v>0</v>
      </c>
      <c r="AD417" s="98">
        <v>0</v>
      </c>
      <c r="AE417" s="172">
        <v>55</v>
      </c>
      <c r="AF417" s="1" t="s">
        <v>417</v>
      </c>
      <c r="AG417" s="4">
        <v>3.5</v>
      </c>
      <c r="AH417" s="4">
        <v>0.35</v>
      </c>
      <c r="AI417" s="4">
        <v>2.5</v>
      </c>
      <c r="AJ417" s="4">
        <v>0.35</v>
      </c>
      <c r="AK417" s="1"/>
      <c r="AL417" s="1"/>
      <c r="AM417" s="1">
        <v>0</v>
      </c>
    </row>
    <row r="418" spans="1:39" x14ac:dyDescent="0.25">
      <c r="A418" s="191" t="s">
        <v>122</v>
      </c>
      <c r="B418" s="1">
        <v>2</v>
      </c>
      <c r="C418" s="1" t="s">
        <v>418</v>
      </c>
      <c r="D418" s="13">
        <v>39993</v>
      </c>
      <c r="E418" s="174">
        <f t="shared" si="129"/>
        <v>2122</v>
      </c>
      <c r="F418" s="201"/>
      <c r="G418" s="13">
        <v>41486</v>
      </c>
      <c r="H418" s="13">
        <f t="shared" si="130"/>
        <v>41478</v>
      </c>
      <c r="I418" s="13">
        <v>42115</v>
      </c>
      <c r="J418" s="13"/>
      <c r="K418" s="1">
        <f t="shared" si="123"/>
        <v>1493</v>
      </c>
      <c r="L418" s="1">
        <f t="shared" si="124"/>
        <v>8</v>
      </c>
      <c r="M418" s="1">
        <f t="shared" si="125"/>
        <v>629</v>
      </c>
      <c r="N418" s="1"/>
      <c r="O418" s="1" t="s">
        <v>417</v>
      </c>
      <c r="P418" s="1">
        <v>5.31</v>
      </c>
      <c r="Q418" s="1">
        <f t="shared" si="131"/>
        <v>1</v>
      </c>
      <c r="R418" s="1">
        <f t="shared" si="132"/>
        <v>1</v>
      </c>
      <c r="S418" s="1">
        <f t="shared" si="133"/>
        <v>1</v>
      </c>
      <c r="T418" s="1">
        <f t="shared" si="134"/>
        <v>1</v>
      </c>
      <c r="U418" s="1" t="s">
        <v>437</v>
      </c>
      <c r="V418" s="1"/>
      <c r="W418" s="1"/>
      <c r="X418" s="1"/>
      <c r="Y418" s="1"/>
      <c r="Z418" s="1">
        <v>99</v>
      </c>
      <c r="AA418" s="1">
        <v>5</v>
      </c>
      <c r="AB418" s="1"/>
      <c r="AC418" s="1">
        <v>0</v>
      </c>
      <c r="AD418" s="98">
        <v>8</v>
      </c>
      <c r="AE418" s="172">
        <v>55</v>
      </c>
      <c r="AF418" s="1" t="s">
        <v>434</v>
      </c>
      <c r="AG418" s="1">
        <v>3.5</v>
      </c>
      <c r="AH418" s="1">
        <v>0.35</v>
      </c>
      <c r="AI418" s="1">
        <v>2.5</v>
      </c>
      <c r="AJ418" s="1">
        <v>0.35</v>
      </c>
      <c r="AK418" s="1"/>
      <c r="AL418" s="1"/>
      <c r="AM418" s="1">
        <v>0</v>
      </c>
    </row>
    <row r="419" spans="1:39" x14ac:dyDescent="0.25">
      <c r="A419" s="191" t="s">
        <v>122</v>
      </c>
      <c r="B419" s="1">
        <v>2</v>
      </c>
      <c r="C419" s="1" t="s">
        <v>418</v>
      </c>
      <c r="D419" s="13">
        <v>39993</v>
      </c>
      <c r="E419" s="174">
        <f t="shared" si="129"/>
        <v>2122</v>
      </c>
      <c r="F419" s="201"/>
      <c r="G419" s="13">
        <v>41520</v>
      </c>
      <c r="H419" s="13">
        <f t="shared" si="130"/>
        <v>41486</v>
      </c>
      <c r="I419" s="13">
        <v>42115</v>
      </c>
      <c r="J419" s="13"/>
      <c r="K419" s="1">
        <f t="shared" si="123"/>
        <v>1527</v>
      </c>
      <c r="L419" s="1">
        <f t="shared" si="124"/>
        <v>34</v>
      </c>
      <c r="M419" s="1">
        <f t="shared" si="125"/>
        <v>595</v>
      </c>
      <c r="N419" s="1"/>
      <c r="O419" s="1" t="s">
        <v>417</v>
      </c>
      <c r="P419" s="1">
        <v>5.28</v>
      </c>
      <c r="Q419" s="1">
        <f t="shared" si="131"/>
        <v>1</v>
      </c>
      <c r="R419" s="1">
        <f t="shared" si="132"/>
        <v>1</v>
      </c>
      <c r="S419" s="1">
        <f t="shared" si="133"/>
        <v>1</v>
      </c>
      <c r="T419" s="1">
        <f t="shared" si="134"/>
        <v>1</v>
      </c>
      <c r="U419" s="1" t="s">
        <v>437</v>
      </c>
      <c r="V419" s="1"/>
      <c r="W419" s="1"/>
      <c r="X419" s="1"/>
      <c r="Y419" s="1"/>
      <c r="Z419" s="1">
        <v>100</v>
      </c>
      <c r="AA419" s="1">
        <v>0</v>
      </c>
      <c r="AB419" s="1"/>
      <c r="AC419" s="1">
        <v>0</v>
      </c>
      <c r="AD419" s="98">
        <v>1</v>
      </c>
      <c r="AE419" s="172">
        <v>55</v>
      </c>
      <c r="AF419" s="1" t="s">
        <v>434</v>
      </c>
      <c r="AG419" s="1">
        <v>3.5</v>
      </c>
      <c r="AH419" s="1">
        <v>0.35</v>
      </c>
      <c r="AI419" s="1">
        <v>2.5</v>
      </c>
      <c r="AJ419" s="1">
        <v>0.35</v>
      </c>
      <c r="AK419" s="1"/>
      <c r="AL419" s="1"/>
      <c r="AM419" s="1">
        <v>0</v>
      </c>
    </row>
    <row r="420" spans="1:39" x14ac:dyDescent="0.25">
      <c r="A420" s="191" t="s">
        <v>122</v>
      </c>
      <c r="B420" s="1">
        <v>2</v>
      </c>
      <c r="C420" s="1" t="s">
        <v>418</v>
      </c>
      <c r="D420" s="13">
        <v>39993</v>
      </c>
      <c r="E420" s="174">
        <f t="shared" si="129"/>
        <v>2122</v>
      </c>
      <c r="F420" s="1"/>
      <c r="G420" s="13">
        <v>41646</v>
      </c>
      <c r="H420" s="13">
        <f t="shared" si="130"/>
        <v>41520</v>
      </c>
      <c r="I420" s="13">
        <v>42115</v>
      </c>
      <c r="J420" s="13"/>
      <c r="K420" s="1">
        <f t="shared" si="123"/>
        <v>1653</v>
      </c>
      <c r="L420" s="1">
        <f t="shared" si="124"/>
        <v>126</v>
      </c>
      <c r="M420" s="1">
        <f t="shared" si="125"/>
        <v>469</v>
      </c>
      <c r="N420" s="1"/>
      <c r="O420" s="1" t="s">
        <v>417</v>
      </c>
      <c r="P420" s="4">
        <v>5.18</v>
      </c>
      <c r="Q420" s="1"/>
      <c r="R420" s="1">
        <f t="shared" si="132"/>
        <v>1</v>
      </c>
      <c r="S420" s="1">
        <f t="shared" si="133"/>
        <v>1</v>
      </c>
      <c r="T420" s="1">
        <f t="shared" si="134"/>
        <v>1</v>
      </c>
      <c r="U420" s="1"/>
      <c r="V420" s="1"/>
      <c r="W420" s="1"/>
      <c r="X420" s="1"/>
      <c r="Y420" s="1"/>
      <c r="Z420" s="4">
        <v>100</v>
      </c>
      <c r="AA420" s="4">
        <v>4</v>
      </c>
      <c r="AB420" s="1"/>
      <c r="AC420" s="1">
        <v>0</v>
      </c>
      <c r="AD420" s="98">
        <v>7</v>
      </c>
      <c r="AE420" s="172">
        <v>55</v>
      </c>
      <c r="AF420" s="1" t="s">
        <v>417</v>
      </c>
      <c r="AG420" s="4">
        <v>4</v>
      </c>
      <c r="AH420" s="4">
        <v>0.35</v>
      </c>
      <c r="AI420" s="4">
        <v>3.5</v>
      </c>
      <c r="AJ420" s="4">
        <v>0.35</v>
      </c>
      <c r="AK420" s="1"/>
      <c r="AL420" s="1"/>
      <c r="AM420" s="1">
        <v>0</v>
      </c>
    </row>
    <row r="421" spans="1:39" x14ac:dyDescent="0.25">
      <c r="A421" s="191" t="s">
        <v>122</v>
      </c>
      <c r="B421" s="1">
        <v>2</v>
      </c>
      <c r="C421" s="1" t="s">
        <v>418</v>
      </c>
      <c r="D421" s="13">
        <v>39993</v>
      </c>
      <c r="E421" s="174">
        <f t="shared" si="129"/>
        <v>2122</v>
      </c>
      <c r="F421" s="201"/>
      <c r="G421" s="13">
        <v>41765</v>
      </c>
      <c r="H421" s="13">
        <f t="shared" si="130"/>
        <v>41646</v>
      </c>
      <c r="I421" s="13">
        <v>42115</v>
      </c>
      <c r="J421" s="13"/>
      <c r="K421" s="1">
        <f t="shared" si="123"/>
        <v>1772</v>
      </c>
      <c r="L421" s="1">
        <f t="shared" si="124"/>
        <v>119</v>
      </c>
      <c r="M421" s="1">
        <f t="shared" si="125"/>
        <v>350</v>
      </c>
      <c r="N421" s="1"/>
      <c r="O421" s="1" t="s">
        <v>417</v>
      </c>
      <c r="P421" s="1">
        <v>5.15</v>
      </c>
      <c r="Q421" s="1"/>
      <c r="R421" s="1"/>
      <c r="S421" s="1">
        <f t="shared" si="133"/>
        <v>1</v>
      </c>
      <c r="T421" s="1">
        <f t="shared" si="134"/>
        <v>1</v>
      </c>
      <c r="U421" s="1"/>
      <c r="V421" s="1"/>
      <c r="W421" s="1"/>
      <c r="X421" s="1"/>
      <c r="Y421" s="1"/>
      <c r="Z421" s="1">
        <v>99</v>
      </c>
      <c r="AA421" s="1">
        <v>12</v>
      </c>
      <c r="AB421" s="1"/>
      <c r="AC421" s="1">
        <v>0</v>
      </c>
      <c r="AD421" s="98">
        <v>10</v>
      </c>
      <c r="AE421" s="172">
        <v>55</v>
      </c>
      <c r="AF421" s="1" t="s">
        <v>434</v>
      </c>
      <c r="AG421" s="1">
        <v>4</v>
      </c>
      <c r="AH421" s="1">
        <v>0.35</v>
      </c>
      <c r="AI421" s="1">
        <v>3.5</v>
      </c>
      <c r="AJ421" s="1">
        <v>0.35</v>
      </c>
      <c r="AK421" s="1"/>
      <c r="AL421" s="1"/>
      <c r="AM421" s="1">
        <v>0</v>
      </c>
    </row>
    <row r="422" spans="1:39" x14ac:dyDescent="0.25">
      <c r="A422" s="191" t="s">
        <v>122</v>
      </c>
      <c r="B422" s="1">
        <v>2</v>
      </c>
      <c r="C422" s="1" t="s">
        <v>418</v>
      </c>
      <c r="D422" s="13">
        <v>39993</v>
      </c>
      <c r="E422" s="174">
        <f t="shared" si="129"/>
        <v>2122</v>
      </c>
      <c r="F422" s="201"/>
      <c r="G422" s="13">
        <v>41975</v>
      </c>
      <c r="H422" s="13">
        <f t="shared" si="130"/>
        <v>41765</v>
      </c>
      <c r="I422" s="13">
        <v>42115</v>
      </c>
      <c r="J422" s="13"/>
      <c r="K422" s="1">
        <f t="shared" si="123"/>
        <v>1982</v>
      </c>
      <c r="L422" s="1">
        <f t="shared" si="124"/>
        <v>210</v>
      </c>
      <c r="M422" s="1">
        <f t="shared" si="125"/>
        <v>140</v>
      </c>
      <c r="N422" s="1"/>
      <c r="O422" s="1" t="s">
        <v>417</v>
      </c>
      <c r="P422" s="1">
        <v>5.14</v>
      </c>
      <c r="Q422" s="1"/>
      <c r="R422" s="1"/>
      <c r="S422" s="1"/>
      <c r="T422" s="1">
        <f t="shared" si="134"/>
        <v>1</v>
      </c>
      <c r="U422" s="1"/>
      <c r="V422" s="1"/>
      <c r="W422" s="1"/>
      <c r="X422" s="1"/>
      <c r="Y422" s="1"/>
      <c r="Z422" s="1">
        <v>100</v>
      </c>
      <c r="AA422" s="1">
        <v>99</v>
      </c>
      <c r="AB422" s="1"/>
      <c r="AC422" s="1">
        <v>0</v>
      </c>
      <c r="AD422" s="98">
        <v>0</v>
      </c>
      <c r="AE422" s="172">
        <v>55</v>
      </c>
      <c r="AF422" s="1" t="s">
        <v>434</v>
      </c>
      <c r="AG422" s="1">
        <v>4</v>
      </c>
      <c r="AH422" s="1">
        <v>0.35</v>
      </c>
      <c r="AI422" s="1">
        <v>3.5</v>
      </c>
      <c r="AJ422" s="1">
        <v>0.35</v>
      </c>
      <c r="AK422" s="1"/>
      <c r="AL422" s="1"/>
      <c r="AM422" s="1">
        <v>0</v>
      </c>
    </row>
    <row r="423" spans="1:39" x14ac:dyDescent="0.25">
      <c r="A423" s="191" t="s">
        <v>122</v>
      </c>
      <c r="B423" s="1">
        <v>2</v>
      </c>
      <c r="C423" s="1" t="s">
        <v>418</v>
      </c>
      <c r="D423" s="13">
        <v>39993</v>
      </c>
      <c r="E423" s="174">
        <f t="shared" si="129"/>
        <v>2122</v>
      </c>
      <c r="F423" s="201"/>
      <c r="G423" s="13">
        <v>42023</v>
      </c>
      <c r="H423" s="13">
        <f t="shared" si="130"/>
        <v>41975</v>
      </c>
      <c r="I423" s="13">
        <v>42115</v>
      </c>
      <c r="J423" s="13"/>
      <c r="K423" s="1">
        <f t="shared" si="123"/>
        <v>2030</v>
      </c>
      <c r="L423" s="1">
        <f t="shared" si="124"/>
        <v>48</v>
      </c>
      <c r="M423" s="1">
        <f t="shared" si="125"/>
        <v>92</v>
      </c>
      <c r="N423" s="1"/>
      <c r="O423" s="1" t="s">
        <v>417</v>
      </c>
      <c r="P423" s="1">
        <v>5.13</v>
      </c>
      <c r="Q423" s="1"/>
      <c r="R423" s="1"/>
      <c r="S423" s="1"/>
      <c r="T423" s="1">
        <f t="shared" si="134"/>
        <v>1</v>
      </c>
      <c r="U423" s="1"/>
      <c r="V423" s="1"/>
      <c r="W423" s="1"/>
      <c r="X423" s="1"/>
      <c r="Y423" s="1"/>
      <c r="Z423" s="1">
        <v>99</v>
      </c>
      <c r="AA423" s="1">
        <v>99</v>
      </c>
      <c r="AB423" s="1"/>
      <c r="AC423" s="1">
        <v>1</v>
      </c>
      <c r="AD423" s="98">
        <v>3</v>
      </c>
      <c r="AE423" s="172">
        <v>55</v>
      </c>
      <c r="AF423" s="1" t="s">
        <v>434</v>
      </c>
      <c r="AG423" s="1">
        <v>4</v>
      </c>
      <c r="AH423" s="1">
        <v>0.35</v>
      </c>
      <c r="AI423" s="1">
        <v>3.5</v>
      </c>
      <c r="AJ423" s="1">
        <v>0.35</v>
      </c>
      <c r="AK423" s="1"/>
      <c r="AL423" s="1"/>
      <c r="AM423" s="1">
        <v>0</v>
      </c>
    </row>
    <row r="424" spans="1:39" x14ac:dyDescent="0.25">
      <c r="A424" s="191" t="s">
        <v>122</v>
      </c>
      <c r="B424" s="1">
        <v>2</v>
      </c>
      <c r="C424" s="1" t="s">
        <v>418</v>
      </c>
      <c r="D424" s="13">
        <v>39993</v>
      </c>
      <c r="E424" s="174">
        <f t="shared" si="129"/>
        <v>2122</v>
      </c>
      <c r="F424" s="1"/>
      <c r="G424" s="23">
        <v>42053</v>
      </c>
      <c r="H424" s="13">
        <f t="shared" si="130"/>
        <v>42023</v>
      </c>
      <c r="I424" s="13">
        <v>42115</v>
      </c>
      <c r="J424" s="13"/>
      <c r="K424" s="1">
        <f t="shared" si="123"/>
        <v>2060</v>
      </c>
      <c r="L424" s="1">
        <f t="shared" si="124"/>
        <v>30</v>
      </c>
      <c r="M424" s="1">
        <f t="shared" si="125"/>
        <v>62</v>
      </c>
      <c r="N424" s="1"/>
      <c r="O424" s="1" t="s">
        <v>417</v>
      </c>
      <c r="P424" s="24">
        <v>5.13</v>
      </c>
      <c r="Q424" s="1"/>
      <c r="R424" s="1"/>
      <c r="S424" s="1"/>
      <c r="T424" s="1"/>
      <c r="U424" s="1"/>
      <c r="V424" s="1"/>
      <c r="W424" s="1"/>
      <c r="X424" s="1"/>
      <c r="Y424" s="1"/>
      <c r="Z424" s="24">
        <v>100</v>
      </c>
      <c r="AA424" s="24">
        <v>99</v>
      </c>
      <c r="AB424" s="1"/>
      <c r="AC424" s="1">
        <v>0.4</v>
      </c>
      <c r="AD424" s="98">
        <v>26</v>
      </c>
      <c r="AE424" s="172">
        <v>55</v>
      </c>
      <c r="AF424" s="1" t="s">
        <v>417</v>
      </c>
      <c r="AG424" s="24">
        <v>2.5</v>
      </c>
      <c r="AH424" s="24">
        <v>0.6</v>
      </c>
      <c r="AI424" s="24">
        <v>2.5</v>
      </c>
      <c r="AJ424" s="24">
        <v>0.5</v>
      </c>
      <c r="AK424" s="1"/>
      <c r="AL424" s="1"/>
      <c r="AM424" s="1">
        <v>0</v>
      </c>
    </row>
    <row r="425" spans="1:39" x14ac:dyDescent="0.25">
      <c r="A425" s="191" t="s">
        <v>122</v>
      </c>
      <c r="B425" s="1">
        <v>2</v>
      </c>
      <c r="C425" s="1" t="s">
        <v>418</v>
      </c>
      <c r="D425" s="13">
        <v>39993</v>
      </c>
      <c r="E425" s="174">
        <f t="shared" si="129"/>
        <v>2122</v>
      </c>
      <c r="F425" s="201"/>
      <c r="G425" s="13">
        <v>42067</v>
      </c>
      <c r="H425" s="13">
        <f t="shared" si="130"/>
        <v>42053</v>
      </c>
      <c r="I425" s="13">
        <v>42115</v>
      </c>
      <c r="J425" s="13"/>
      <c r="K425" s="1">
        <f t="shared" si="123"/>
        <v>2074</v>
      </c>
      <c r="L425" s="1">
        <f t="shared" si="124"/>
        <v>14</v>
      </c>
      <c r="M425" s="1">
        <f t="shared" si="125"/>
        <v>48</v>
      </c>
      <c r="N425" s="1"/>
      <c r="O425" s="1" t="s">
        <v>417</v>
      </c>
      <c r="P425" s="1">
        <v>5.13</v>
      </c>
      <c r="Q425" s="1"/>
      <c r="R425" s="1"/>
      <c r="S425" s="1"/>
      <c r="T425" s="1"/>
      <c r="U425" s="1"/>
      <c r="V425" s="1"/>
      <c r="W425" s="1"/>
      <c r="X425" s="1"/>
      <c r="Y425" s="1"/>
      <c r="Z425" s="1">
        <v>99</v>
      </c>
      <c r="AA425" s="1">
        <v>99</v>
      </c>
      <c r="AB425" s="1"/>
      <c r="AC425" s="1">
        <v>0</v>
      </c>
      <c r="AD425" s="98">
        <v>1</v>
      </c>
      <c r="AE425" s="172">
        <v>55</v>
      </c>
      <c r="AF425" s="1" t="s">
        <v>434</v>
      </c>
      <c r="AG425" s="1">
        <v>4</v>
      </c>
      <c r="AH425" s="1">
        <v>0.35</v>
      </c>
      <c r="AI425" s="1">
        <v>3.5</v>
      </c>
      <c r="AJ425" s="1">
        <v>0.35</v>
      </c>
      <c r="AK425" s="1"/>
      <c r="AL425" s="1"/>
      <c r="AM425" s="1">
        <v>0</v>
      </c>
    </row>
    <row r="426" spans="1:39" x14ac:dyDescent="0.25">
      <c r="A426" s="191" t="s">
        <v>122</v>
      </c>
      <c r="B426" s="1">
        <v>2</v>
      </c>
      <c r="C426" s="1" t="s">
        <v>418</v>
      </c>
      <c r="D426" s="13">
        <v>39993</v>
      </c>
      <c r="E426" s="174">
        <f t="shared" si="129"/>
        <v>2122</v>
      </c>
      <c r="F426" s="1"/>
      <c r="G426" s="13">
        <v>42115</v>
      </c>
      <c r="H426" s="13">
        <f t="shared" si="130"/>
        <v>42067</v>
      </c>
      <c r="I426" s="13">
        <v>42115</v>
      </c>
      <c r="J426" s="13"/>
      <c r="K426" s="1">
        <f t="shared" si="123"/>
        <v>2122</v>
      </c>
      <c r="L426" s="1">
        <f t="shared" si="124"/>
        <v>48</v>
      </c>
      <c r="M426" s="1">
        <f t="shared" si="125"/>
        <v>0</v>
      </c>
      <c r="N426" s="1"/>
      <c r="O426" s="1" t="s">
        <v>417</v>
      </c>
      <c r="P426" s="4">
        <v>5.1100000000000003</v>
      </c>
      <c r="Q426" s="1"/>
      <c r="R426" s="1"/>
      <c r="S426" s="1"/>
      <c r="T426" s="1"/>
      <c r="U426" s="1"/>
      <c r="V426" s="1"/>
      <c r="W426" s="1"/>
      <c r="X426" s="1"/>
      <c r="Y426" s="1"/>
      <c r="Z426" s="4">
        <v>95</v>
      </c>
      <c r="AA426" s="4">
        <v>99</v>
      </c>
      <c r="AB426" s="1"/>
      <c r="AC426" s="1">
        <v>0</v>
      </c>
      <c r="AD426" s="98">
        <v>0</v>
      </c>
      <c r="AE426" s="172">
        <v>55</v>
      </c>
      <c r="AF426" s="1" t="s">
        <v>417</v>
      </c>
      <c r="AG426" s="24">
        <v>2.5</v>
      </c>
      <c r="AH426" s="24">
        <v>0.6</v>
      </c>
      <c r="AI426" s="24">
        <v>2.5</v>
      </c>
      <c r="AJ426" s="24">
        <v>0.5</v>
      </c>
      <c r="AK426" s="1"/>
      <c r="AL426" s="1"/>
      <c r="AM426" s="1">
        <v>0</v>
      </c>
    </row>
    <row r="427" spans="1:39" x14ac:dyDescent="0.25">
      <c r="A427" s="180" t="s">
        <v>133</v>
      </c>
      <c r="B427" s="1">
        <v>2</v>
      </c>
      <c r="C427" s="1" t="s">
        <v>418</v>
      </c>
      <c r="D427" s="13">
        <v>39119</v>
      </c>
      <c r="E427" s="174">
        <f t="shared" ref="E427:E490" si="135">I427-D427</f>
        <v>2212</v>
      </c>
      <c r="F427" s="1"/>
      <c r="G427" s="61">
        <v>40120</v>
      </c>
      <c r="H427" s="13">
        <v>39119</v>
      </c>
      <c r="I427" s="13">
        <v>41331</v>
      </c>
      <c r="J427" s="13"/>
      <c r="K427" s="1">
        <f t="shared" si="123"/>
        <v>1001</v>
      </c>
      <c r="L427" s="1">
        <f t="shared" si="124"/>
        <v>1001</v>
      </c>
      <c r="M427" s="1">
        <f t="shared" si="125"/>
        <v>1211</v>
      </c>
      <c r="N427" s="1"/>
      <c r="O427" s="1" t="s">
        <v>417</v>
      </c>
      <c r="P427" s="57">
        <v>5.83</v>
      </c>
      <c r="Q427" s="1">
        <f t="shared" si="131"/>
        <v>1</v>
      </c>
      <c r="R427" s="1">
        <f t="shared" si="132"/>
        <v>1</v>
      </c>
      <c r="S427" s="1">
        <f t="shared" si="133"/>
        <v>1</v>
      </c>
      <c r="T427" s="1">
        <f t="shared" si="134"/>
        <v>1</v>
      </c>
      <c r="U427" s="1" t="s">
        <v>437</v>
      </c>
      <c r="V427" s="1"/>
      <c r="W427" s="1"/>
      <c r="X427" s="1"/>
      <c r="Y427" s="1"/>
      <c r="Z427" s="57">
        <v>61</v>
      </c>
      <c r="AA427" s="57">
        <v>7</v>
      </c>
      <c r="AB427" s="1"/>
      <c r="AC427" s="1">
        <v>0</v>
      </c>
      <c r="AD427" s="98">
        <v>0</v>
      </c>
      <c r="AE427" s="172">
        <v>60</v>
      </c>
      <c r="AF427" s="1" t="s">
        <v>417</v>
      </c>
      <c r="AG427" s="57">
        <v>4</v>
      </c>
      <c r="AH427" s="57">
        <v>0.6</v>
      </c>
      <c r="AI427" s="24">
        <v>2.5</v>
      </c>
      <c r="AJ427" s="24">
        <v>0.5</v>
      </c>
      <c r="AK427" s="1"/>
      <c r="AL427" s="1"/>
      <c r="AM427" s="1">
        <v>0</v>
      </c>
    </row>
    <row r="428" spans="1:39" x14ac:dyDescent="0.25">
      <c r="A428" s="180" t="s">
        <v>133</v>
      </c>
      <c r="B428" s="1">
        <v>2</v>
      </c>
      <c r="C428" s="1" t="s">
        <v>418</v>
      </c>
      <c r="D428" s="13">
        <v>39119</v>
      </c>
      <c r="E428" s="174">
        <f t="shared" si="135"/>
        <v>2212</v>
      </c>
      <c r="F428" s="1"/>
      <c r="G428" s="13">
        <v>40302</v>
      </c>
      <c r="H428" s="13">
        <f>G427</f>
        <v>40120</v>
      </c>
      <c r="I428" s="13">
        <v>41331</v>
      </c>
      <c r="J428" s="13"/>
      <c r="K428" s="1">
        <f t="shared" si="123"/>
        <v>1183</v>
      </c>
      <c r="L428" s="1">
        <f t="shared" si="124"/>
        <v>182</v>
      </c>
      <c r="M428" s="1">
        <f t="shared" si="125"/>
        <v>1029</v>
      </c>
      <c r="N428" s="1"/>
      <c r="O428" s="1" t="s">
        <v>417</v>
      </c>
      <c r="P428" s="4">
        <v>5.39</v>
      </c>
      <c r="Q428" s="1">
        <f t="shared" si="131"/>
        <v>1</v>
      </c>
      <c r="R428" s="1">
        <f t="shared" si="132"/>
        <v>1</v>
      </c>
      <c r="S428" s="1">
        <f t="shared" si="133"/>
        <v>1</v>
      </c>
      <c r="T428" s="1">
        <f t="shared" si="134"/>
        <v>1</v>
      </c>
      <c r="U428" s="1" t="s">
        <v>437</v>
      </c>
      <c r="V428" s="1"/>
      <c r="W428" s="1"/>
      <c r="X428" s="1"/>
      <c r="Y428" s="1"/>
      <c r="Z428" s="4">
        <v>57</v>
      </c>
      <c r="AA428" s="4">
        <v>1</v>
      </c>
      <c r="AB428" s="1"/>
      <c r="AC428" s="1">
        <v>0</v>
      </c>
      <c r="AD428" s="98">
        <v>1</v>
      </c>
      <c r="AE428" s="172">
        <v>60</v>
      </c>
      <c r="AF428" s="1" t="s">
        <v>417</v>
      </c>
      <c r="AG428" s="4">
        <v>4</v>
      </c>
      <c r="AH428" s="4">
        <v>0.6</v>
      </c>
      <c r="AI428" s="24">
        <v>2.5</v>
      </c>
      <c r="AJ428" s="24">
        <v>0.5</v>
      </c>
      <c r="AK428" s="1"/>
      <c r="AL428" s="1"/>
      <c r="AM428" s="1">
        <v>0</v>
      </c>
    </row>
    <row r="429" spans="1:39" x14ac:dyDescent="0.25">
      <c r="A429" s="180" t="s">
        <v>133</v>
      </c>
      <c r="B429" s="1">
        <v>2</v>
      </c>
      <c r="C429" s="1" t="s">
        <v>418</v>
      </c>
      <c r="D429" s="13">
        <v>39119</v>
      </c>
      <c r="E429" s="174">
        <f t="shared" si="135"/>
        <v>2212</v>
      </c>
      <c r="F429" s="201"/>
      <c r="G429" s="13">
        <v>40687</v>
      </c>
      <c r="H429" s="13">
        <f t="shared" ref="H429:H434" si="136">G428</f>
        <v>40302</v>
      </c>
      <c r="I429" s="13">
        <v>41331</v>
      </c>
      <c r="J429" s="13"/>
      <c r="K429" s="1">
        <f t="shared" si="123"/>
        <v>1568</v>
      </c>
      <c r="L429" s="1">
        <f t="shared" si="124"/>
        <v>385</v>
      </c>
      <c r="M429" s="1">
        <f t="shared" si="125"/>
        <v>644</v>
      </c>
      <c r="N429" s="1"/>
      <c r="O429" s="1" t="s">
        <v>417</v>
      </c>
      <c r="P429" s="1">
        <v>5.15</v>
      </c>
      <c r="Q429" s="1">
        <f t="shared" si="131"/>
        <v>1</v>
      </c>
      <c r="R429" s="1">
        <f t="shared" si="132"/>
        <v>1</v>
      </c>
      <c r="S429" s="1">
        <f t="shared" si="133"/>
        <v>1</v>
      </c>
      <c r="T429" s="1">
        <f t="shared" si="134"/>
        <v>1</v>
      </c>
      <c r="U429" s="1" t="s">
        <v>437</v>
      </c>
      <c r="V429" s="1"/>
      <c r="W429" s="1"/>
      <c r="X429" s="1"/>
      <c r="Y429" s="1"/>
      <c r="Z429" s="1">
        <v>70</v>
      </c>
      <c r="AA429" s="1">
        <v>3</v>
      </c>
      <c r="AB429" s="1"/>
      <c r="AC429" s="1">
        <v>0</v>
      </c>
      <c r="AD429" s="98">
        <v>1</v>
      </c>
      <c r="AE429" s="172">
        <v>60</v>
      </c>
      <c r="AF429" s="1" t="s">
        <v>417</v>
      </c>
      <c r="AG429" s="1">
        <v>4.5</v>
      </c>
      <c r="AH429" s="1">
        <v>0.6</v>
      </c>
      <c r="AI429" s="1">
        <v>2.5</v>
      </c>
      <c r="AJ429" s="1">
        <v>0.5</v>
      </c>
      <c r="AK429" s="1"/>
      <c r="AL429" s="1"/>
      <c r="AM429" s="1">
        <v>0</v>
      </c>
    </row>
    <row r="430" spans="1:39" x14ac:dyDescent="0.25">
      <c r="A430" s="180" t="s">
        <v>133</v>
      </c>
      <c r="B430" s="1">
        <v>2</v>
      </c>
      <c r="C430" s="1" t="s">
        <v>418</v>
      </c>
      <c r="D430" s="13">
        <v>39119</v>
      </c>
      <c r="E430" s="174">
        <f t="shared" si="135"/>
        <v>2212</v>
      </c>
      <c r="F430" s="201"/>
      <c r="G430" s="13">
        <v>40736</v>
      </c>
      <c r="H430" s="13">
        <f t="shared" si="136"/>
        <v>40687</v>
      </c>
      <c r="I430" s="13">
        <v>41331</v>
      </c>
      <c r="J430" s="13"/>
      <c r="K430" s="1">
        <f t="shared" si="123"/>
        <v>1617</v>
      </c>
      <c r="L430" s="1">
        <f t="shared" si="124"/>
        <v>49</v>
      </c>
      <c r="M430" s="1">
        <f t="shared" si="125"/>
        <v>595</v>
      </c>
      <c r="N430" s="1"/>
      <c r="O430" s="1" t="s">
        <v>417</v>
      </c>
      <c r="P430" s="1">
        <v>5.14</v>
      </c>
      <c r="Q430" s="1">
        <f t="shared" si="131"/>
        <v>1</v>
      </c>
      <c r="R430" s="1">
        <f t="shared" si="132"/>
        <v>1</v>
      </c>
      <c r="S430" s="1">
        <f t="shared" si="133"/>
        <v>1</v>
      </c>
      <c r="T430" s="1">
        <f t="shared" si="134"/>
        <v>1</v>
      </c>
      <c r="U430" s="1" t="s">
        <v>437</v>
      </c>
      <c r="V430" s="1"/>
      <c r="W430" s="1"/>
      <c r="X430" s="1"/>
      <c r="Y430" s="1"/>
      <c r="Z430" s="1">
        <v>74</v>
      </c>
      <c r="AA430" s="1">
        <v>31</v>
      </c>
      <c r="AB430" s="1"/>
      <c r="AC430" s="1">
        <v>0</v>
      </c>
      <c r="AD430" s="98">
        <v>0</v>
      </c>
      <c r="AE430" s="172">
        <v>60</v>
      </c>
      <c r="AF430" s="1" t="s">
        <v>417</v>
      </c>
      <c r="AG430" s="1">
        <v>4.5</v>
      </c>
      <c r="AH430" s="1">
        <v>0.6</v>
      </c>
      <c r="AI430" s="1">
        <v>2.5</v>
      </c>
      <c r="AJ430" s="1">
        <v>0.5</v>
      </c>
      <c r="AK430" s="1"/>
      <c r="AL430" s="1"/>
      <c r="AM430" s="1">
        <v>0</v>
      </c>
    </row>
    <row r="431" spans="1:39" x14ac:dyDescent="0.25">
      <c r="A431" s="180" t="s">
        <v>133</v>
      </c>
      <c r="B431" s="1">
        <v>2</v>
      </c>
      <c r="C431" s="1" t="s">
        <v>418</v>
      </c>
      <c r="D431" s="13">
        <v>39119</v>
      </c>
      <c r="E431" s="174">
        <f t="shared" si="135"/>
        <v>2212</v>
      </c>
      <c r="F431" s="201"/>
      <c r="G431" s="13">
        <v>40834</v>
      </c>
      <c r="H431" s="13">
        <f t="shared" si="136"/>
        <v>40736</v>
      </c>
      <c r="I431" s="13">
        <v>41331</v>
      </c>
      <c r="J431" s="13"/>
      <c r="K431" s="1">
        <f t="shared" si="123"/>
        <v>1715</v>
      </c>
      <c r="L431" s="1">
        <f t="shared" si="124"/>
        <v>98</v>
      </c>
      <c r="M431" s="1">
        <f t="shared" si="125"/>
        <v>497</v>
      </c>
      <c r="N431" s="1"/>
      <c r="O431" s="1" t="s">
        <v>417</v>
      </c>
      <c r="P431" s="1">
        <v>5.14</v>
      </c>
      <c r="Q431" s="1"/>
      <c r="R431" s="1">
        <f t="shared" si="132"/>
        <v>1</v>
      </c>
      <c r="S431" s="1">
        <f t="shared" si="133"/>
        <v>1</v>
      </c>
      <c r="T431" s="1">
        <f t="shared" si="134"/>
        <v>1</v>
      </c>
      <c r="U431" s="1"/>
      <c r="V431" s="1"/>
      <c r="W431" s="1"/>
      <c r="X431" s="1"/>
      <c r="Y431" s="1"/>
      <c r="Z431" s="1">
        <v>70</v>
      </c>
      <c r="AA431" s="1">
        <v>29</v>
      </c>
      <c r="AB431" s="1"/>
      <c r="AC431" s="1">
        <v>0</v>
      </c>
      <c r="AD431" s="98">
        <v>0</v>
      </c>
      <c r="AE431" s="172">
        <v>60</v>
      </c>
      <c r="AF431" s="1" t="s">
        <v>417</v>
      </c>
      <c r="AG431" s="1">
        <v>4.5</v>
      </c>
      <c r="AH431" s="1">
        <v>0.6</v>
      </c>
      <c r="AI431" s="1">
        <v>2.5</v>
      </c>
      <c r="AJ431" s="1">
        <v>0.5</v>
      </c>
      <c r="AK431" s="1"/>
      <c r="AL431" s="1"/>
      <c r="AM431" s="1">
        <v>0</v>
      </c>
    </row>
    <row r="432" spans="1:39" x14ac:dyDescent="0.25">
      <c r="A432" s="180" t="s">
        <v>133</v>
      </c>
      <c r="B432" s="1">
        <v>2</v>
      </c>
      <c r="C432" s="1" t="s">
        <v>418</v>
      </c>
      <c r="D432" s="13">
        <v>39119</v>
      </c>
      <c r="E432" s="174">
        <f t="shared" si="135"/>
        <v>2212</v>
      </c>
      <c r="F432" s="201"/>
      <c r="G432" s="13">
        <v>40940</v>
      </c>
      <c r="H432" s="13">
        <f t="shared" si="136"/>
        <v>40834</v>
      </c>
      <c r="I432" s="13">
        <v>41331</v>
      </c>
      <c r="J432" s="13"/>
      <c r="K432" s="1">
        <f t="shared" si="123"/>
        <v>1821</v>
      </c>
      <c r="L432" s="1">
        <f t="shared" si="124"/>
        <v>106</v>
      </c>
      <c r="M432" s="1">
        <f t="shared" si="125"/>
        <v>391</v>
      </c>
      <c r="N432" s="1"/>
      <c r="O432" s="1" t="s">
        <v>417</v>
      </c>
      <c r="P432" s="1">
        <v>5.13</v>
      </c>
      <c r="Q432" s="1"/>
      <c r="R432" s="1">
        <f t="shared" si="132"/>
        <v>1</v>
      </c>
      <c r="S432" s="1">
        <f t="shared" si="133"/>
        <v>1</v>
      </c>
      <c r="T432" s="1">
        <f t="shared" si="134"/>
        <v>1</v>
      </c>
      <c r="U432" s="1"/>
      <c r="V432" s="1"/>
      <c r="W432" s="1"/>
      <c r="X432" s="1"/>
      <c r="Y432" s="1"/>
      <c r="Z432" s="1">
        <v>69</v>
      </c>
      <c r="AA432" s="1">
        <v>5</v>
      </c>
      <c r="AB432" s="1"/>
      <c r="AC432" s="1">
        <v>0</v>
      </c>
      <c r="AD432" s="98">
        <v>0</v>
      </c>
      <c r="AE432" s="172">
        <v>60</v>
      </c>
      <c r="AF432" s="1" t="s">
        <v>417</v>
      </c>
      <c r="AG432" s="1">
        <v>4.5</v>
      </c>
      <c r="AH432" s="1">
        <v>0.6</v>
      </c>
      <c r="AI432" s="1">
        <v>2.5</v>
      </c>
      <c r="AJ432" s="1">
        <v>0.5</v>
      </c>
      <c r="AK432" s="1"/>
      <c r="AL432" s="1"/>
      <c r="AM432" s="1">
        <v>0</v>
      </c>
    </row>
    <row r="433" spans="1:39" x14ac:dyDescent="0.25">
      <c r="A433" s="180" t="s">
        <v>133</v>
      </c>
      <c r="B433" s="1">
        <v>2</v>
      </c>
      <c r="C433" s="1" t="s">
        <v>418</v>
      </c>
      <c r="D433" s="13">
        <v>39119</v>
      </c>
      <c r="E433" s="174">
        <f t="shared" si="135"/>
        <v>2212</v>
      </c>
      <c r="F433" s="201"/>
      <c r="G433" s="13">
        <v>41100</v>
      </c>
      <c r="H433" s="13">
        <f t="shared" si="136"/>
        <v>40940</v>
      </c>
      <c r="I433" s="13">
        <v>41331</v>
      </c>
      <c r="J433" s="13"/>
      <c r="K433" s="1">
        <f t="shared" si="123"/>
        <v>1981</v>
      </c>
      <c r="L433" s="1">
        <f t="shared" si="124"/>
        <v>160</v>
      </c>
      <c r="M433" s="1">
        <f t="shared" si="125"/>
        <v>231</v>
      </c>
      <c r="N433" s="1"/>
      <c r="O433" s="1" t="s">
        <v>417</v>
      </c>
      <c r="P433" s="1">
        <v>5.07</v>
      </c>
      <c r="Q433" s="1"/>
      <c r="R433" s="1"/>
      <c r="S433" s="1">
        <f t="shared" si="133"/>
        <v>1</v>
      </c>
      <c r="T433" s="1">
        <f t="shared" si="134"/>
        <v>1</v>
      </c>
      <c r="U433" s="1"/>
      <c r="V433" s="1"/>
      <c r="W433" s="1"/>
      <c r="X433" s="1"/>
      <c r="Y433" s="1"/>
      <c r="Z433" s="1">
        <v>64</v>
      </c>
      <c r="AA433" s="1">
        <v>21</v>
      </c>
      <c r="AB433" s="1"/>
      <c r="AC433" s="1">
        <v>0</v>
      </c>
      <c r="AD433" s="98">
        <v>0</v>
      </c>
      <c r="AE433" s="172">
        <v>60</v>
      </c>
      <c r="AF433" s="1" t="s">
        <v>417</v>
      </c>
      <c r="AG433" s="1">
        <v>3</v>
      </c>
      <c r="AH433" s="1">
        <v>0.6</v>
      </c>
      <c r="AI433" s="1">
        <v>3</v>
      </c>
      <c r="AJ433" s="1">
        <v>0.5</v>
      </c>
      <c r="AK433" s="1"/>
      <c r="AL433" s="1"/>
      <c r="AM433" s="1">
        <v>0</v>
      </c>
    </row>
    <row r="434" spans="1:39" x14ac:dyDescent="0.25">
      <c r="A434" s="180" t="s">
        <v>133</v>
      </c>
      <c r="B434" s="1">
        <v>2</v>
      </c>
      <c r="C434" s="1" t="s">
        <v>418</v>
      </c>
      <c r="D434" s="13">
        <v>39119</v>
      </c>
      <c r="E434" s="174">
        <f t="shared" si="135"/>
        <v>2212</v>
      </c>
      <c r="F434" s="201"/>
      <c r="G434" s="13">
        <v>41331</v>
      </c>
      <c r="H434" s="13">
        <f t="shared" si="136"/>
        <v>41100</v>
      </c>
      <c r="I434" s="13">
        <v>41331</v>
      </c>
      <c r="J434" s="13"/>
      <c r="K434" s="1">
        <f t="shared" si="123"/>
        <v>2212</v>
      </c>
      <c r="L434" s="1">
        <f t="shared" si="124"/>
        <v>231</v>
      </c>
      <c r="M434" s="1">
        <f t="shared" si="125"/>
        <v>0</v>
      </c>
      <c r="N434" s="1"/>
      <c r="O434" s="1" t="s">
        <v>434</v>
      </c>
      <c r="P434" s="1">
        <v>4.72</v>
      </c>
      <c r="Q434" s="1"/>
      <c r="R434" s="1"/>
      <c r="S434" s="1"/>
      <c r="T434" s="1"/>
      <c r="U434" s="1"/>
      <c r="V434" s="1">
        <v>0</v>
      </c>
      <c r="W434" s="1">
        <v>0</v>
      </c>
      <c r="X434" s="1">
        <v>1</v>
      </c>
      <c r="Y434" s="1">
        <v>1</v>
      </c>
      <c r="Z434" s="1">
        <v>60</v>
      </c>
      <c r="AA434" s="1">
        <v>20</v>
      </c>
      <c r="AB434" s="1"/>
      <c r="AC434" s="1">
        <v>0</v>
      </c>
      <c r="AD434" s="98">
        <v>0</v>
      </c>
      <c r="AE434" s="172">
        <v>60</v>
      </c>
      <c r="AF434" s="1" t="s">
        <v>434</v>
      </c>
      <c r="AG434" s="1">
        <v>3</v>
      </c>
      <c r="AH434" s="1">
        <v>0.6</v>
      </c>
      <c r="AI434" s="1">
        <v>3</v>
      </c>
      <c r="AJ434" s="1">
        <v>0.5</v>
      </c>
      <c r="AK434" s="1"/>
      <c r="AL434" s="1"/>
      <c r="AM434" s="1">
        <v>0</v>
      </c>
    </row>
    <row r="435" spans="1:39" x14ac:dyDescent="0.25">
      <c r="A435" s="194" t="s">
        <v>135</v>
      </c>
      <c r="B435" s="1">
        <v>2</v>
      </c>
      <c r="C435" s="1" t="s">
        <v>418</v>
      </c>
      <c r="D435" s="13">
        <v>39161</v>
      </c>
      <c r="E435" s="174">
        <f t="shared" si="135"/>
        <v>2617</v>
      </c>
      <c r="G435" s="61">
        <v>40211</v>
      </c>
      <c r="H435" s="13">
        <v>39161</v>
      </c>
      <c r="I435" s="13">
        <v>41778</v>
      </c>
      <c r="K435" s="1">
        <f t="shared" si="123"/>
        <v>1050</v>
      </c>
      <c r="L435" s="1">
        <f t="shared" si="124"/>
        <v>1050</v>
      </c>
      <c r="M435" s="1">
        <f t="shared" si="125"/>
        <v>1567</v>
      </c>
      <c r="N435" s="1"/>
      <c r="O435" s="1" t="s">
        <v>417</v>
      </c>
      <c r="P435" s="57">
        <v>6.16</v>
      </c>
      <c r="Q435" s="1">
        <f t="shared" si="131"/>
        <v>1</v>
      </c>
      <c r="R435" s="1">
        <f t="shared" si="132"/>
        <v>1</v>
      </c>
      <c r="S435" s="1">
        <f t="shared" si="133"/>
        <v>1</v>
      </c>
      <c r="T435" s="1">
        <f t="shared" si="134"/>
        <v>1</v>
      </c>
      <c r="U435" s="1" t="s">
        <v>437</v>
      </c>
      <c r="Z435" s="57">
        <v>71</v>
      </c>
      <c r="AA435" s="57">
        <v>0</v>
      </c>
      <c r="AB435" s="1"/>
      <c r="AC435" s="1">
        <v>0</v>
      </c>
      <c r="AD435" s="98">
        <v>3</v>
      </c>
      <c r="AE435" s="172">
        <v>60</v>
      </c>
      <c r="AF435" s="1" t="s">
        <v>417</v>
      </c>
      <c r="AG435" s="57">
        <v>2</v>
      </c>
      <c r="AH435" s="57">
        <v>0.35</v>
      </c>
      <c r="AI435" s="57">
        <v>2.5</v>
      </c>
      <c r="AJ435" s="57">
        <v>0.35</v>
      </c>
      <c r="AK435" s="1"/>
      <c r="AL435" s="1"/>
      <c r="AM435" s="1">
        <v>0</v>
      </c>
    </row>
    <row r="436" spans="1:39" x14ac:dyDescent="0.25">
      <c r="A436" s="194" t="s">
        <v>135</v>
      </c>
      <c r="B436" s="1">
        <v>2</v>
      </c>
      <c r="C436" s="1" t="s">
        <v>418</v>
      </c>
      <c r="D436" s="13">
        <v>39161</v>
      </c>
      <c r="E436" s="174">
        <f t="shared" si="135"/>
        <v>2617</v>
      </c>
      <c r="F436" s="1"/>
      <c r="G436" s="13">
        <v>40813</v>
      </c>
      <c r="H436" s="13">
        <f>G435</f>
        <v>40211</v>
      </c>
      <c r="I436" s="13">
        <v>41778</v>
      </c>
      <c r="J436" s="13"/>
      <c r="K436" s="1">
        <f t="shared" si="123"/>
        <v>1652</v>
      </c>
      <c r="L436" s="1">
        <f t="shared" si="124"/>
        <v>602</v>
      </c>
      <c r="M436" s="1">
        <f t="shared" si="125"/>
        <v>965</v>
      </c>
      <c r="N436" s="1"/>
      <c r="O436" s="1" t="s">
        <v>417</v>
      </c>
      <c r="P436" s="1">
        <v>5.29</v>
      </c>
      <c r="Q436" s="1">
        <f t="shared" si="131"/>
        <v>1</v>
      </c>
      <c r="R436" s="1">
        <f t="shared" si="132"/>
        <v>1</v>
      </c>
      <c r="S436" s="1">
        <f t="shared" si="133"/>
        <v>1</v>
      </c>
      <c r="T436" s="1">
        <f t="shared" si="134"/>
        <v>1</v>
      </c>
      <c r="U436" s="1" t="s">
        <v>437</v>
      </c>
      <c r="V436" s="1"/>
      <c r="W436" s="1"/>
      <c r="X436" s="1"/>
      <c r="Y436" s="1"/>
      <c r="Z436" s="1">
        <v>89</v>
      </c>
      <c r="AA436" s="1">
        <v>0</v>
      </c>
      <c r="AB436" s="1"/>
      <c r="AC436" s="1">
        <v>0</v>
      </c>
      <c r="AD436" s="98">
        <v>0</v>
      </c>
      <c r="AE436" s="172">
        <v>60</v>
      </c>
      <c r="AF436" s="1" t="s">
        <v>417</v>
      </c>
      <c r="AG436" s="1">
        <v>2</v>
      </c>
      <c r="AH436" s="1">
        <v>0.35</v>
      </c>
      <c r="AI436" s="1">
        <v>2.5</v>
      </c>
      <c r="AJ436" s="1">
        <v>0.35</v>
      </c>
      <c r="AK436" s="1"/>
      <c r="AL436" s="1"/>
      <c r="AM436" s="1">
        <v>0</v>
      </c>
    </row>
    <row r="437" spans="1:39" x14ac:dyDescent="0.25">
      <c r="A437" s="194" t="s">
        <v>135</v>
      </c>
      <c r="B437" s="1">
        <v>2</v>
      </c>
      <c r="C437" s="1" t="s">
        <v>418</v>
      </c>
      <c r="D437" s="13">
        <v>39161</v>
      </c>
      <c r="E437" s="174">
        <f t="shared" si="135"/>
        <v>2617</v>
      </c>
      <c r="F437" s="1"/>
      <c r="G437" s="13">
        <v>40995</v>
      </c>
      <c r="H437" s="13">
        <f t="shared" ref="H437:H444" si="137">G436</f>
        <v>40813</v>
      </c>
      <c r="I437" s="13">
        <v>41778</v>
      </c>
      <c r="J437" s="13"/>
      <c r="K437" s="1">
        <f t="shared" si="123"/>
        <v>1834</v>
      </c>
      <c r="L437" s="1">
        <f t="shared" si="124"/>
        <v>182</v>
      </c>
      <c r="M437" s="1">
        <f t="shared" si="125"/>
        <v>783</v>
      </c>
      <c r="N437" s="1"/>
      <c r="O437" s="1" t="s">
        <v>417</v>
      </c>
      <c r="P437" s="1">
        <v>5.18</v>
      </c>
      <c r="Q437" s="1">
        <f t="shared" si="131"/>
        <v>1</v>
      </c>
      <c r="R437" s="1">
        <f t="shared" si="132"/>
        <v>1</v>
      </c>
      <c r="S437" s="1">
        <f t="shared" si="133"/>
        <v>1</v>
      </c>
      <c r="T437" s="1">
        <f t="shared" si="134"/>
        <v>1</v>
      </c>
      <c r="U437" s="1" t="s">
        <v>437</v>
      </c>
      <c r="V437" s="1"/>
      <c r="W437" s="1"/>
      <c r="X437" s="1"/>
      <c r="Y437" s="1"/>
      <c r="Z437" s="1">
        <v>78</v>
      </c>
      <c r="AA437" s="1">
        <v>0</v>
      </c>
      <c r="AB437" s="1"/>
      <c r="AC437" s="1">
        <v>1</v>
      </c>
      <c r="AD437" s="98">
        <v>2</v>
      </c>
      <c r="AE437" s="172">
        <v>60</v>
      </c>
      <c r="AF437" s="1" t="s">
        <v>417</v>
      </c>
      <c r="AG437" s="1">
        <v>2</v>
      </c>
      <c r="AH437" s="1">
        <v>0.35</v>
      </c>
      <c r="AI437" s="1">
        <v>2.5</v>
      </c>
      <c r="AJ437" s="1">
        <v>0.35</v>
      </c>
      <c r="AK437" s="1"/>
      <c r="AL437" s="1"/>
      <c r="AM437" s="1">
        <v>0</v>
      </c>
    </row>
    <row r="438" spans="1:39" x14ac:dyDescent="0.25">
      <c r="A438" s="194" t="s">
        <v>135</v>
      </c>
      <c r="B438" s="1">
        <v>2</v>
      </c>
      <c r="C438" s="1" t="s">
        <v>418</v>
      </c>
      <c r="D438" s="13">
        <v>39161</v>
      </c>
      <c r="E438" s="174">
        <f t="shared" si="135"/>
        <v>2617</v>
      </c>
      <c r="F438" s="1"/>
      <c r="G438" s="13">
        <v>41198</v>
      </c>
      <c r="H438" s="13">
        <f t="shared" si="137"/>
        <v>40995</v>
      </c>
      <c r="I438" s="13">
        <v>41778</v>
      </c>
      <c r="J438" s="13"/>
      <c r="K438" s="1">
        <f t="shared" si="123"/>
        <v>2037</v>
      </c>
      <c r="L438" s="1">
        <f t="shared" si="124"/>
        <v>203</v>
      </c>
      <c r="M438" s="1">
        <f t="shared" si="125"/>
        <v>580</v>
      </c>
      <c r="N438" s="1"/>
      <c r="O438" s="1" t="s">
        <v>417</v>
      </c>
      <c r="P438" s="1">
        <v>5.16</v>
      </c>
      <c r="Q438" s="1">
        <f t="shared" si="131"/>
        <v>1</v>
      </c>
      <c r="R438" s="1">
        <f t="shared" si="132"/>
        <v>1</v>
      </c>
      <c r="S438" s="1">
        <f t="shared" si="133"/>
        <v>1</v>
      </c>
      <c r="T438" s="1">
        <f t="shared" si="134"/>
        <v>1</v>
      </c>
      <c r="U438" s="1" t="s">
        <v>437</v>
      </c>
      <c r="V438" s="1"/>
      <c r="W438" s="1"/>
      <c r="X438" s="1"/>
      <c r="Y438" s="1"/>
      <c r="Z438" s="1">
        <v>57</v>
      </c>
      <c r="AA438" s="1">
        <v>17</v>
      </c>
      <c r="AB438" s="1"/>
      <c r="AC438" s="1">
        <v>0</v>
      </c>
      <c r="AD438" s="98">
        <v>0</v>
      </c>
      <c r="AE438" s="172">
        <v>60</v>
      </c>
      <c r="AF438" s="1" t="s">
        <v>417</v>
      </c>
      <c r="AG438" s="1">
        <v>2</v>
      </c>
      <c r="AH438" s="1">
        <v>0.35</v>
      </c>
      <c r="AI438" s="1">
        <v>2.5</v>
      </c>
      <c r="AJ438" s="1">
        <v>0.35</v>
      </c>
      <c r="AK438" s="1"/>
      <c r="AL438" s="1"/>
      <c r="AM438" s="1">
        <v>0</v>
      </c>
    </row>
    <row r="439" spans="1:39" x14ac:dyDescent="0.25">
      <c r="A439" s="194" t="s">
        <v>135</v>
      </c>
      <c r="B439" s="1">
        <v>2</v>
      </c>
      <c r="C439" s="1" t="s">
        <v>418</v>
      </c>
      <c r="D439" s="13">
        <v>39161</v>
      </c>
      <c r="E439" s="174">
        <f t="shared" si="135"/>
        <v>2617</v>
      </c>
      <c r="F439" s="1"/>
      <c r="G439" s="13">
        <v>41208</v>
      </c>
      <c r="H439" s="13">
        <f t="shared" si="137"/>
        <v>41198</v>
      </c>
      <c r="I439" s="13">
        <v>41778</v>
      </c>
      <c r="J439" s="13"/>
      <c r="K439" s="1">
        <f t="shared" si="123"/>
        <v>2047</v>
      </c>
      <c r="L439" s="1">
        <f t="shared" si="124"/>
        <v>10</v>
      </c>
      <c r="M439" s="1">
        <f t="shared" si="125"/>
        <v>570</v>
      </c>
      <c r="N439" s="1"/>
      <c r="O439" s="1" t="s">
        <v>417</v>
      </c>
      <c r="P439" s="1">
        <v>5.16</v>
      </c>
      <c r="Q439" s="1">
        <f t="shared" si="131"/>
        <v>1</v>
      </c>
      <c r="R439" s="1">
        <f t="shared" si="132"/>
        <v>1</v>
      </c>
      <c r="S439" s="1">
        <f t="shared" si="133"/>
        <v>1</v>
      </c>
      <c r="T439" s="1">
        <f t="shared" si="134"/>
        <v>1</v>
      </c>
      <c r="U439" s="1" t="s">
        <v>437</v>
      </c>
      <c r="V439" s="1"/>
      <c r="W439" s="1"/>
      <c r="X439" s="1"/>
      <c r="Y439" s="1"/>
      <c r="Z439" s="1">
        <v>0</v>
      </c>
      <c r="AA439" s="1">
        <v>68</v>
      </c>
      <c r="AB439" s="1"/>
      <c r="AC439" s="1">
        <v>0</v>
      </c>
      <c r="AD439" s="98">
        <v>0</v>
      </c>
      <c r="AE439" s="172">
        <v>60</v>
      </c>
      <c r="AF439" s="1" t="s">
        <v>417</v>
      </c>
      <c r="AG439" s="1">
        <v>2</v>
      </c>
      <c r="AH439" s="1">
        <v>0.35</v>
      </c>
      <c r="AI439" s="1">
        <v>2.5</v>
      </c>
      <c r="AJ439" s="1">
        <v>0.35</v>
      </c>
      <c r="AK439" s="1"/>
      <c r="AL439" s="1"/>
      <c r="AM439" s="1">
        <v>0</v>
      </c>
    </row>
    <row r="440" spans="1:39" x14ac:dyDescent="0.25">
      <c r="A440" s="194" t="s">
        <v>135</v>
      </c>
      <c r="B440" s="1">
        <v>2</v>
      </c>
      <c r="C440" s="1" t="s">
        <v>418</v>
      </c>
      <c r="D440" s="13">
        <v>39161</v>
      </c>
      <c r="E440" s="174">
        <f t="shared" si="135"/>
        <v>2617</v>
      </c>
      <c r="F440" s="1"/>
      <c r="G440" s="13">
        <v>41351</v>
      </c>
      <c r="H440" s="13">
        <f t="shared" si="137"/>
        <v>41208</v>
      </c>
      <c r="I440" s="13">
        <v>41778</v>
      </c>
      <c r="J440" s="13"/>
      <c r="K440" s="1">
        <f t="shared" si="123"/>
        <v>2190</v>
      </c>
      <c r="L440" s="1">
        <f t="shared" si="124"/>
        <v>143</v>
      </c>
      <c r="M440" s="1">
        <f t="shared" si="125"/>
        <v>427</v>
      </c>
      <c r="N440" s="1"/>
      <c r="O440" s="1" t="s">
        <v>417</v>
      </c>
      <c r="P440" s="1">
        <v>5.15</v>
      </c>
      <c r="Q440" s="1"/>
      <c r="R440" s="1">
        <f t="shared" si="132"/>
        <v>1</v>
      </c>
      <c r="S440" s="1">
        <f t="shared" si="133"/>
        <v>1</v>
      </c>
      <c r="T440" s="1">
        <f t="shared" si="134"/>
        <v>1</v>
      </c>
      <c r="U440" s="1"/>
      <c r="V440" s="1"/>
      <c r="W440" s="1"/>
      <c r="X440" s="1"/>
      <c r="Y440" s="1"/>
      <c r="Z440" s="1">
        <v>99</v>
      </c>
      <c r="AA440" s="1">
        <v>0</v>
      </c>
      <c r="AB440" s="1"/>
      <c r="AC440" s="1">
        <v>0</v>
      </c>
      <c r="AD440" s="98">
        <v>0</v>
      </c>
      <c r="AE440" s="172">
        <v>60</v>
      </c>
      <c r="AF440" s="1" t="s">
        <v>434</v>
      </c>
      <c r="AG440" s="1">
        <v>2</v>
      </c>
      <c r="AH440" s="1">
        <v>0.35</v>
      </c>
      <c r="AI440" s="1">
        <v>2.5</v>
      </c>
      <c r="AJ440" s="1">
        <v>0.35</v>
      </c>
      <c r="AK440" s="1"/>
      <c r="AL440" s="1"/>
      <c r="AM440" s="1">
        <v>0</v>
      </c>
    </row>
    <row r="441" spans="1:39" x14ac:dyDescent="0.25">
      <c r="A441" s="194" t="s">
        <v>135</v>
      </c>
      <c r="B441" s="1">
        <v>2</v>
      </c>
      <c r="C441" s="1" t="s">
        <v>418</v>
      </c>
      <c r="D441" s="13">
        <v>39161</v>
      </c>
      <c r="E441" s="174">
        <f t="shared" si="135"/>
        <v>2617</v>
      </c>
      <c r="F441" s="1"/>
      <c r="G441" s="13">
        <v>41428</v>
      </c>
      <c r="H441" s="13">
        <f t="shared" si="137"/>
        <v>41351</v>
      </c>
      <c r="I441" s="13">
        <v>41778</v>
      </c>
      <c r="J441" s="13"/>
      <c r="K441" s="1">
        <f t="shared" si="123"/>
        <v>2267</v>
      </c>
      <c r="L441" s="1">
        <f t="shared" si="124"/>
        <v>77</v>
      </c>
      <c r="M441" s="1">
        <f t="shared" si="125"/>
        <v>350</v>
      </c>
      <c r="N441" s="1"/>
      <c r="O441" s="1" t="s">
        <v>417</v>
      </c>
      <c r="P441" s="1">
        <v>5.14</v>
      </c>
      <c r="Q441" s="1"/>
      <c r="R441" s="1"/>
      <c r="S441" s="1">
        <f t="shared" si="133"/>
        <v>1</v>
      </c>
      <c r="T441" s="1">
        <f t="shared" si="134"/>
        <v>1</v>
      </c>
      <c r="U441" s="1"/>
      <c r="V441" s="1"/>
      <c r="W441" s="1"/>
      <c r="X441" s="1"/>
      <c r="Y441" s="1"/>
      <c r="Z441" s="1">
        <v>99</v>
      </c>
      <c r="AA441" s="1">
        <v>3</v>
      </c>
      <c r="AB441" s="1"/>
      <c r="AC441" s="1">
        <v>0</v>
      </c>
      <c r="AD441" s="98">
        <v>0</v>
      </c>
      <c r="AE441" s="172">
        <v>60</v>
      </c>
      <c r="AF441" s="1" t="s">
        <v>434</v>
      </c>
      <c r="AG441" s="1">
        <v>2</v>
      </c>
      <c r="AH441" s="1">
        <v>0.35</v>
      </c>
      <c r="AI441" s="1">
        <v>2.5</v>
      </c>
      <c r="AJ441" s="1">
        <v>0.35</v>
      </c>
      <c r="AK441" s="1"/>
      <c r="AL441" s="1"/>
      <c r="AM441" s="1">
        <v>0</v>
      </c>
    </row>
    <row r="442" spans="1:39" x14ac:dyDescent="0.25">
      <c r="A442" s="194" t="s">
        <v>135</v>
      </c>
      <c r="B442" s="1">
        <v>2</v>
      </c>
      <c r="C442" s="1" t="s">
        <v>418</v>
      </c>
      <c r="D442" s="13">
        <v>39161</v>
      </c>
      <c r="E442" s="174">
        <f t="shared" si="135"/>
        <v>2617</v>
      </c>
      <c r="F442" s="1"/>
      <c r="G442" s="13">
        <v>41547</v>
      </c>
      <c r="H442" s="13">
        <f t="shared" si="137"/>
        <v>41428</v>
      </c>
      <c r="I442" s="13">
        <v>41778</v>
      </c>
      <c r="J442" s="13"/>
      <c r="K442" s="1">
        <f t="shared" ref="K442:K477" si="138">G442-D442</f>
        <v>2386</v>
      </c>
      <c r="L442" s="1">
        <f t="shared" ref="L442:L477" si="139">G442-H442</f>
        <v>119</v>
      </c>
      <c r="M442" s="1">
        <f t="shared" ref="M442:M477" si="140">I442-G442</f>
        <v>231</v>
      </c>
      <c r="N442" s="1"/>
      <c r="O442" s="1" t="s">
        <v>417</v>
      </c>
      <c r="P442" s="1">
        <v>5.12</v>
      </c>
      <c r="Q442" s="1"/>
      <c r="R442" s="1"/>
      <c r="S442" s="1">
        <f t="shared" si="133"/>
        <v>1</v>
      </c>
      <c r="T442" s="1">
        <f t="shared" si="134"/>
        <v>1</v>
      </c>
      <c r="U442" s="1"/>
      <c r="V442" s="1"/>
      <c r="W442" s="1"/>
      <c r="X442" s="1"/>
      <c r="Y442" s="1"/>
      <c r="Z442" s="1">
        <v>100</v>
      </c>
      <c r="AA442" s="1">
        <v>13</v>
      </c>
      <c r="AB442" s="1"/>
      <c r="AC442" s="1">
        <v>0</v>
      </c>
      <c r="AD442" s="98">
        <v>0</v>
      </c>
      <c r="AE442" s="172">
        <v>60</v>
      </c>
      <c r="AF442" s="1" t="s">
        <v>434</v>
      </c>
      <c r="AG442" s="1">
        <v>2</v>
      </c>
      <c r="AH442" s="1">
        <v>0.35</v>
      </c>
      <c r="AI442" s="1">
        <v>2.5</v>
      </c>
      <c r="AJ442" s="1">
        <v>0.35</v>
      </c>
      <c r="AK442" s="1"/>
      <c r="AL442" s="1"/>
      <c r="AM442" s="1">
        <v>0</v>
      </c>
    </row>
    <row r="443" spans="1:39" x14ac:dyDescent="0.25">
      <c r="A443" s="194" t="s">
        <v>135</v>
      </c>
      <c r="B443" s="1">
        <v>2</v>
      </c>
      <c r="C443" s="1" t="s">
        <v>418</v>
      </c>
      <c r="D443" s="13">
        <v>39161</v>
      </c>
      <c r="E443" s="174">
        <f t="shared" si="135"/>
        <v>2617</v>
      </c>
      <c r="F443" s="1"/>
      <c r="G443" s="13">
        <v>41723</v>
      </c>
      <c r="H443" s="13">
        <f t="shared" si="137"/>
        <v>41547</v>
      </c>
      <c r="I443" s="13">
        <v>41778</v>
      </c>
      <c r="J443" s="13"/>
      <c r="K443" s="1">
        <f t="shared" si="138"/>
        <v>2562</v>
      </c>
      <c r="L443" s="1">
        <f t="shared" si="139"/>
        <v>176</v>
      </c>
      <c r="M443" s="1">
        <f t="shared" si="140"/>
        <v>55</v>
      </c>
      <c r="N443" s="1"/>
      <c r="O443" s="1" t="s">
        <v>417</v>
      </c>
      <c r="P443" s="1">
        <v>5.04</v>
      </c>
      <c r="Q443" s="1"/>
      <c r="R443" s="1"/>
      <c r="S443" s="1"/>
      <c r="T443" s="1"/>
      <c r="U443" s="1"/>
      <c r="V443" s="1"/>
      <c r="W443" s="1"/>
      <c r="X443" s="1"/>
      <c r="Y443" s="1"/>
      <c r="Z443" s="1">
        <v>99</v>
      </c>
      <c r="AA443" s="1">
        <v>31</v>
      </c>
      <c r="AB443" s="1"/>
      <c r="AC443" s="1">
        <v>0</v>
      </c>
      <c r="AD443" s="98">
        <v>0</v>
      </c>
      <c r="AE443" s="172">
        <v>60</v>
      </c>
      <c r="AF443" s="1" t="s">
        <v>434</v>
      </c>
      <c r="AG443" s="1">
        <v>2</v>
      </c>
      <c r="AH443" s="1">
        <v>0.35</v>
      </c>
      <c r="AI443" s="1">
        <v>2.5</v>
      </c>
      <c r="AJ443" s="1">
        <v>0.35</v>
      </c>
      <c r="AK443" s="1"/>
      <c r="AL443" s="1"/>
      <c r="AM443" s="1">
        <v>0</v>
      </c>
    </row>
    <row r="444" spans="1:39" x14ac:dyDescent="0.25">
      <c r="A444" s="194" t="s">
        <v>135</v>
      </c>
      <c r="B444" s="1">
        <v>2</v>
      </c>
      <c r="C444" s="1" t="s">
        <v>418</v>
      </c>
      <c r="D444" s="13">
        <v>39161</v>
      </c>
      <c r="E444" s="174">
        <f t="shared" si="135"/>
        <v>2617</v>
      </c>
      <c r="G444" s="13">
        <v>41778</v>
      </c>
      <c r="H444" s="13">
        <f t="shared" si="137"/>
        <v>41723</v>
      </c>
      <c r="I444" s="13">
        <v>41778</v>
      </c>
      <c r="K444" s="1">
        <f t="shared" si="138"/>
        <v>2617</v>
      </c>
      <c r="L444" s="1">
        <f t="shared" si="139"/>
        <v>55</v>
      </c>
      <c r="M444" s="1">
        <f t="shared" si="140"/>
        <v>0</v>
      </c>
      <c r="N444" s="1"/>
      <c r="O444" s="1" t="s">
        <v>417</v>
      </c>
      <c r="P444" s="4">
        <v>4.97</v>
      </c>
      <c r="Q444" s="1"/>
      <c r="R444" s="1"/>
      <c r="S444" s="1"/>
      <c r="T444" s="1"/>
      <c r="U444" s="1"/>
      <c r="Z444" s="4">
        <v>63</v>
      </c>
      <c r="AA444" s="4">
        <v>71</v>
      </c>
      <c r="AB444" s="1"/>
      <c r="AC444" s="1">
        <v>0</v>
      </c>
      <c r="AD444" s="98">
        <v>0</v>
      </c>
      <c r="AE444" s="172">
        <v>60</v>
      </c>
      <c r="AF444" s="1" t="s">
        <v>434</v>
      </c>
      <c r="AG444" s="4">
        <v>2</v>
      </c>
      <c r="AH444" s="4">
        <v>0.35</v>
      </c>
      <c r="AI444" s="4">
        <v>2.5</v>
      </c>
      <c r="AJ444" s="4">
        <v>0.35</v>
      </c>
      <c r="AK444" s="1"/>
      <c r="AL444" s="1"/>
      <c r="AM444" s="1">
        <v>0</v>
      </c>
    </row>
    <row r="445" spans="1:39" x14ac:dyDescent="0.25">
      <c r="A445" s="195" t="s">
        <v>144</v>
      </c>
      <c r="B445" s="1">
        <v>2</v>
      </c>
      <c r="C445" s="1" t="s">
        <v>418</v>
      </c>
      <c r="D445" s="13">
        <v>39567</v>
      </c>
      <c r="E445" s="174">
        <f t="shared" si="135"/>
        <v>2505</v>
      </c>
      <c r="F445" s="1"/>
      <c r="G445" s="61">
        <v>40092</v>
      </c>
      <c r="H445" s="13">
        <v>39567</v>
      </c>
      <c r="I445" s="13">
        <v>42072</v>
      </c>
      <c r="J445" s="13"/>
      <c r="K445" s="1">
        <f t="shared" si="138"/>
        <v>525</v>
      </c>
      <c r="L445" s="1">
        <f t="shared" si="139"/>
        <v>525</v>
      </c>
      <c r="M445" s="1">
        <f t="shared" si="140"/>
        <v>1980</v>
      </c>
      <c r="N445" s="1"/>
      <c r="O445" s="1" t="s">
        <v>417</v>
      </c>
      <c r="P445" s="57">
        <v>6.36</v>
      </c>
      <c r="Q445" s="1">
        <f t="shared" si="131"/>
        <v>1</v>
      </c>
      <c r="R445" s="1">
        <f t="shared" si="132"/>
        <v>1</v>
      </c>
      <c r="S445" s="1">
        <f t="shared" si="133"/>
        <v>1</v>
      </c>
      <c r="T445" s="1">
        <f t="shared" si="134"/>
        <v>1</v>
      </c>
      <c r="U445" s="1" t="s">
        <v>437</v>
      </c>
      <c r="V445" s="1"/>
      <c r="W445" s="1"/>
      <c r="X445" s="1"/>
      <c r="Y445" s="1"/>
      <c r="Z445" s="57">
        <v>34</v>
      </c>
      <c r="AA445" s="57">
        <v>4</v>
      </c>
      <c r="AB445" s="1"/>
      <c r="AC445" s="1">
        <v>0</v>
      </c>
      <c r="AD445" s="98">
        <v>0</v>
      </c>
      <c r="AE445" s="172">
        <v>60</v>
      </c>
      <c r="AF445" s="1" t="s">
        <v>417</v>
      </c>
      <c r="AG445" s="57">
        <v>2</v>
      </c>
      <c r="AH445" s="57">
        <v>0.35</v>
      </c>
      <c r="AI445" s="57">
        <v>3.5</v>
      </c>
      <c r="AJ445" s="57">
        <v>0.35</v>
      </c>
      <c r="AK445" s="1"/>
      <c r="AL445" s="1"/>
      <c r="AM445" s="1">
        <v>0</v>
      </c>
    </row>
    <row r="446" spans="1:39" x14ac:dyDescent="0.25">
      <c r="A446" s="195" t="s">
        <v>144</v>
      </c>
      <c r="B446" s="1">
        <v>2</v>
      </c>
      <c r="C446" s="1" t="s">
        <v>418</v>
      </c>
      <c r="D446" s="13">
        <v>39567</v>
      </c>
      <c r="E446" s="174">
        <f t="shared" si="135"/>
        <v>2505</v>
      </c>
      <c r="F446" s="1"/>
      <c r="G446" s="13">
        <v>40365</v>
      </c>
      <c r="H446" s="13">
        <f>G445</f>
        <v>40092</v>
      </c>
      <c r="I446" s="13">
        <v>42072</v>
      </c>
      <c r="J446" s="13"/>
      <c r="K446" s="1">
        <f t="shared" si="138"/>
        <v>798</v>
      </c>
      <c r="L446" s="1">
        <f t="shared" si="139"/>
        <v>273</v>
      </c>
      <c r="M446" s="1">
        <f t="shared" si="140"/>
        <v>1707</v>
      </c>
      <c r="N446" s="1"/>
      <c r="O446" s="1" t="s">
        <v>417</v>
      </c>
      <c r="P446" s="4">
        <v>6.22</v>
      </c>
      <c r="Q446" s="1">
        <f t="shared" si="131"/>
        <v>1</v>
      </c>
      <c r="R446" s="1">
        <f t="shared" si="132"/>
        <v>1</v>
      </c>
      <c r="S446" s="1">
        <f t="shared" si="133"/>
        <v>1</v>
      </c>
      <c r="T446" s="1">
        <f t="shared" si="134"/>
        <v>1</v>
      </c>
      <c r="U446" s="1" t="s">
        <v>437</v>
      </c>
      <c r="V446" s="1"/>
      <c r="W446" s="1"/>
      <c r="X446" s="1"/>
      <c r="Y446" s="1"/>
      <c r="Z446" s="4">
        <v>37</v>
      </c>
      <c r="AA446" s="4">
        <v>4</v>
      </c>
      <c r="AB446" s="1"/>
      <c r="AC446" s="1">
        <v>0</v>
      </c>
      <c r="AD446" s="98">
        <v>0</v>
      </c>
      <c r="AE446" s="172">
        <v>60</v>
      </c>
      <c r="AF446" s="1" t="s">
        <v>434</v>
      </c>
      <c r="AG446" s="4">
        <v>2</v>
      </c>
      <c r="AH446" s="4">
        <v>0.35</v>
      </c>
      <c r="AI446" s="4">
        <v>3.5</v>
      </c>
      <c r="AJ446" s="4">
        <v>0.35</v>
      </c>
      <c r="AK446" s="1"/>
      <c r="AL446" s="1"/>
      <c r="AM446" s="1">
        <v>0</v>
      </c>
    </row>
    <row r="447" spans="1:39" x14ac:dyDescent="0.25">
      <c r="A447" s="195" t="s">
        <v>144</v>
      </c>
      <c r="B447" s="1">
        <v>2</v>
      </c>
      <c r="C447" s="1" t="s">
        <v>418</v>
      </c>
      <c r="D447" s="13">
        <v>39567</v>
      </c>
      <c r="E447" s="174">
        <f t="shared" si="135"/>
        <v>2505</v>
      </c>
      <c r="F447" s="1"/>
      <c r="G447" s="13">
        <v>40720</v>
      </c>
      <c r="H447" s="13">
        <f t="shared" ref="H447:H459" si="141">G446</f>
        <v>40365</v>
      </c>
      <c r="I447" s="13">
        <v>42072</v>
      </c>
      <c r="J447" s="13"/>
      <c r="K447" s="1">
        <f t="shared" si="138"/>
        <v>1153</v>
      </c>
      <c r="L447" s="1">
        <f t="shared" si="139"/>
        <v>355</v>
      </c>
      <c r="M447" s="1">
        <f t="shared" si="140"/>
        <v>1352</v>
      </c>
      <c r="N447" s="1"/>
      <c r="O447" s="1" t="s">
        <v>417</v>
      </c>
      <c r="P447" s="1">
        <v>5.61</v>
      </c>
      <c r="Q447" s="1">
        <f t="shared" si="131"/>
        <v>1</v>
      </c>
      <c r="R447" s="1">
        <f t="shared" si="132"/>
        <v>1</v>
      </c>
      <c r="S447" s="1">
        <f t="shared" si="133"/>
        <v>1</v>
      </c>
      <c r="T447" s="1">
        <f t="shared" si="134"/>
        <v>1</v>
      </c>
      <c r="U447" s="1" t="s">
        <v>437</v>
      </c>
      <c r="V447" s="1"/>
      <c r="W447" s="1"/>
      <c r="X447" s="1"/>
      <c r="Y447" s="1"/>
      <c r="Z447" s="1">
        <v>33</v>
      </c>
      <c r="AA447" s="1">
        <v>73</v>
      </c>
      <c r="AB447" s="1"/>
      <c r="AC447" s="1">
        <v>0</v>
      </c>
      <c r="AD447" s="98">
        <v>0</v>
      </c>
      <c r="AE447" s="172">
        <v>60</v>
      </c>
      <c r="AF447" s="1" t="s">
        <v>417</v>
      </c>
      <c r="AG447" s="1">
        <v>2</v>
      </c>
      <c r="AH447" s="1">
        <v>0.35</v>
      </c>
      <c r="AI447" s="1">
        <v>3.5</v>
      </c>
      <c r="AJ447" s="1">
        <v>0.35</v>
      </c>
      <c r="AK447" s="1"/>
      <c r="AL447" s="1"/>
      <c r="AM447" s="1">
        <v>0</v>
      </c>
    </row>
    <row r="448" spans="1:39" x14ac:dyDescent="0.25">
      <c r="A448" s="195" t="s">
        <v>144</v>
      </c>
      <c r="B448" s="1">
        <v>2</v>
      </c>
      <c r="C448" s="1" t="s">
        <v>418</v>
      </c>
      <c r="D448" s="13">
        <v>39567</v>
      </c>
      <c r="E448" s="174">
        <f t="shared" si="135"/>
        <v>2505</v>
      </c>
      <c r="F448" s="1"/>
      <c r="G448" s="13">
        <v>40905</v>
      </c>
      <c r="H448" s="13">
        <f t="shared" si="141"/>
        <v>40720</v>
      </c>
      <c r="I448" s="13">
        <v>42072</v>
      </c>
      <c r="J448" s="13"/>
      <c r="K448" s="1">
        <f t="shared" si="138"/>
        <v>1338</v>
      </c>
      <c r="L448" s="1">
        <f t="shared" si="139"/>
        <v>185</v>
      </c>
      <c r="M448" s="1">
        <f t="shared" si="140"/>
        <v>1167</v>
      </c>
      <c r="N448" s="1"/>
      <c r="O448" s="1" t="s">
        <v>417</v>
      </c>
      <c r="P448" s="1">
        <v>5.25</v>
      </c>
      <c r="Q448" s="1">
        <f t="shared" si="131"/>
        <v>1</v>
      </c>
      <c r="R448" s="1">
        <f t="shared" si="132"/>
        <v>1</v>
      </c>
      <c r="S448" s="1">
        <f t="shared" si="133"/>
        <v>1</v>
      </c>
      <c r="T448" s="1">
        <f t="shared" si="134"/>
        <v>1</v>
      </c>
      <c r="U448" s="1" t="s">
        <v>437</v>
      </c>
      <c r="V448" s="1"/>
      <c r="W448" s="1"/>
      <c r="X448" s="1"/>
      <c r="Y448" s="1"/>
      <c r="Z448" s="1">
        <v>33</v>
      </c>
      <c r="AA448" s="1">
        <v>75</v>
      </c>
      <c r="AB448" s="1"/>
      <c r="AC448" s="1">
        <v>0</v>
      </c>
      <c r="AD448" s="98">
        <v>0</v>
      </c>
      <c r="AE448" s="172">
        <v>60</v>
      </c>
      <c r="AF448" s="1" t="s">
        <v>417</v>
      </c>
      <c r="AG448" s="1">
        <v>2</v>
      </c>
      <c r="AH448" s="1">
        <v>0.35</v>
      </c>
      <c r="AI448" s="1">
        <v>3.5</v>
      </c>
      <c r="AJ448" s="1">
        <v>0.35</v>
      </c>
      <c r="AK448" s="1"/>
      <c r="AL448" s="1"/>
      <c r="AM448" s="1">
        <v>0</v>
      </c>
    </row>
    <row r="449" spans="1:39" x14ac:dyDescent="0.25">
      <c r="A449" s="195" t="s">
        <v>144</v>
      </c>
      <c r="B449" s="1">
        <v>2</v>
      </c>
      <c r="C449" s="1" t="s">
        <v>418</v>
      </c>
      <c r="D449" s="13">
        <v>39567</v>
      </c>
      <c r="E449" s="174">
        <f t="shared" si="135"/>
        <v>2505</v>
      </c>
      <c r="F449" s="1"/>
      <c r="G449" s="13">
        <v>41058</v>
      </c>
      <c r="H449" s="13">
        <f t="shared" si="141"/>
        <v>40905</v>
      </c>
      <c r="I449" s="13">
        <v>42072</v>
      </c>
      <c r="J449" s="13"/>
      <c r="K449" s="1">
        <f t="shared" si="138"/>
        <v>1491</v>
      </c>
      <c r="L449" s="1">
        <f t="shared" si="139"/>
        <v>153</v>
      </c>
      <c r="M449" s="1">
        <f t="shared" si="140"/>
        <v>1014</v>
      </c>
      <c r="N449" s="1"/>
      <c r="O449" s="1" t="s">
        <v>417</v>
      </c>
      <c r="P449" s="1">
        <v>5.2</v>
      </c>
      <c r="Q449" s="1">
        <f t="shared" si="131"/>
        <v>1</v>
      </c>
      <c r="R449" s="1">
        <f t="shared" si="132"/>
        <v>1</v>
      </c>
      <c r="S449" s="1">
        <f t="shared" si="133"/>
        <v>1</v>
      </c>
      <c r="T449" s="1">
        <f t="shared" si="134"/>
        <v>1</v>
      </c>
      <c r="U449" s="1" t="s">
        <v>437</v>
      </c>
      <c r="V449" s="1"/>
      <c r="W449" s="1"/>
      <c r="X449" s="1"/>
      <c r="Y449" s="1"/>
      <c r="Z449" s="1">
        <v>79</v>
      </c>
      <c r="AA449" s="1">
        <v>89</v>
      </c>
      <c r="AB449" s="1"/>
      <c r="AC449" s="1">
        <v>0</v>
      </c>
      <c r="AD449" s="98">
        <v>0</v>
      </c>
      <c r="AE449" s="172">
        <v>60</v>
      </c>
      <c r="AF449" s="1" t="s">
        <v>417</v>
      </c>
      <c r="AG449" s="1">
        <v>2</v>
      </c>
      <c r="AH449" s="1">
        <v>0.35</v>
      </c>
      <c r="AI449" s="1">
        <v>3.5</v>
      </c>
      <c r="AJ449" s="1">
        <v>0.35</v>
      </c>
      <c r="AK449" s="1"/>
      <c r="AL449" s="1"/>
      <c r="AM449" s="1">
        <v>0</v>
      </c>
    </row>
    <row r="450" spans="1:39" x14ac:dyDescent="0.25">
      <c r="A450" s="195" t="s">
        <v>144</v>
      </c>
      <c r="B450" s="1">
        <v>2</v>
      </c>
      <c r="C450" s="1" t="s">
        <v>418</v>
      </c>
      <c r="D450" s="13">
        <v>39567</v>
      </c>
      <c r="E450" s="174">
        <f t="shared" si="135"/>
        <v>2505</v>
      </c>
      <c r="F450" s="1"/>
      <c r="G450" s="13">
        <v>41171</v>
      </c>
      <c r="H450" s="13">
        <f t="shared" si="141"/>
        <v>41058</v>
      </c>
      <c r="I450" s="13">
        <v>42072</v>
      </c>
      <c r="J450" s="13"/>
      <c r="K450" s="1">
        <f t="shared" si="138"/>
        <v>1604</v>
      </c>
      <c r="L450" s="1">
        <f t="shared" si="139"/>
        <v>113</v>
      </c>
      <c r="M450" s="1">
        <f t="shared" si="140"/>
        <v>901</v>
      </c>
      <c r="N450" s="1"/>
      <c r="O450" s="1" t="s">
        <v>417</v>
      </c>
      <c r="P450" s="1">
        <v>5.17</v>
      </c>
      <c r="Q450" s="1">
        <f t="shared" si="131"/>
        <v>1</v>
      </c>
      <c r="R450" s="1">
        <f t="shared" si="132"/>
        <v>1</v>
      </c>
      <c r="S450" s="1">
        <f t="shared" si="133"/>
        <v>1</v>
      </c>
      <c r="T450" s="1">
        <f t="shared" si="134"/>
        <v>1</v>
      </c>
      <c r="U450" s="1" t="s">
        <v>437</v>
      </c>
      <c r="V450" s="1"/>
      <c r="W450" s="1"/>
      <c r="X450" s="1"/>
      <c r="Y450" s="1"/>
      <c r="Z450" s="1">
        <v>59</v>
      </c>
      <c r="AA450" s="1">
        <v>96</v>
      </c>
      <c r="AB450" s="1"/>
      <c r="AC450" s="1">
        <v>0</v>
      </c>
      <c r="AD450" s="98">
        <v>0</v>
      </c>
      <c r="AE450" s="172">
        <v>60</v>
      </c>
      <c r="AF450" s="1" t="s">
        <v>417</v>
      </c>
      <c r="AG450" s="1">
        <v>2</v>
      </c>
      <c r="AH450" s="1">
        <v>0.35</v>
      </c>
      <c r="AI450" s="1">
        <v>3.5</v>
      </c>
      <c r="AJ450" s="1">
        <v>0.35</v>
      </c>
      <c r="AK450" s="1"/>
      <c r="AL450" s="1"/>
      <c r="AM450" s="1">
        <v>0</v>
      </c>
    </row>
    <row r="451" spans="1:39" x14ac:dyDescent="0.25">
      <c r="A451" s="195" t="s">
        <v>144</v>
      </c>
      <c r="B451" s="1">
        <v>2</v>
      </c>
      <c r="C451" s="1" t="s">
        <v>418</v>
      </c>
      <c r="D451" s="13">
        <v>39567</v>
      </c>
      <c r="E451" s="174">
        <f t="shared" si="135"/>
        <v>2505</v>
      </c>
      <c r="F451" s="1"/>
      <c r="G451" s="13">
        <v>41291</v>
      </c>
      <c r="H451" s="13">
        <f t="shared" si="141"/>
        <v>41171</v>
      </c>
      <c r="I451" s="13">
        <v>42072</v>
      </c>
      <c r="J451" s="13"/>
      <c r="K451" s="1">
        <f t="shared" si="138"/>
        <v>1724</v>
      </c>
      <c r="L451" s="1">
        <f t="shared" si="139"/>
        <v>120</v>
      </c>
      <c r="M451" s="1">
        <f t="shared" si="140"/>
        <v>781</v>
      </c>
      <c r="N451" s="1"/>
      <c r="O451" s="1" t="s">
        <v>417</v>
      </c>
      <c r="P451" s="1">
        <v>5.14</v>
      </c>
      <c r="Q451" s="1">
        <f t="shared" si="131"/>
        <v>1</v>
      </c>
      <c r="R451" s="1">
        <f t="shared" si="132"/>
        <v>1</v>
      </c>
      <c r="S451" s="1">
        <f t="shared" si="133"/>
        <v>1</v>
      </c>
      <c r="T451" s="1">
        <f t="shared" si="134"/>
        <v>1</v>
      </c>
      <c r="U451" s="1" t="s">
        <v>437</v>
      </c>
      <c r="V451" s="1"/>
      <c r="W451" s="1"/>
      <c r="X451" s="1"/>
      <c r="Y451" s="1"/>
      <c r="Z451" s="1">
        <v>49</v>
      </c>
      <c r="AA451" s="1">
        <v>95</v>
      </c>
      <c r="AB451" s="1"/>
      <c r="AC451" s="1">
        <v>0</v>
      </c>
      <c r="AD451" s="98">
        <v>0</v>
      </c>
      <c r="AE451" s="172">
        <v>60</v>
      </c>
      <c r="AF451" s="1" t="s">
        <v>417</v>
      </c>
      <c r="AG451" s="1">
        <v>2</v>
      </c>
      <c r="AH451" s="1">
        <v>0.35</v>
      </c>
      <c r="AI451" s="1">
        <v>3.5</v>
      </c>
      <c r="AJ451" s="1">
        <v>0.35</v>
      </c>
      <c r="AK451" s="1"/>
      <c r="AL451" s="1"/>
      <c r="AM451" s="1">
        <v>0</v>
      </c>
    </row>
    <row r="452" spans="1:39" x14ac:dyDescent="0.25">
      <c r="A452" s="195" t="s">
        <v>144</v>
      </c>
      <c r="B452" s="1">
        <v>2</v>
      </c>
      <c r="C452" s="1" t="s">
        <v>418</v>
      </c>
      <c r="D452" s="13">
        <v>39567</v>
      </c>
      <c r="E452" s="174">
        <f t="shared" si="135"/>
        <v>2505</v>
      </c>
      <c r="F452" s="1"/>
      <c r="G452" s="13">
        <v>41352</v>
      </c>
      <c r="H452" s="13">
        <f t="shared" si="141"/>
        <v>41291</v>
      </c>
      <c r="I452" s="13">
        <v>42072</v>
      </c>
      <c r="J452" s="13"/>
      <c r="K452" s="1">
        <f t="shared" si="138"/>
        <v>1785</v>
      </c>
      <c r="L452" s="1">
        <f t="shared" si="139"/>
        <v>61</v>
      </c>
      <c r="M452" s="1">
        <f t="shared" si="140"/>
        <v>720</v>
      </c>
      <c r="N452" s="1"/>
      <c r="O452" s="1" t="s">
        <v>417</v>
      </c>
      <c r="P452" s="1">
        <v>5.14</v>
      </c>
      <c r="Q452" s="1">
        <f t="shared" si="131"/>
        <v>1</v>
      </c>
      <c r="R452" s="1">
        <f t="shared" si="132"/>
        <v>1</v>
      </c>
      <c r="S452" s="1">
        <f t="shared" si="133"/>
        <v>1</v>
      </c>
      <c r="T452" s="1">
        <f t="shared" si="134"/>
        <v>1</v>
      </c>
      <c r="U452" s="1" t="s">
        <v>437</v>
      </c>
      <c r="V452" s="1"/>
      <c r="W452" s="1"/>
      <c r="X452" s="1"/>
      <c r="Y452" s="1"/>
      <c r="Z452" s="1">
        <v>39</v>
      </c>
      <c r="AA452" s="1">
        <v>75</v>
      </c>
      <c r="AB452" s="1"/>
      <c r="AC452" s="1">
        <v>0</v>
      </c>
      <c r="AD452" s="98">
        <v>0</v>
      </c>
      <c r="AE452" s="172">
        <v>60</v>
      </c>
      <c r="AF452" s="1" t="s">
        <v>417</v>
      </c>
      <c r="AG452" s="1">
        <v>2</v>
      </c>
      <c r="AH452" s="1">
        <v>0.35</v>
      </c>
      <c r="AI452" s="1">
        <v>3.5</v>
      </c>
      <c r="AJ452" s="1">
        <v>0.35</v>
      </c>
      <c r="AK452" s="1"/>
      <c r="AL452" s="1"/>
      <c r="AM452" s="1">
        <v>0</v>
      </c>
    </row>
    <row r="453" spans="1:39" x14ac:dyDescent="0.25">
      <c r="A453" s="195" t="s">
        <v>144</v>
      </c>
      <c r="B453" s="1">
        <v>2</v>
      </c>
      <c r="C453" s="1" t="s">
        <v>418</v>
      </c>
      <c r="D453" s="13">
        <v>39567</v>
      </c>
      <c r="E453" s="174">
        <f t="shared" si="135"/>
        <v>2505</v>
      </c>
      <c r="F453" s="1"/>
      <c r="G453" s="13">
        <v>41428</v>
      </c>
      <c r="H453" s="13">
        <f t="shared" si="141"/>
        <v>41352</v>
      </c>
      <c r="I453" s="13">
        <v>42072</v>
      </c>
      <c r="J453" s="13"/>
      <c r="K453" s="1">
        <f t="shared" si="138"/>
        <v>1861</v>
      </c>
      <c r="L453" s="1">
        <f t="shared" si="139"/>
        <v>76</v>
      </c>
      <c r="M453" s="1">
        <f t="shared" si="140"/>
        <v>644</v>
      </c>
      <c r="N453" s="1"/>
      <c r="O453" s="1" t="s">
        <v>417</v>
      </c>
      <c r="P453" s="1">
        <v>5.14</v>
      </c>
      <c r="Q453" s="1">
        <f t="shared" si="131"/>
        <v>1</v>
      </c>
      <c r="R453" s="1">
        <f t="shared" si="132"/>
        <v>1</v>
      </c>
      <c r="S453" s="1">
        <f t="shared" si="133"/>
        <v>1</v>
      </c>
      <c r="T453" s="1">
        <f t="shared" si="134"/>
        <v>1</v>
      </c>
      <c r="U453" s="1" t="s">
        <v>437</v>
      </c>
      <c r="V453" s="1"/>
      <c r="W453" s="1"/>
      <c r="X453" s="1"/>
      <c r="Y453" s="1"/>
      <c r="Z453" s="1">
        <v>53</v>
      </c>
      <c r="AA453" s="1">
        <v>90</v>
      </c>
      <c r="AB453" s="1"/>
      <c r="AC453" s="1">
        <v>0</v>
      </c>
      <c r="AD453" s="98">
        <v>0</v>
      </c>
      <c r="AE453" s="172">
        <v>60</v>
      </c>
      <c r="AF453" s="1" t="s">
        <v>417</v>
      </c>
      <c r="AG453" s="1">
        <v>2</v>
      </c>
      <c r="AH453" s="1">
        <v>0.35</v>
      </c>
      <c r="AI453" s="1">
        <v>3.5</v>
      </c>
      <c r="AJ453" s="1">
        <v>0.35</v>
      </c>
      <c r="AK453" s="1"/>
      <c r="AL453" s="1"/>
      <c r="AM453" s="1">
        <v>0</v>
      </c>
    </row>
    <row r="454" spans="1:39" x14ac:dyDescent="0.25">
      <c r="A454" s="195" t="s">
        <v>144</v>
      </c>
      <c r="B454" s="1">
        <v>2</v>
      </c>
      <c r="C454" s="1" t="s">
        <v>418</v>
      </c>
      <c r="D454" s="13">
        <v>39567</v>
      </c>
      <c r="E454" s="174">
        <f t="shared" si="135"/>
        <v>2505</v>
      </c>
      <c r="F454" s="1"/>
      <c r="G454" s="13">
        <v>41528</v>
      </c>
      <c r="H454" s="13">
        <f t="shared" si="141"/>
        <v>41428</v>
      </c>
      <c r="I454" s="13">
        <v>42072</v>
      </c>
      <c r="J454" s="13"/>
      <c r="K454" s="1">
        <f t="shared" si="138"/>
        <v>1961</v>
      </c>
      <c r="L454" s="1">
        <f t="shared" si="139"/>
        <v>100</v>
      </c>
      <c r="M454" s="1">
        <f t="shared" si="140"/>
        <v>544</v>
      </c>
      <c r="N454" s="1"/>
      <c r="O454" s="1" t="s">
        <v>417</v>
      </c>
      <c r="P454" s="1">
        <v>5.13</v>
      </c>
      <c r="Q454" s="1">
        <f t="shared" si="131"/>
        <v>1</v>
      </c>
      <c r="R454" s="1">
        <f t="shared" si="132"/>
        <v>1</v>
      </c>
      <c r="S454" s="1">
        <f t="shared" si="133"/>
        <v>1</v>
      </c>
      <c r="T454" s="1">
        <f t="shared" si="134"/>
        <v>1</v>
      </c>
      <c r="U454" s="1" t="s">
        <v>437</v>
      </c>
      <c r="V454" s="1"/>
      <c r="W454" s="1"/>
      <c r="X454" s="1"/>
      <c r="Y454" s="1"/>
      <c r="Z454" s="1">
        <v>55</v>
      </c>
      <c r="AA454" s="1">
        <v>94</v>
      </c>
      <c r="AB454" s="1"/>
      <c r="AC454" s="1">
        <v>0</v>
      </c>
      <c r="AD454" s="98">
        <v>0</v>
      </c>
      <c r="AE454" s="172">
        <v>60</v>
      </c>
      <c r="AF454" s="1" t="s">
        <v>417</v>
      </c>
      <c r="AG454" s="1">
        <v>2</v>
      </c>
      <c r="AH454" s="1">
        <v>0.35</v>
      </c>
      <c r="AI454" s="1">
        <v>3.5</v>
      </c>
      <c r="AJ454" s="1">
        <v>0.35</v>
      </c>
      <c r="AK454" s="1"/>
      <c r="AL454" s="1"/>
      <c r="AM454" s="1">
        <v>0</v>
      </c>
    </row>
    <row r="455" spans="1:39" x14ac:dyDescent="0.25">
      <c r="A455" s="195" t="s">
        <v>144</v>
      </c>
      <c r="B455" s="1">
        <v>2</v>
      </c>
      <c r="C455" s="1" t="s">
        <v>418</v>
      </c>
      <c r="D455" s="13">
        <v>39567</v>
      </c>
      <c r="E455" s="174">
        <f t="shared" si="135"/>
        <v>2505</v>
      </c>
      <c r="F455" s="1"/>
      <c r="G455" s="13">
        <v>41716</v>
      </c>
      <c r="H455" s="13">
        <f t="shared" si="141"/>
        <v>41528</v>
      </c>
      <c r="I455" s="13">
        <v>42072</v>
      </c>
      <c r="J455" s="13"/>
      <c r="K455" s="1">
        <f t="shared" si="138"/>
        <v>2149</v>
      </c>
      <c r="L455" s="1">
        <f t="shared" si="139"/>
        <v>188</v>
      </c>
      <c r="M455" s="1">
        <f t="shared" si="140"/>
        <v>356</v>
      </c>
      <c r="N455" s="1"/>
      <c r="O455" s="1" t="s">
        <v>417</v>
      </c>
      <c r="P455" s="1">
        <v>5.08</v>
      </c>
      <c r="Q455" s="1"/>
      <c r="R455" s="1"/>
      <c r="S455" s="1">
        <f t="shared" si="133"/>
        <v>1</v>
      </c>
      <c r="T455" s="1">
        <f t="shared" si="134"/>
        <v>1</v>
      </c>
      <c r="U455" s="1"/>
      <c r="V455" s="1"/>
      <c r="W455" s="1"/>
      <c r="X455" s="1"/>
      <c r="Y455" s="1"/>
      <c r="Z455" s="1">
        <v>41</v>
      </c>
      <c r="AA455" s="1">
        <v>96</v>
      </c>
      <c r="AB455" s="1"/>
      <c r="AC455" s="1">
        <v>0</v>
      </c>
      <c r="AD455" s="98">
        <v>0</v>
      </c>
      <c r="AE455" s="172">
        <v>60</v>
      </c>
      <c r="AF455" s="1" t="s">
        <v>417</v>
      </c>
      <c r="AG455" s="1">
        <v>2</v>
      </c>
      <c r="AH455" s="1">
        <v>0.35</v>
      </c>
      <c r="AI455" s="1">
        <v>3.5</v>
      </c>
      <c r="AJ455" s="1">
        <v>0.35</v>
      </c>
      <c r="AK455" s="1"/>
      <c r="AL455" s="1"/>
      <c r="AM455" s="1">
        <v>0</v>
      </c>
    </row>
    <row r="456" spans="1:39" x14ac:dyDescent="0.25">
      <c r="A456" s="195" t="s">
        <v>144</v>
      </c>
      <c r="B456" s="1">
        <v>2</v>
      </c>
      <c r="C456" s="1" t="s">
        <v>418</v>
      </c>
      <c r="D456" s="13">
        <v>39567</v>
      </c>
      <c r="E456" s="174">
        <f t="shared" si="135"/>
        <v>2505</v>
      </c>
      <c r="F456" s="1"/>
      <c r="G456" s="13">
        <v>41764</v>
      </c>
      <c r="H456" s="13">
        <f t="shared" si="141"/>
        <v>41716</v>
      </c>
      <c r="I456" s="13">
        <v>42072</v>
      </c>
      <c r="J456" s="13"/>
      <c r="K456" s="1">
        <f t="shared" si="138"/>
        <v>2197</v>
      </c>
      <c r="L456" s="1">
        <f t="shared" si="139"/>
        <v>48</v>
      </c>
      <c r="M456" s="1">
        <f t="shared" si="140"/>
        <v>308</v>
      </c>
      <c r="N456" s="1"/>
      <c r="O456" s="1" t="s">
        <v>417</v>
      </c>
      <c r="P456" s="1">
        <v>5.07</v>
      </c>
      <c r="Q456" s="1"/>
      <c r="R456" s="1"/>
      <c r="S456" s="1">
        <f t="shared" si="133"/>
        <v>1</v>
      </c>
      <c r="T456" s="1">
        <f t="shared" si="134"/>
        <v>1</v>
      </c>
      <c r="U456" s="1"/>
      <c r="V456" s="1"/>
      <c r="W456" s="1"/>
      <c r="X456" s="1"/>
      <c r="Y456" s="1"/>
      <c r="Z456" s="1">
        <v>0</v>
      </c>
      <c r="AA456" s="1">
        <v>56</v>
      </c>
      <c r="AB456" s="1"/>
      <c r="AC456" s="1">
        <v>0</v>
      </c>
      <c r="AD456" s="98">
        <v>0</v>
      </c>
      <c r="AE456" s="172">
        <v>60</v>
      </c>
      <c r="AF456" s="1" t="s">
        <v>434</v>
      </c>
      <c r="AG456" s="1">
        <v>2</v>
      </c>
      <c r="AH456" s="1">
        <v>0.35</v>
      </c>
      <c r="AI456" s="1">
        <v>3.5</v>
      </c>
      <c r="AJ456" s="1">
        <v>0.35</v>
      </c>
      <c r="AK456" s="1"/>
      <c r="AL456" s="1"/>
      <c r="AM456" s="1">
        <v>0</v>
      </c>
    </row>
    <row r="457" spans="1:39" x14ac:dyDescent="0.25">
      <c r="A457" s="195" t="s">
        <v>144</v>
      </c>
      <c r="B457" s="1">
        <v>2</v>
      </c>
      <c r="C457" s="1" t="s">
        <v>418</v>
      </c>
      <c r="D457" s="13">
        <v>39567</v>
      </c>
      <c r="E457" s="174">
        <f t="shared" si="135"/>
        <v>2505</v>
      </c>
      <c r="F457" s="1"/>
      <c r="G457" s="13">
        <v>41948</v>
      </c>
      <c r="H457" s="13">
        <f t="shared" si="141"/>
        <v>41764</v>
      </c>
      <c r="I457" s="13">
        <v>42072</v>
      </c>
      <c r="J457" s="13"/>
      <c r="K457" s="1">
        <f t="shared" si="138"/>
        <v>2381</v>
      </c>
      <c r="L457" s="1">
        <f t="shared" si="139"/>
        <v>184</v>
      </c>
      <c r="M457" s="1">
        <f t="shared" si="140"/>
        <v>124</v>
      </c>
      <c r="N457" s="1"/>
      <c r="O457" s="1" t="s">
        <v>417</v>
      </c>
      <c r="P457" s="1">
        <v>4.97</v>
      </c>
      <c r="Q457" s="1"/>
      <c r="R457" s="1"/>
      <c r="S457" s="1"/>
      <c r="T457" s="1">
        <f t="shared" si="134"/>
        <v>1</v>
      </c>
      <c r="U457" s="1"/>
      <c r="V457" s="1"/>
      <c r="W457" s="1"/>
      <c r="X457" s="1"/>
      <c r="Y457" s="1"/>
      <c r="Z457" s="1">
        <v>0</v>
      </c>
      <c r="AA457" s="1">
        <v>98</v>
      </c>
      <c r="AB457" s="1"/>
      <c r="AC457" s="1">
        <v>0</v>
      </c>
      <c r="AD457" s="98">
        <v>0</v>
      </c>
      <c r="AE457" s="172">
        <v>60</v>
      </c>
      <c r="AF457" s="1" t="s">
        <v>434</v>
      </c>
      <c r="AG457" s="1">
        <v>2</v>
      </c>
      <c r="AH457" s="1">
        <v>0.35</v>
      </c>
      <c r="AI457" s="1">
        <v>3.5</v>
      </c>
      <c r="AJ457" s="1">
        <v>0.35</v>
      </c>
      <c r="AK457" s="1"/>
      <c r="AL457" s="1"/>
      <c r="AM457" s="1">
        <v>0</v>
      </c>
    </row>
    <row r="458" spans="1:39" x14ac:dyDescent="0.25">
      <c r="A458" s="195" t="s">
        <v>144</v>
      </c>
      <c r="B458" s="1">
        <v>2</v>
      </c>
      <c r="C458" s="1" t="s">
        <v>418</v>
      </c>
      <c r="D458" s="13">
        <v>39567</v>
      </c>
      <c r="E458" s="174">
        <f t="shared" si="135"/>
        <v>2505</v>
      </c>
      <c r="F458" s="1"/>
      <c r="G458" s="13">
        <v>42065</v>
      </c>
      <c r="H458" s="13">
        <f t="shared" si="141"/>
        <v>41948</v>
      </c>
      <c r="I458" s="13">
        <v>42072</v>
      </c>
      <c r="J458" s="13"/>
      <c r="K458" s="1">
        <f t="shared" si="138"/>
        <v>2498</v>
      </c>
      <c r="L458" s="1">
        <f t="shared" si="139"/>
        <v>117</v>
      </c>
      <c r="M458" s="1">
        <f t="shared" si="140"/>
        <v>7</v>
      </c>
      <c r="N458" s="1"/>
      <c r="O458" s="1" t="s">
        <v>434</v>
      </c>
      <c r="P458" s="4">
        <v>4.74</v>
      </c>
      <c r="Q458" s="1"/>
      <c r="R458" s="1"/>
      <c r="S458" s="1"/>
      <c r="T458" s="1"/>
      <c r="U458" s="1"/>
      <c r="V458" s="1">
        <v>0</v>
      </c>
      <c r="W458" s="1">
        <v>0</v>
      </c>
      <c r="X458" s="1">
        <v>0</v>
      </c>
      <c r="Y458" s="1">
        <v>1</v>
      </c>
      <c r="Z458" s="4">
        <v>0</v>
      </c>
      <c r="AA458" s="4">
        <v>95</v>
      </c>
      <c r="AB458" s="1"/>
      <c r="AC458" s="1">
        <v>0</v>
      </c>
      <c r="AD458" s="98">
        <v>0</v>
      </c>
      <c r="AE458" s="172">
        <v>60</v>
      </c>
      <c r="AF458" s="1" t="s">
        <v>434</v>
      </c>
      <c r="AG458" s="4">
        <v>2</v>
      </c>
      <c r="AH458" s="4">
        <v>0.35</v>
      </c>
      <c r="AI458" s="4">
        <v>2.5</v>
      </c>
      <c r="AJ458" s="4">
        <v>0.35</v>
      </c>
      <c r="AK458" s="1"/>
      <c r="AL458" s="1"/>
      <c r="AM458" s="1">
        <v>0</v>
      </c>
    </row>
    <row r="459" spans="1:39" x14ac:dyDescent="0.25">
      <c r="A459" s="195" t="s">
        <v>144</v>
      </c>
      <c r="B459" s="1">
        <v>2</v>
      </c>
      <c r="C459" s="1" t="s">
        <v>418</v>
      </c>
      <c r="D459" s="13">
        <v>39567</v>
      </c>
      <c r="E459" s="174">
        <f t="shared" si="135"/>
        <v>2505</v>
      </c>
      <c r="F459" s="1"/>
      <c r="G459" s="13">
        <v>42072</v>
      </c>
      <c r="H459" s="13">
        <f t="shared" si="141"/>
        <v>42065</v>
      </c>
      <c r="I459" s="13">
        <v>42072</v>
      </c>
      <c r="J459" s="13"/>
      <c r="K459" s="1">
        <f t="shared" si="138"/>
        <v>2505</v>
      </c>
      <c r="L459" s="1">
        <f t="shared" si="139"/>
        <v>7</v>
      </c>
      <c r="M459" s="1">
        <f t="shared" si="140"/>
        <v>0</v>
      </c>
      <c r="N459" s="1"/>
      <c r="O459" s="1" t="s">
        <v>434</v>
      </c>
      <c r="P459" s="4">
        <v>4.74</v>
      </c>
      <c r="Q459" s="1"/>
      <c r="R459" s="1"/>
      <c r="S459" s="1"/>
      <c r="T459" s="1"/>
      <c r="U459" s="1"/>
      <c r="V459" s="1"/>
      <c r="W459" s="1"/>
      <c r="X459" s="1"/>
      <c r="Y459" s="1"/>
      <c r="Z459" s="4">
        <v>0</v>
      </c>
      <c r="AA459" s="4">
        <v>97</v>
      </c>
      <c r="AB459" s="1"/>
      <c r="AC459" s="1">
        <v>0</v>
      </c>
      <c r="AD459" s="98">
        <v>0</v>
      </c>
      <c r="AE459" s="172">
        <v>60</v>
      </c>
      <c r="AF459" s="1" t="s">
        <v>434</v>
      </c>
      <c r="AG459" s="4">
        <v>2</v>
      </c>
      <c r="AH459" s="4">
        <v>0.35</v>
      </c>
      <c r="AI459" s="4">
        <v>2.5</v>
      </c>
      <c r="AJ459" s="4">
        <v>0.35</v>
      </c>
      <c r="AK459" s="1"/>
      <c r="AL459" s="1"/>
      <c r="AM459" s="1">
        <v>0</v>
      </c>
    </row>
    <row r="460" spans="1:39" x14ac:dyDescent="0.25">
      <c r="A460" s="223" t="s">
        <v>146</v>
      </c>
      <c r="B460" s="1">
        <v>2</v>
      </c>
      <c r="C460" s="1" t="s">
        <v>418</v>
      </c>
      <c r="D460" s="13">
        <v>39140</v>
      </c>
      <c r="E460" s="174">
        <f t="shared" si="135"/>
        <v>1800</v>
      </c>
      <c r="F460" s="1"/>
      <c r="G460" s="61">
        <v>40092</v>
      </c>
      <c r="H460" s="13">
        <v>39140</v>
      </c>
      <c r="I460" s="13">
        <v>40940</v>
      </c>
      <c r="J460" s="13"/>
      <c r="K460" s="1">
        <f t="shared" si="138"/>
        <v>952</v>
      </c>
      <c r="L460" s="1">
        <f t="shared" si="139"/>
        <v>952</v>
      </c>
      <c r="M460" s="1">
        <f t="shared" si="140"/>
        <v>848</v>
      </c>
      <c r="N460" s="1"/>
      <c r="O460" s="1" t="s">
        <v>417</v>
      </c>
      <c r="P460" s="57">
        <v>6.16</v>
      </c>
      <c r="Q460" s="1">
        <f t="shared" si="131"/>
        <v>1</v>
      </c>
      <c r="R460" s="1">
        <f t="shared" si="132"/>
        <v>1</v>
      </c>
      <c r="S460" s="1">
        <f t="shared" si="133"/>
        <v>1</v>
      </c>
      <c r="T460" s="1">
        <f t="shared" si="134"/>
        <v>1</v>
      </c>
      <c r="U460" s="1" t="s">
        <v>437</v>
      </c>
      <c r="V460" s="1"/>
      <c r="W460" s="1"/>
      <c r="X460" s="1"/>
      <c r="Y460" s="1"/>
      <c r="Z460" s="57">
        <v>4</v>
      </c>
      <c r="AA460" s="57">
        <v>37</v>
      </c>
      <c r="AB460" s="1"/>
      <c r="AC460" s="1">
        <v>0</v>
      </c>
      <c r="AD460" s="98">
        <v>0</v>
      </c>
      <c r="AE460" s="172">
        <v>60</v>
      </c>
      <c r="AF460" s="1" t="s">
        <v>417</v>
      </c>
      <c r="AG460" s="57">
        <v>2</v>
      </c>
      <c r="AH460" s="57">
        <v>0.35</v>
      </c>
      <c r="AI460" s="57">
        <v>3</v>
      </c>
      <c r="AJ460" s="57">
        <v>0.35</v>
      </c>
      <c r="AK460" s="1"/>
      <c r="AL460" s="1"/>
      <c r="AM460" s="1">
        <v>0</v>
      </c>
    </row>
    <row r="461" spans="1:39" x14ac:dyDescent="0.25">
      <c r="A461" s="223" t="s">
        <v>146</v>
      </c>
      <c r="B461" s="1">
        <v>2</v>
      </c>
      <c r="C461" s="1" t="s">
        <v>418</v>
      </c>
      <c r="D461" s="13">
        <v>39140</v>
      </c>
      <c r="E461" s="174">
        <f t="shared" si="135"/>
        <v>1800</v>
      </c>
      <c r="F461" s="1"/>
      <c r="G461" s="13">
        <v>40302</v>
      </c>
      <c r="H461" s="13">
        <f>G460</f>
        <v>40092</v>
      </c>
      <c r="I461" s="13">
        <v>40940</v>
      </c>
      <c r="J461" s="13"/>
      <c r="K461" s="1">
        <f t="shared" si="138"/>
        <v>1162</v>
      </c>
      <c r="L461" s="1">
        <f t="shared" si="139"/>
        <v>210</v>
      </c>
      <c r="M461" s="1">
        <f t="shared" si="140"/>
        <v>638</v>
      </c>
      <c r="N461" s="1"/>
      <c r="O461" s="1" t="s">
        <v>417</v>
      </c>
      <c r="P461" s="4">
        <v>5.93</v>
      </c>
      <c r="Q461" s="1">
        <f t="shared" si="131"/>
        <v>1</v>
      </c>
      <c r="R461" s="1">
        <f t="shared" si="132"/>
        <v>1</v>
      </c>
      <c r="S461" s="1">
        <f t="shared" si="133"/>
        <v>1</v>
      </c>
      <c r="T461" s="1">
        <f t="shared" si="134"/>
        <v>1</v>
      </c>
      <c r="U461" s="1" t="s">
        <v>437</v>
      </c>
      <c r="V461" s="1"/>
      <c r="W461" s="1"/>
      <c r="X461" s="1"/>
      <c r="Y461" s="1"/>
      <c r="Z461" s="4">
        <v>4</v>
      </c>
      <c r="AA461" s="4">
        <v>25</v>
      </c>
      <c r="AB461" s="1"/>
      <c r="AC461" s="1">
        <v>1</v>
      </c>
      <c r="AD461" s="98">
        <v>0</v>
      </c>
      <c r="AE461" s="172">
        <v>60</v>
      </c>
      <c r="AF461" s="1" t="s">
        <v>417</v>
      </c>
      <c r="AG461" s="4">
        <v>2</v>
      </c>
      <c r="AH461" s="4">
        <v>0.35</v>
      </c>
      <c r="AI461" s="4">
        <v>3</v>
      </c>
      <c r="AJ461" s="4">
        <v>0.35</v>
      </c>
      <c r="AK461" s="1"/>
      <c r="AL461" s="1"/>
      <c r="AM461" s="1">
        <v>0</v>
      </c>
    </row>
    <row r="462" spans="1:39" x14ac:dyDescent="0.25">
      <c r="A462" s="223" t="s">
        <v>146</v>
      </c>
      <c r="B462" s="1">
        <v>2</v>
      </c>
      <c r="C462" s="1" t="s">
        <v>418</v>
      </c>
      <c r="D462" s="13">
        <v>39140</v>
      </c>
      <c r="E462" s="174">
        <f t="shared" si="135"/>
        <v>1800</v>
      </c>
      <c r="F462" s="1"/>
      <c r="G462" s="13">
        <v>40715</v>
      </c>
      <c r="H462" s="13">
        <f t="shared" ref="H462:H463" si="142">G461</f>
        <v>40302</v>
      </c>
      <c r="I462" s="13">
        <v>40940</v>
      </c>
      <c r="J462" s="13"/>
      <c r="K462" s="1">
        <f t="shared" si="138"/>
        <v>1575</v>
      </c>
      <c r="L462" s="1">
        <f t="shared" si="139"/>
        <v>413</v>
      </c>
      <c r="M462" s="1">
        <f t="shared" si="140"/>
        <v>225</v>
      </c>
      <c r="N462" s="1"/>
      <c r="O462" s="1" t="s">
        <v>417</v>
      </c>
      <c r="P462" s="1">
        <v>5.3</v>
      </c>
      <c r="Q462" s="1"/>
      <c r="R462" s="1"/>
      <c r="S462" s="1">
        <f t="shared" si="133"/>
        <v>1</v>
      </c>
      <c r="T462" s="1">
        <f t="shared" si="134"/>
        <v>1</v>
      </c>
      <c r="U462" s="1"/>
      <c r="V462" s="1"/>
      <c r="W462" s="1"/>
      <c r="X462" s="1"/>
      <c r="Y462" s="1"/>
      <c r="Z462" s="1">
        <v>5</v>
      </c>
      <c r="AA462" s="1">
        <v>38</v>
      </c>
      <c r="AB462" s="1"/>
      <c r="AC462" s="1">
        <v>1</v>
      </c>
      <c r="AD462" s="98">
        <v>0</v>
      </c>
      <c r="AE462" s="172">
        <v>60</v>
      </c>
      <c r="AF462" s="1" t="s">
        <v>417</v>
      </c>
      <c r="AG462" s="1">
        <v>2</v>
      </c>
      <c r="AH462" s="1">
        <v>0.35</v>
      </c>
      <c r="AI462" s="1">
        <v>3</v>
      </c>
      <c r="AJ462" s="1">
        <v>0.35</v>
      </c>
      <c r="AK462" s="1"/>
      <c r="AL462" s="1"/>
      <c r="AM462" s="1">
        <v>0</v>
      </c>
    </row>
    <row r="463" spans="1:39" x14ac:dyDescent="0.25">
      <c r="A463" s="223" t="s">
        <v>146</v>
      </c>
      <c r="B463" s="1">
        <v>2</v>
      </c>
      <c r="C463" s="1" t="s">
        <v>418</v>
      </c>
      <c r="D463" s="13">
        <v>39140</v>
      </c>
      <c r="E463" s="174">
        <f t="shared" si="135"/>
        <v>1800</v>
      </c>
      <c r="F463" s="1"/>
      <c r="G463" s="13">
        <v>40940</v>
      </c>
      <c r="H463" s="13">
        <f t="shared" si="142"/>
        <v>40715</v>
      </c>
      <c r="I463" s="13">
        <v>40940</v>
      </c>
      <c r="J463" s="13"/>
      <c r="K463" s="1">
        <f t="shared" si="138"/>
        <v>1800</v>
      </c>
      <c r="L463" s="1">
        <f t="shared" si="139"/>
        <v>225</v>
      </c>
      <c r="M463" s="1">
        <f t="shared" si="140"/>
        <v>0</v>
      </c>
      <c r="N463" s="1"/>
      <c r="O463" s="1" t="s">
        <v>417</v>
      </c>
      <c r="P463" s="1">
        <v>5.18</v>
      </c>
      <c r="Q463" s="1"/>
      <c r="R463" s="1"/>
      <c r="S463" s="1"/>
      <c r="T463" s="1"/>
      <c r="U463" s="1"/>
      <c r="V463" s="1"/>
      <c r="W463" s="1"/>
      <c r="X463" s="1"/>
      <c r="Y463" s="1"/>
      <c r="Z463" s="1">
        <v>6</v>
      </c>
      <c r="AA463" s="1">
        <v>36</v>
      </c>
      <c r="AB463" s="1"/>
      <c r="AC463" s="1">
        <v>0</v>
      </c>
      <c r="AD463" s="98">
        <v>0</v>
      </c>
      <c r="AE463" s="172">
        <v>60</v>
      </c>
      <c r="AF463" s="1" t="s">
        <v>417</v>
      </c>
      <c r="AG463" s="1">
        <v>2</v>
      </c>
      <c r="AH463" s="1">
        <v>0.35</v>
      </c>
      <c r="AI463" s="1">
        <v>3</v>
      </c>
      <c r="AJ463" s="1">
        <v>0.35</v>
      </c>
      <c r="AK463" s="1"/>
      <c r="AL463" s="1"/>
      <c r="AM463" s="1">
        <v>0</v>
      </c>
    </row>
    <row r="464" spans="1:39" s="1" customFormat="1" x14ac:dyDescent="0.25">
      <c r="A464" s="196" t="s">
        <v>147</v>
      </c>
      <c r="B464" s="1">
        <v>2</v>
      </c>
      <c r="C464" s="1" t="s">
        <v>418</v>
      </c>
      <c r="D464" s="25">
        <v>39972</v>
      </c>
      <c r="E464" s="1">
        <f t="shared" si="135"/>
        <v>2039</v>
      </c>
      <c r="G464" s="25">
        <v>40204</v>
      </c>
      <c r="H464" s="25">
        <v>39972</v>
      </c>
      <c r="I464" s="25">
        <v>42011</v>
      </c>
      <c r="K464" s="1">
        <f t="shared" si="138"/>
        <v>232</v>
      </c>
      <c r="L464" s="1">
        <f t="shared" si="139"/>
        <v>232</v>
      </c>
      <c r="M464" s="1">
        <f t="shared" si="140"/>
        <v>1807</v>
      </c>
      <c r="O464" s="1" t="s">
        <v>417</v>
      </c>
      <c r="P464" s="1">
        <v>6.46</v>
      </c>
      <c r="Q464" s="1">
        <f t="shared" si="131"/>
        <v>1</v>
      </c>
      <c r="R464" s="1">
        <f t="shared" si="132"/>
        <v>1</v>
      </c>
      <c r="S464" s="1">
        <f t="shared" si="133"/>
        <v>1</v>
      </c>
      <c r="T464" s="1">
        <f t="shared" si="134"/>
        <v>1</v>
      </c>
      <c r="U464" s="1" t="s">
        <v>437</v>
      </c>
      <c r="Z464" s="1">
        <v>0</v>
      </c>
      <c r="AA464" s="1">
        <v>0</v>
      </c>
      <c r="AC464" s="1">
        <v>0</v>
      </c>
      <c r="AD464" s="1">
        <v>0</v>
      </c>
      <c r="AE464" s="1">
        <v>50</v>
      </c>
      <c r="AF464" s="1" t="s">
        <v>417</v>
      </c>
      <c r="AG464" s="1">
        <v>3.5</v>
      </c>
      <c r="AH464" s="1">
        <v>0.35</v>
      </c>
      <c r="AI464" s="1">
        <v>3.5</v>
      </c>
      <c r="AJ464" s="1">
        <v>0.35</v>
      </c>
      <c r="AM464" s="1">
        <v>0</v>
      </c>
    </row>
    <row r="465" spans="1:39" s="1" customFormat="1" x14ac:dyDescent="0.25">
      <c r="A465" s="196" t="s">
        <v>147</v>
      </c>
      <c r="B465" s="1">
        <v>2</v>
      </c>
      <c r="C465" s="1" t="s">
        <v>418</v>
      </c>
      <c r="D465" s="25">
        <v>39972</v>
      </c>
      <c r="E465" s="1">
        <f t="shared" si="135"/>
        <v>2039</v>
      </c>
      <c r="G465" s="25">
        <v>40274</v>
      </c>
      <c r="H465" s="25">
        <f>G464</f>
        <v>40204</v>
      </c>
      <c r="I465" s="25">
        <v>42011</v>
      </c>
      <c r="K465" s="1">
        <f t="shared" si="138"/>
        <v>302</v>
      </c>
      <c r="L465" s="1">
        <f t="shared" si="139"/>
        <v>70</v>
      </c>
      <c r="M465" s="1">
        <f t="shared" si="140"/>
        <v>1737</v>
      </c>
      <c r="O465" s="1" t="s">
        <v>417</v>
      </c>
      <c r="P465" s="1">
        <v>6.44</v>
      </c>
      <c r="Q465" s="1">
        <f t="shared" si="131"/>
        <v>1</v>
      </c>
      <c r="R465" s="1">
        <f t="shared" si="132"/>
        <v>1</v>
      </c>
      <c r="S465" s="1">
        <f t="shared" si="133"/>
        <v>1</v>
      </c>
      <c r="T465" s="1">
        <f t="shared" si="134"/>
        <v>1</v>
      </c>
      <c r="U465" s="1" t="s">
        <v>437</v>
      </c>
      <c r="Z465" s="1">
        <v>0</v>
      </c>
      <c r="AA465" s="1">
        <v>0</v>
      </c>
      <c r="AC465" s="1">
        <v>0</v>
      </c>
      <c r="AD465" s="1">
        <v>0</v>
      </c>
      <c r="AE465" s="1">
        <v>50</v>
      </c>
      <c r="AF465" s="1" t="s">
        <v>417</v>
      </c>
      <c r="AG465" s="1">
        <v>3.5</v>
      </c>
      <c r="AH465" s="1">
        <v>0.35</v>
      </c>
      <c r="AI465" s="1">
        <v>3.5</v>
      </c>
      <c r="AJ465" s="1">
        <v>0.35</v>
      </c>
      <c r="AM465" s="1">
        <v>0</v>
      </c>
    </row>
    <row r="466" spans="1:39" s="1" customFormat="1" x14ac:dyDescent="0.25">
      <c r="A466" s="196" t="s">
        <v>147</v>
      </c>
      <c r="B466" s="1">
        <v>2</v>
      </c>
      <c r="C466" s="1" t="s">
        <v>418</v>
      </c>
      <c r="D466" s="25">
        <v>39972</v>
      </c>
      <c r="E466" s="1">
        <f t="shared" si="135"/>
        <v>2039</v>
      </c>
      <c r="G466" s="25">
        <v>40659</v>
      </c>
      <c r="H466" s="25">
        <f t="shared" ref="H466:H477" si="143">G465</f>
        <v>40274</v>
      </c>
      <c r="I466" s="25">
        <v>42011</v>
      </c>
      <c r="K466" s="1">
        <f t="shared" si="138"/>
        <v>687</v>
      </c>
      <c r="L466" s="1">
        <f t="shared" si="139"/>
        <v>385</v>
      </c>
      <c r="M466" s="1">
        <f t="shared" si="140"/>
        <v>1352</v>
      </c>
      <c r="O466" s="1" t="s">
        <v>417</v>
      </c>
      <c r="P466" s="1">
        <v>6.39</v>
      </c>
      <c r="Q466" s="1">
        <f t="shared" si="131"/>
        <v>1</v>
      </c>
      <c r="R466" s="1">
        <f t="shared" si="132"/>
        <v>1</v>
      </c>
      <c r="S466" s="1">
        <f t="shared" si="133"/>
        <v>1</v>
      </c>
      <c r="T466" s="1">
        <f t="shared" si="134"/>
        <v>1</v>
      </c>
      <c r="U466" s="1" t="s">
        <v>437</v>
      </c>
      <c r="Z466" s="1">
        <v>2</v>
      </c>
      <c r="AA466" s="1">
        <v>0</v>
      </c>
      <c r="AC466" s="1">
        <v>0</v>
      </c>
      <c r="AD466" s="1">
        <v>0</v>
      </c>
      <c r="AE466" s="1">
        <v>50</v>
      </c>
      <c r="AF466" s="1" t="s">
        <v>434</v>
      </c>
      <c r="AG466" s="1">
        <v>2</v>
      </c>
      <c r="AH466" s="1">
        <v>0.35</v>
      </c>
      <c r="AI466" s="1">
        <v>4.5</v>
      </c>
      <c r="AJ466" s="1">
        <v>0.5</v>
      </c>
      <c r="AM466" s="1">
        <v>0</v>
      </c>
    </row>
    <row r="467" spans="1:39" s="1" customFormat="1" x14ac:dyDescent="0.25">
      <c r="A467" s="196" t="s">
        <v>147</v>
      </c>
      <c r="B467" s="1">
        <v>2</v>
      </c>
      <c r="C467" s="1" t="s">
        <v>418</v>
      </c>
      <c r="D467" s="25">
        <v>39972</v>
      </c>
      <c r="E467" s="1">
        <f t="shared" si="135"/>
        <v>2039</v>
      </c>
      <c r="G467" s="25">
        <v>40862</v>
      </c>
      <c r="H467" s="25">
        <f t="shared" si="143"/>
        <v>40659</v>
      </c>
      <c r="I467" s="25">
        <v>42011</v>
      </c>
      <c r="K467" s="1">
        <f t="shared" si="138"/>
        <v>890</v>
      </c>
      <c r="L467" s="1">
        <f t="shared" si="139"/>
        <v>203</v>
      </c>
      <c r="M467" s="1">
        <f t="shared" si="140"/>
        <v>1149</v>
      </c>
      <c r="O467" s="1" t="s">
        <v>417</v>
      </c>
      <c r="P467" s="1">
        <v>6.33</v>
      </c>
      <c r="Q467" s="1">
        <f t="shared" si="131"/>
        <v>1</v>
      </c>
      <c r="R467" s="1">
        <f t="shared" si="132"/>
        <v>1</v>
      </c>
      <c r="S467" s="1">
        <f t="shared" si="133"/>
        <v>1</v>
      </c>
      <c r="T467" s="1">
        <f t="shared" si="134"/>
        <v>1</v>
      </c>
      <c r="U467" s="1" t="s">
        <v>437</v>
      </c>
      <c r="Z467" s="1">
        <v>18</v>
      </c>
      <c r="AA467" s="1">
        <v>0</v>
      </c>
      <c r="AC467" s="1">
        <v>0</v>
      </c>
      <c r="AD467" s="1">
        <v>0</v>
      </c>
      <c r="AE467" s="1">
        <v>50</v>
      </c>
      <c r="AF467" s="1" t="s">
        <v>434</v>
      </c>
      <c r="AG467" s="1">
        <v>2</v>
      </c>
      <c r="AH467" s="1">
        <v>0.35</v>
      </c>
      <c r="AI467" s="1">
        <v>4.5</v>
      </c>
      <c r="AJ467" s="1">
        <v>0.5</v>
      </c>
      <c r="AM467" s="1">
        <v>0</v>
      </c>
    </row>
    <row r="468" spans="1:39" s="1" customFormat="1" x14ac:dyDescent="0.25">
      <c r="A468" s="196" t="s">
        <v>147</v>
      </c>
      <c r="B468" s="1">
        <v>2</v>
      </c>
      <c r="C468" s="1" t="s">
        <v>418</v>
      </c>
      <c r="D468" s="25">
        <v>39972</v>
      </c>
      <c r="E468" s="1">
        <f t="shared" si="135"/>
        <v>2039</v>
      </c>
      <c r="G468" s="25">
        <v>41051</v>
      </c>
      <c r="H468" s="25">
        <f t="shared" si="143"/>
        <v>40862</v>
      </c>
      <c r="I468" s="25">
        <v>42011</v>
      </c>
      <c r="K468" s="1">
        <f t="shared" si="138"/>
        <v>1079</v>
      </c>
      <c r="L468" s="1">
        <f t="shared" si="139"/>
        <v>189</v>
      </c>
      <c r="M468" s="1">
        <f t="shared" si="140"/>
        <v>960</v>
      </c>
      <c r="O468" s="1" t="s">
        <v>417</v>
      </c>
      <c r="P468" s="1">
        <v>6.19</v>
      </c>
      <c r="Q468" s="1">
        <f t="shared" si="131"/>
        <v>1</v>
      </c>
      <c r="R468" s="1">
        <f t="shared" si="132"/>
        <v>1</v>
      </c>
      <c r="S468" s="1">
        <f t="shared" si="133"/>
        <v>1</v>
      </c>
      <c r="T468" s="1">
        <f t="shared" si="134"/>
        <v>1</v>
      </c>
      <c r="U468" s="1" t="s">
        <v>437</v>
      </c>
      <c r="Z468" s="1">
        <v>10</v>
      </c>
      <c r="AA468" s="1">
        <v>0</v>
      </c>
      <c r="AC468" s="1">
        <v>0</v>
      </c>
      <c r="AD468" s="1">
        <v>0</v>
      </c>
      <c r="AE468" s="1">
        <v>50</v>
      </c>
      <c r="AF468" s="1" t="s">
        <v>434</v>
      </c>
      <c r="AG468" s="1">
        <v>2</v>
      </c>
      <c r="AH468" s="1">
        <v>0.35</v>
      </c>
      <c r="AI468" s="1">
        <v>4.5</v>
      </c>
      <c r="AJ468" s="1">
        <v>0.5</v>
      </c>
      <c r="AM468" s="1">
        <v>0</v>
      </c>
    </row>
    <row r="469" spans="1:39" s="1" customFormat="1" x14ac:dyDescent="0.25">
      <c r="A469" s="196" t="s">
        <v>147</v>
      </c>
      <c r="B469" s="1">
        <v>2</v>
      </c>
      <c r="C469" s="1" t="s">
        <v>418</v>
      </c>
      <c r="D469" s="25">
        <v>39972</v>
      </c>
      <c r="E469" s="1">
        <f t="shared" si="135"/>
        <v>2039</v>
      </c>
      <c r="G469" s="25">
        <v>41303</v>
      </c>
      <c r="H469" s="25">
        <f t="shared" si="143"/>
        <v>41051</v>
      </c>
      <c r="I469" s="25">
        <v>42011</v>
      </c>
      <c r="K469" s="1">
        <f t="shared" si="138"/>
        <v>1331</v>
      </c>
      <c r="L469" s="1">
        <f t="shared" si="139"/>
        <v>252</v>
      </c>
      <c r="M469" s="1">
        <f t="shared" si="140"/>
        <v>708</v>
      </c>
      <c r="O469" s="1" t="s">
        <v>417</v>
      </c>
      <c r="P469" s="1">
        <v>5.9</v>
      </c>
      <c r="Q469" s="1">
        <f t="shared" si="131"/>
        <v>1</v>
      </c>
      <c r="R469" s="1">
        <f t="shared" si="132"/>
        <v>1</v>
      </c>
      <c r="S469" s="1">
        <f t="shared" si="133"/>
        <v>1</v>
      </c>
      <c r="T469" s="1">
        <f t="shared" si="134"/>
        <v>1</v>
      </c>
      <c r="U469" s="1" t="s">
        <v>437</v>
      </c>
      <c r="Z469" s="1">
        <v>12</v>
      </c>
      <c r="AA469" s="1">
        <v>0</v>
      </c>
      <c r="AC469" s="1">
        <v>0</v>
      </c>
      <c r="AD469" s="1">
        <v>0</v>
      </c>
      <c r="AE469" s="1">
        <v>50</v>
      </c>
      <c r="AF469" s="1" t="s">
        <v>434</v>
      </c>
      <c r="AG469" s="1">
        <v>2</v>
      </c>
      <c r="AH469" s="1">
        <v>0.35</v>
      </c>
      <c r="AI469" s="1">
        <v>4.5</v>
      </c>
      <c r="AJ469" s="1">
        <v>0.5</v>
      </c>
      <c r="AM469" s="1">
        <v>0</v>
      </c>
    </row>
    <row r="470" spans="1:39" s="1" customFormat="1" ht="13.5" customHeight="1" x14ac:dyDescent="0.25">
      <c r="A470" s="196" t="s">
        <v>147</v>
      </c>
      <c r="B470" s="1">
        <v>2</v>
      </c>
      <c r="C470" s="1" t="s">
        <v>418</v>
      </c>
      <c r="D470" s="25">
        <v>39972</v>
      </c>
      <c r="E470" s="1">
        <f t="shared" si="135"/>
        <v>2039</v>
      </c>
      <c r="G470" s="25">
        <v>41351</v>
      </c>
      <c r="H470" s="25">
        <f t="shared" si="143"/>
        <v>41303</v>
      </c>
      <c r="I470" s="25">
        <v>42011</v>
      </c>
      <c r="K470" s="1">
        <f t="shared" si="138"/>
        <v>1379</v>
      </c>
      <c r="L470" s="1">
        <f t="shared" si="139"/>
        <v>48</v>
      </c>
      <c r="M470" s="1">
        <f t="shared" si="140"/>
        <v>660</v>
      </c>
      <c r="O470" s="1" t="s">
        <v>417</v>
      </c>
      <c r="P470" s="1">
        <v>5.8</v>
      </c>
      <c r="Q470" s="1">
        <f t="shared" si="131"/>
        <v>1</v>
      </c>
      <c r="R470" s="1">
        <f t="shared" si="132"/>
        <v>1</v>
      </c>
      <c r="S470" s="1">
        <f t="shared" si="133"/>
        <v>1</v>
      </c>
      <c r="T470" s="1">
        <f t="shared" si="134"/>
        <v>1</v>
      </c>
      <c r="U470" s="1" t="s">
        <v>437</v>
      </c>
      <c r="Z470" s="1">
        <v>7</v>
      </c>
      <c r="AA470" s="1">
        <v>0</v>
      </c>
      <c r="AC470" s="1">
        <v>0</v>
      </c>
      <c r="AD470" s="1">
        <v>0</v>
      </c>
      <c r="AE470" s="1">
        <v>50</v>
      </c>
      <c r="AF470" s="1" t="s">
        <v>434</v>
      </c>
      <c r="AG470" s="1">
        <v>2</v>
      </c>
      <c r="AH470" s="1">
        <v>0.35</v>
      </c>
      <c r="AI470" s="1">
        <v>4.5</v>
      </c>
      <c r="AJ470" s="1">
        <v>0.75</v>
      </c>
      <c r="AM470" s="1">
        <v>0</v>
      </c>
    </row>
    <row r="471" spans="1:39" s="1" customFormat="1" x14ac:dyDescent="0.25">
      <c r="A471" s="196" t="s">
        <v>147</v>
      </c>
      <c r="B471" s="1">
        <v>2</v>
      </c>
      <c r="C471" s="1" t="s">
        <v>418</v>
      </c>
      <c r="D471" s="25">
        <v>39972</v>
      </c>
      <c r="E471" s="1">
        <f t="shared" si="135"/>
        <v>2039</v>
      </c>
      <c r="G471" s="25">
        <v>41471</v>
      </c>
      <c r="H471" s="25">
        <f t="shared" si="143"/>
        <v>41351</v>
      </c>
      <c r="I471" s="25">
        <v>42011</v>
      </c>
      <c r="K471" s="1">
        <f t="shared" si="138"/>
        <v>1499</v>
      </c>
      <c r="L471" s="1">
        <f t="shared" si="139"/>
        <v>120</v>
      </c>
      <c r="M471" s="1">
        <f t="shared" si="140"/>
        <v>540</v>
      </c>
      <c r="O471" s="1" t="s">
        <v>417</v>
      </c>
      <c r="P471" s="1">
        <v>5.6</v>
      </c>
      <c r="Q471" s="1">
        <f t="shared" si="131"/>
        <v>1</v>
      </c>
      <c r="R471" s="1">
        <f t="shared" si="132"/>
        <v>1</v>
      </c>
      <c r="S471" s="1">
        <f t="shared" si="133"/>
        <v>1</v>
      </c>
      <c r="T471" s="1">
        <f t="shared" si="134"/>
        <v>1</v>
      </c>
      <c r="U471" s="1" t="s">
        <v>437</v>
      </c>
      <c r="Z471" s="1">
        <v>8</v>
      </c>
      <c r="AA471" s="1">
        <v>0</v>
      </c>
      <c r="AC471" s="1">
        <v>0</v>
      </c>
      <c r="AD471" s="1">
        <v>0</v>
      </c>
      <c r="AE471" s="1">
        <v>50</v>
      </c>
      <c r="AF471" s="1" t="s">
        <v>434</v>
      </c>
      <c r="AG471" s="1">
        <v>2</v>
      </c>
      <c r="AH471" s="1">
        <v>0.35</v>
      </c>
      <c r="AI471" s="1">
        <v>4.5</v>
      </c>
      <c r="AJ471" s="1">
        <v>1</v>
      </c>
      <c r="AM471" s="1">
        <v>0</v>
      </c>
    </row>
    <row r="472" spans="1:39" s="1" customFormat="1" x14ac:dyDescent="0.25">
      <c r="A472" s="196" t="s">
        <v>147</v>
      </c>
      <c r="B472" s="1">
        <v>2</v>
      </c>
      <c r="C472" s="1" t="s">
        <v>418</v>
      </c>
      <c r="D472" s="25">
        <v>39972</v>
      </c>
      <c r="E472" s="1">
        <f t="shared" si="135"/>
        <v>2039</v>
      </c>
      <c r="G472" s="25">
        <v>41544</v>
      </c>
      <c r="H472" s="25">
        <f t="shared" si="143"/>
        <v>41471</v>
      </c>
      <c r="I472" s="25">
        <v>42011</v>
      </c>
      <c r="K472" s="1">
        <f t="shared" si="138"/>
        <v>1572</v>
      </c>
      <c r="L472" s="1">
        <f t="shared" si="139"/>
        <v>73</v>
      </c>
      <c r="M472" s="1">
        <f t="shared" si="140"/>
        <v>467</v>
      </c>
      <c r="O472" s="1" t="s">
        <v>417</v>
      </c>
      <c r="P472" s="1">
        <v>5.47</v>
      </c>
      <c r="R472" s="1">
        <f t="shared" ref="R472:R513" si="144">IF(M472&gt;=360,1,"nulo")</f>
        <v>1</v>
      </c>
      <c r="S472" s="1">
        <f t="shared" ref="S472:S514" si="145">IF(M472&gt;=180,1,"nulo")</f>
        <v>1</v>
      </c>
      <c r="T472" s="1">
        <f t="shared" ref="T472:T515" si="146">IF(M472&gt;=90,1,"nulo")</f>
        <v>1</v>
      </c>
      <c r="Z472" s="1">
        <v>1</v>
      </c>
      <c r="AA472" s="1">
        <v>0</v>
      </c>
      <c r="AC472" s="1">
        <v>0</v>
      </c>
      <c r="AD472" s="1">
        <v>0</v>
      </c>
      <c r="AE472" s="1">
        <v>50</v>
      </c>
      <c r="AF472" s="1" t="s">
        <v>417</v>
      </c>
      <c r="AG472" s="1">
        <v>2</v>
      </c>
      <c r="AH472" s="1">
        <v>0.35</v>
      </c>
      <c r="AI472" s="1">
        <v>7</v>
      </c>
      <c r="AJ472" s="1">
        <v>1</v>
      </c>
      <c r="AM472" s="1">
        <v>0</v>
      </c>
    </row>
    <row r="473" spans="1:39" s="1" customFormat="1" x14ac:dyDescent="0.25">
      <c r="A473" s="196" t="s">
        <v>147</v>
      </c>
      <c r="B473" s="1">
        <v>2</v>
      </c>
      <c r="C473" s="1" t="s">
        <v>418</v>
      </c>
      <c r="D473" s="25">
        <v>39972</v>
      </c>
      <c r="E473" s="1">
        <f t="shared" si="135"/>
        <v>2039</v>
      </c>
      <c r="G473" s="25">
        <v>41547</v>
      </c>
      <c r="H473" s="25">
        <f t="shared" si="143"/>
        <v>41544</v>
      </c>
      <c r="I473" s="25">
        <v>42011</v>
      </c>
      <c r="K473" s="1">
        <f t="shared" si="138"/>
        <v>1575</v>
      </c>
      <c r="L473" s="1">
        <f t="shared" si="139"/>
        <v>3</v>
      </c>
      <c r="M473" s="1">
        <f t="shared" si="140"/>
        <v>464</v>
      </c>
      <c r="O473" s="1" t="s">
        <v>417</v>
      </c>
      <c r="P473" s="1">
        <v>5.39</v>
      </c>
      <c r="R473" s="1">
        <f t="shared" si="144"/>
        <v>1</v>
      </c>
      <c r="S473" s="1">
        <f t="shared" si="145"/>
        <v>1</v>
      </c>
      <c r="T473" s="1">
        <f t="shared" si="146"/>
        <v>1</v>
      </c>
      <c r="Z473" s="1">
        <v>5</v>
      </c>
      <c r="AA473" s="1">
        <v>0</v>
      </c>
      <c r="AC473" s="1">
        <v>0</v>
      </c>
      <c r="AD473" s="1">
        <v>0</v>
      </c>
      <c r="AE473" s="1">
        <v>50</v>
      </c>
      <c r="AF473" s="1" t="s">
        <v>434</v>
      </c>
      <c r="AG473" s="1">
        <v>2</v>
      </c>
      <c r="AH473" s="1">
        <v>0.35</v>
      </c>
      <c r="AI473" s="1">
        <v>7</v>
      </c>
      <c r="AJ473" s="1">
        <v>1</v>
      </c>
      <c r="AM473" s="1">
        <v>0</v>
      </c>
    </row>
    <row r="474" spans="1:39" s="1" customFormat="1" x14ac:dyDescent="0.25">
      <c r="A474" s="196" t="s">
        <v>147</v>
      </c>
      <c r="B474" s="1">
        <v>2</v>
      </c>
      <c r="C474" s="1" t="s">
        <v>418</v>
      </c>
      <c r="D474" s="25">
        <v>39972</v>
      </c>
      <c r="E474" s="1">
        <f t="shared" si="135"/>
        <v>2039</v>
      </c>
      <c r="G474" s="25">
        <v>41597</v>
      </c>
      <c r="H474" s="25">
        <f t="shared" si="143"/>
        <v>41547</v>
      </c>
      <c r="I474" s="25">
        <v>42011</v>
      </c>
      <c r="K474" s="1">
        <f t="shared" si="138"/>
        <v>1625</v>
      </c>
      <c r="L474" s="1">
        <f t="shared" si="139"/>
        <v>50</v>
      </c>
      <c r="M474" s="1">
        <f t="shared" si="140"/>
        <v>414</v>
      </c>
      <c r="O474" s="1" t="s">
        <v>417</v>
      </c>
      <c r="P474" s="1">
        <v>5.3</v>
      </c>
      <c r="R474" s="1">
        <f t="shared" si="144"/>
        <v>1</v>
      </c>
      <c r="S474" s="1">
        <f t="shared" si="145"/>
        <v>1</v>
      </c>
      <c r="T474" s="1">
        <f t="shared" si="146"/>
        <v>1</v>
      </c>
      <c r="Z474" s="1">
        <v>1</v>
      </c>
      <c r="AA474" s="1">
        <v>0</v>
      </c>
      <c r="AC474" s="1">
        <v>0</v>
      </c>
      <c r="AD474" s="1">
        <v>0</v>
      </c>
      <c r="AE474" s="1">
        <v>50</v>
      </c>
      <c r="AF474" s="1" t="s">
        <v>417</v>
      </c>
      <c r="AG474" s="1">
        <v>2</v>
      </c>
      <c r="AH474" s="1">
        <v>0.35</v>
      </c>
      <c r="AI474" s="1">
        <v>7</v>
      </c>
      <c r="AJ474" s="1">
        <v>1</v>
      </c>
      <c r="AM474" s="1">
        <v>0</v>
      </c>
    </row>
    <row r="475" spans="1:39" s="1" customFormat="1" x14ac:dyDescent="0.25">
      <c r="A475" s="196" t="s">
        <v>147</v>
      </c>
      <c r="B475" s="1">
        <v>2</v>
      </c>
      <c r="C475" s="1" t="s">
        <v>418</v>
      </c>
      <c r="D475" s="25">
        <v>39972</v>
      </c>
      <c r="E475" s="1">
        <f t="shared" si="135"/>
        <v>2039</v>
      </c>
      <c r="G475" s="25">
        <v>41730</v>
      </c>
      <c r="H475" s="25">
        <f t="shared" si="143"/>
        <v>41597</v>
      </c>
      <c r="I475" s="25">
        <v>42011</v>
      </c>
      <c r="K475" s="1">
        <f t="shared" si="138"/>
        <v>1758</v>
      </c>
      <c r="L475" s="1">
        <f t="shared" si="139"/>
        <v>133</v>
      </c>
      <c r="M475" s="1">
        <f t="shared" si="140"/>
        <v>281</v>
      </c>
      <c r="O475" s="1" t="s">
        <v>417</v>
      </c>
      <c r="P475" s="1">
        <v>5.23</v>
      </c>
      <c r="S475" s="1">
        <f t="shared" si="145"/>
        <v>1</v>
      </c>
      <c r="T475" s="1">
        <f t="shared" si="146"/>
        <v>1</v>
      </c>
      <c r="Z475" s="1">
        <v>0</v>
      </c>
      <c r="AA475" s="1">
        <v>0</v>
      </c>
      <c r="AC475" s="1">
        <v>0</v>
      </c>
      <c r="AD475" s="1">
        <v>0</v>
      </c>
      <c r="AE475" s="1">
        <v>50</v>
      </c>
      <c r="AF475" s="1" t="s">
        <v>417</v>
      </c>
      <c r="AG475" s="1">
        <v>2</v>
      </c>
      <c r="AH475" s="1">
        <v>0.35</v>
      </c>
      <c r="AI475" s="1">
        <v>7</v>
      </c>
      <c r="AJ475" s="1">
        <v>1</v>
      </c>
      <c r="AM475" s="1">
        <v>0</v>
      </c>
    </row>
    <row r="476" spans="1:39" s="1" customFormat="1" x14ac:dyDescent="0.25">
      <c r="A476" s="196" t="s">
        <v>147</v>
      </c>
      <c r="B476" s="1">
        <v>2</v>
      </c>
      <c r="C476" s="1" t="s">
        <v>418</v>
      </c>
      <c r="D476" s="25">
        <v>39972</v>
      </c>
      <c r="E476" s="1">
        <f t="shared" si="135"/>
        <v>2039</v>
      </c>
      <c r="G476" s="25">
        <v>41947</v>
      </c>
      <c r="H476" s="25">
        <f t="shared" si="143"/>
        <v>41730</v>
      </c>
      <c r="I476" s="25">
        <v>42011</v>
      </c>
      <c r="K476" s="1">
        <f t="shared" si="138"/>
        <v>1975</v>
      </c>
      <c r="L476" s="1">
        <f t="shared" si="139"/>
        <v>217</v>
      </c>
      <c r="M476" s="1">
        <f t="shared" si="140"/>
        <v>64</v>
      </c>
      <c r="O476" s="1" t="s">
        <v>417</v>
      </c>
      <c r="P476" s="1">
        <v>5.16</v>
      </c>
      <c r="Z476" s="1">
        <v>1</v>
      </c>
      <c r="AA476" s="1">
        <v>0</v>
      </c>
      <c r="AC476" s="1">
        <v>0</v>
      </c>
      <c r="AD476" s="1">
        <v>0</v>
      </c>
      <c r="AE476" s="1">
        <v>50</v>
      </c>
      <c r="AF476" s="1" t="s">
        <v>417</v>
      </c>
      <c r="AG476" s="1">
        <v>2</v>
      </c>
      <c r="AH476" s="1">
        <v>0.35</v>
      </c>
      <c r="AI476" s="1">
        <v>7</v>
      </c>
      <c r="AJ476" s="1">
        <v>1</v>
      </c>
      <c r="AM476" s="1">
        <v>0</v>
      </c>
    </row>
    <row r="477" spans="1:39" s="1" customFormat="1" x14ac:dyDescent="0.25">
      <c r="A477" s="196" t="s">
        <v>147</v>
      </c>
      <c r="B477" s="1">
        <v>2</v>
      </c>
      <c r="C477" s="1" t="s">
        <v>418</v>
      </c>
      <c r="D477" s="25">
        <v>39972</v>
      </c>
      <c r="E477" s="1">
        <f t="shared" si="135"/>
        <v>2039</v>
      </c>
      <c r="G477" s="25">
        <v>42011</v>
      </c>
      <c r="H477" s="25">
        <f t="shared" si="143"/>
        <v>41947</v>
      </c>
      <c r="I477" s="25">
        <v>42011</v>
      </c>
      <c r="K477" s="1">
        <f t="shared" si="138"/>
        <v>2039</v>
      </c>
      <c r="L477" s="1">
        <f t="shared" si="139"/>
        <v>64</v>
      </c>
      <c r="M477" s="1">
        <f t="shared" si="140"/>
        <v>0</v>
      </c>
      <c r="O477" s="1" t="s">
        <v>417</v>
      </c>
      <c r="P477" s="1">
        <v>5.14</v>
      </c>
      <c r="Z477" s="1">
        <v>3</v>
      </c>
      <c r="AA477" s="1">
        <v>0</v>
      </c>
      <c r="AC477" s="1">
        <v>0</v>
      </c>
      <c r="AD477" s="1">
        <v>0</v>
      </c>
      <c r="AE477" s="1">
        <v>50</v>
      </c>
      <c r="AF477" s="1" t="s">
        <v>434</v>
      </c>
      <c r="AG477" s="1">
        <v>2</v>
      </c>
      <c r="AH477" s="1">
        <v>0.35</v>
      </c>
      <c r="AI477" s="1">
        <v>7</v>
      </c>
      <c r="AJ477" s="1">
        <v>1</v>
      </c>
      <c r="AM477" s="1">
        <v>0</v>
      </c>
    </row>
    <row r="478" spans="1:39" s="1" customFormat="1" x14ac:dyDescent="0.25">
      <c r="A478" s="228" t="s">
        <v>163</v>
      </c>
      <c r="B478" s="1">
        <v>2</v>
      </c>
      <c r="C478" s="1" t="s">
        <v>418</v>
      </c>
      <c r="D478" s="67">
        <v>39147</v>
      </c>
      <c r="E478" s="174">
        <f t="shared" si="135"/>
        <v>2127</v>
      </c>
      <c r="G478" s="61">
        <v>40188</v>
      </c>
      <c r="H478" s="67">
        <v>39147</v>
      </c>
      <c r="I478" s="13">
        <v>41274</v>
      </c>
      <c r="J478" s="13"/>
      <c r="K478" s="1">
        <f t="shared" ref="K478:K480" si="147">G478-D478</f>
        <v>1041</v>
      </c>
      <c r="L478" s="1">
        <f t="shared" ref="L478:L480" si="148">G478-H478</f>
        <v>1041</v>
      </c>
      <c r="M478" s="1">
        <f t="shared" ref="M478:M480" si="149">I478-G478</f>
        <v>1086</v>
      </c>
      <c r="O478" s="1" t="s">
        <v>417</v>
      </c>
      <c r="P478" s="57">
        <v>6.22</v>
      </c>
      <c r="Q478" s="1">
        <f t="shared" ref="Q478:Q512" si="150">IF(M478&gt;=540,1,"nulo")</f>
        <v>1</v>
      </c>
      <c r="R478" s="1">
        <f t="shared" si="144"/>
        <v>1</v>
      </c>
      <c r="S478" s="1">
        <f t="shared" si="145"/>
        <v>1</v>
      </c>
      <c r="T478" s="1">
        <f t="shared" si="146"/>
        <v>1</v>
      </c>
      <c r="U478" s="1" t="s">
        <v>437</v>
      </c>
      <c r="Z478" s="57">
        <v>8</v>
      </c>
      <c r="AA478" s="57">
        <v>0</v>
      </c>
      <c r="AC478" s="1">
        <v>0</v>
      </c>
      <c r="AD478" s="98">
        <v>0</v>
      </c>
      <c r="AE478" s="172">
        <v>50</v>
      </c>
      <c r="AF478" s="1" t="s">
        <v>417</v>
      </c>
      <c r="AG478" s="57">
        <v>2.5</v>
      </c>
      <c r="AH478" s="57">
        <v>0.5</v>
      </c>
      <c r="AI478" s="57">
        <v>2.5</v>
      </c>
      <c r="AJ478" s="57">
        <v>0.5</v>
      </c>
      <c r="AM478" s="1">
        <v>0</v>
      </c>
    </row>
    <row r="479" spans="1:39" s="1" customFormat="1" x14ac:dyDescent="0.25">
      <c r="A479" s="228" t="s">
        <v>163</v>
      </c>
      <c r="B479" s="1">
        <v>2</v>
      </c>
      <c r="C479" s="1" t="s">
        <v>418</v>
      </c>
      <c r="D479" s="67">
        <v>39147</v>
      </c>
      <c r="E479" s="174">
        <f t="shared" si="135"/>
        <v>2127</v>
      </c>
      <c r="G479" s="13">
        <v>41114</v>
      </c>
      <c r="H479" s="13">
        <f>G478</f>
        <v>40188</v>
      </c>
      <c r="I479" s="13">
        <v>41274</v>
      </c>
      <c r="J479" s="13"/>
      <c r="K479" s="1">
        <f t="shared" si="147"/>
        <v>1967</v>
      </c>
      <c r="L479" s="1">
        <f t="shared" si="148"/>
        <v>926</v>
      </c>
      <c r="M479" s="1">
        <f t="shared" si="149"/>
        <v>160</v>
      </c>
      <c r="O479" s="1" t="s">
        <v>417</v>
      </c>
      <c r="P479" s="4">
        <v>5.2</v>
      </c>
      <c r="T479" s="1">
        <f t="shared" si="146"/>
        <v>1</v>
      </c>
      <c r="Z479" s="4">
        <v>6</v>
      </c>
      <c r="AA479" s="4">
        <v>0</v>
      </c>
      <c r="AC479" s="1">
        <v>0</v>
      </c>
      <c r="AD479" s="98">
        <v>24</v>
      </c>
      <c r="AE479" s="172">
        <v>50</v>
      </c>
      <c r="AF479" s="1" t="s">
        <v>417</v>
      </c>
      <c r="AG479" s="4">
        <v>2.5</v>
      </c>
      <c r="AH479" s="4">
        <v>0.5</v>
      </c>
      <c r="AI479" s="4">
        <v>2.5</v>
      </c>
      <c r="AJ479" s="4">
        <v>0.5</v>
      </c>
      <c r="AM479" s="1">
        <v>0</v>
      </c>
    </row>
    <row r="480" spans="1:39" s="1" customFormat="1" x14ac:dyDescent="0.25">
      <c r="A480" s="228" t="s">
        <v>163</v>
      </c>
      <c r="B480" s="1">
        <v>2</v>
      </c>
      <c r="C480" s="1" t="s">
        <v>418</v>
      </c>
      <c r="D480" s="67">
        <v>39147</v>
      </c>
      <c r="E480" s="174">
        <f t="shared" si="135"/>
        <v>2127</v>
      </c>
      <c r="G480" s="13">
        <v>41274</v>
      </c>
      <c r="H480" s="13">
        <f>G479</f>
        <v>41114</v>
      </c>
      <c r="I480" s="13">
        <v>41274</v>
      </c>
      <c r="J480" s="13"/>
      <c r="K480" s="1">
        <f t="shared" si="147"/>
        <v>2127</v>
      </c>
      <c r="L480" s="1">
        <f t="shared" si="148"/>
        <v>160</v>
      </c>
      <c r="M480" s="1">
        <f t="shared" si="149"/>
        <v>0</v>
      </c>
      <c r="O480" s="1" t="s">
        <v>417</v>
      </c>
      <c r="P480" s="4">
        <v>5.17</v>
      </c>
      <c r="Z480" s="4">
        <v>58</v>
      </c>
      <c r="AA480" s="4">
        <v>0</v>
      </c>
      <c r="AC480" s="1">
        <v>0</v>
      </c>
      <c r="AD480" s="98">
        <v>36</v>
      </c>
      <c r="AE480" s="172">
        <v>50</v>
      </c>
      <c r="AF480" s="1" t="s">
        <v>417</v>
      </c>
      <c r="AG480" s="4">
        <v>3</v>
      </c>
      <c r="AH480" s="4">
        <v>0.5</v>
      </c>
      <c r="AI480" s="4">
        <v>2.5</v>
      </c>
      <c r="AJ480" s="4">
        <v>0.5</v>
      </c>
      <c r="AM480" s="1">
        <v>0</v>
      </c>
    </row>
    <row r="481" spans="1:39" s="1" customFormat="1" x14ac:dyDescent="0.25">
      <c r="A481" s="229" t="s">
        <v>317</v>
      </c>
      <c r="B481" s="1">
        <v>2</v>
      </c>
      <c r="C481" s="1" t="s">
        <v>418</v>
      </c>
      <c r="D481" s="67">
        <v>39175</v>
      </c>
      <c r="E481" s="174">
        <f t="shared" si="135"/>
        <v>2794</v>
      </c>
      <c r="G481" s="67">
        <v>40127</v>
      </c>
      <c r="H481" s="67">
        <v>39175</v>
      </c>
      <c r="I481" s="13">
        <v>41969</v>
      </c>
      <c r="J481" s="13"/>
      <c r="K481" s="1">
        <f t="shared" ref="K481:K487" si="151">G481-D481</f>
        <v>952</v>
      </c>
      <c r="L481" s="1">
        <f t="shared" ref="L481:L485" si="152">G481-H481</f>
        <v>952</v>
      </c>
      <c r="M481" s="1">
        <f t="shared" ref="M481:M487" si="153">I481-G481</f>
        <v>1842</v>
      </c>
      <c r="O481" s="1" t="s">
        <v>417</v>
      </c>
      <c r="P481" s="57">
        <v>6.26</v>
      </c>
      <c r="Q481" s="1">
        <f t="shared" si="150"/>
        <v>1</v>
      </c>
      <c r="R481" s="1">
        <f t="shared" si="144"/>
        <v>1</v>
      </c>
      <c r="S481" s="1">
        <f t="shared" si="145"/>
        <v>1</v>
      </c>
      <c r="T481" s="1">
        <f t="shared" si="146"/>
        <v>1</v>
      </c>
      <c r="U481" s="1" t="s">
        <v>437</v>
      </c>
      <c r="Z481" s="57">
        <v>0</v>
      </c>
      <c r="AA481" s="57">
        <v>0</v>
      </c>
      <c r="AC481" s="1">
        <v>0</v>
      </c>
      <c r="AD481" s="98">
        <v>0</v>
      </c>
      <c r="AE481" s="172">
        <v>60</v>
      </c>
      <c r="AF481" s="1" t="s">
        <v>417</v>
      </c>
      <c r="AG481" s="57">
        <v>2.5</v>
      </c>
      <c r="AH481" s="57">
        <v>0.35</v>
      </c>
      <c r="AI481" s="57">
        <v>3</v>
      </c>
      <c r="AJ481" s="57">
        <v>0.35</v>
      </c>
      <c r="AM481" s="1">
        <v>0</v>
      </c>
    </row>
    <row r="482" spans="1:39" s="1" customFormat="1" x14ac:dyDescent="0.25">
      <c r="A482" s="229" t="s">
        <v>317</v>
      </c>
      <c r="B482" s="1">
        <v>2</v>
      </c>
      <c r="C482" s="1" t="s">
        <v>418</v>
      </c>
      <c r="D482" s="67">
        <v>39175</v>
      </c>
      <c r="E482" s="174">
        <f t="shared" si="135"/>
        <v>2794</v>
      </c>
      <c r="G482" s="13">
        <v>40191</v>
      </c>
      <c r="H482" s="13">
        <f>G481</f>
        <v>40127</v>
      </c>
      <c r="I482" s="13">
        <v>41969</v>
      </c>
      <c r="J482" s="13"/>
      <c r="K482" s="1">
        <f t="shared" si="151"/>
        <v>1016</v>
      </c>
      <c r="L482" s="1">
        <f t="shared" si="152"/>
        <v>64</v>
      </c>
      <c r="M482" s="1">
        <f t="shared" si="153"/>
        <v>1778</v>
      </c>
      <c r="O482" s="1" t="s">
        <v>417</v>
      </c>
      <c r="P482" s="4">
        <v>6.16</v>
      </c>
      <c r="Q482" s="1">
        <f t="shared" si="150"/>
        <v>1</v>
      </c>
      <c r="R482" s="1">
        <f t="shared" si="144"/>
        <v>1</v>
      </c>
      <c r="S482" s="1">
        <f t="shared" si="145"/>
        <v>1</v>
      </c>
      <c r="T482" s="1">
        <f t="shared" si="146"/>
        <v>1</v>
      </c>
      <c r="U482" s="1" t="s">
        <v>437</v>
      </c>
      <c r="Z482" s="4">
        <v>0</v>
      </c>
      <c r="AA482" s="4">
        <v>0</v>
      </c>
      <c r="AC482" s="1">
        <v>1</v>
      </c>
      <c r="AD482" s="98">
        <v>0</v>
      </c>
      <c r="AE482" s="172">
        <v>60</v>
      </c>
      <c r="AF482" s="1" t="s">
        <v>417</v>
      </c>
      <c r="AG482" s="4">
        <v>2.5</v>
      </c>
      <c r="AH482" s="4">
        <v>0.35</v>
      </c>
      <c r="AI482" s="4">
        <v>3</v>
      </c>
      <c r="AJ482" s="4">
        <v>0.35</v>
      </c>
      <c r="AM482" s="1">
        <v>0</v>
      </c>
    </row>
    <row r="483" spans="1:39" s="1" customFormat="1" x14ac:dyDescent="0.25">
      <c r="A483" s="229" t="s">
        <v>317</v>
      </c>
      <c r="B483" s="1">
        <v>2</v>
      </c>
      <c r="C483" s="1" t="s">
        <v>418</v>
      </c>
      <c r="D483" s="67">
        <v>39175</v>
      </c>
      <c r="E483" s="174">
        <f t="shared" si="135"/>
        <v>2794</v>
      </c>
      <c r="G483" s="13">
        <v>40309</v>
      </c>
      <c r="H483" s="13">
        <f t="shared" ref="H483:H485" si="154">G482</f>
        <v>40191</v>
      </c>
      <c r="I483" s="13">
        <v>41969</v>
      </c>
      <c r="J483" s="13"/>
      <c r="K483" s="1">
        <f t="shared" si="151"/>
        <v>1134</v>
      </c>
      <c r="L483" s="1">
        <f t="shared" si="152"/>
        <v>118</v>
      </c>
      <c r="M483" s="1">
        <f t="shared" si="153"/>
        <v>1660</v>
      </c>
      <c r="O483" s="1" t="s">
        <v>417</v>
      </c>
      <c r="P483" s="4">
        <v>6.02</v>
      </c>
      <c r="Q483" s="1">
        <f t="shared" si="150"/>
        <v>1</v>
      </c>
      <c r="R483" s="1">
        <f t="shared" si="144"/>
        <v>1</v>
      </c>
      <c r="S483" s="1">
        <f t="shared" si="145"/>
        <v>1</v>
      </c>
      <c r="T483" s="1">
        <f t="shared" si="146"/>
        <v>1</v>
      </c>
      <c r="U483" s="1" t="s">
        <v>437</v>
      </c>
      <c r="Z483" s="4">
        <v>0</v>
      </c>
      <c r="AA483" s="4">
        <v>0</v>
      </c>
      <c r="AC483" s="1">
        <v>1</v>
      </c>
      <c r="AD483" s="98">
        <v>0</v>
      </c>
      <c r="AE483" s="172">
        <v>60</v>
      </c>
      <c r="AF483" s="1" t="s">
        <v>417</v>
      </c>
      <c r="AG483" s="4">
        <v>2.5</v>
      </c>
      <c r="AH483" s="4">
        <v>0.35</v>
      </c>
      <c r="AI483" s="4">
        <v>3</v>
      </c>
      <c r="AJ483" s="4">
        <v>0.35</v>
      </c>
      <c r="AM483" s="1">
        <v>0</v>
      </c>
    </row>
    <row r="484" spans="1:39" s="1" customFormat="1" x14ac:dyDescent="0.25">
      <c r="A484" s="229" t="s">
        <v>317</v>
      </c>
      <c r="B484" s="1">
        <v>2</v>
      </c>
      <c r="C484" s="1" t="s">
        <v>418</v>
      </c>
      <c r="D484" s="67">
        <v>39175</v>
      </c>
      <c r="E484" s="174">
        <f t="shared" si="135"/>
        <v>2794</v>
      </c>
      <c r="G484" s="13">
        <v>40337</v>
      </c>
      <c r="H484" s="13">
        <f t="shared" si="154"/>
        <v>40309</v>
      </c>
      <c r="I484" s="13">
        <v>41969</v>
      </c>
      <c r="J484" s="13"/>
      <c r="K484" s="1">
        <f t="shared" si="151"/>
        <v>1162</v>
      </c>
      <c r="L484" s="1">
        <f t="shared" si="152"/>
        <v>28</v>
      </c>
      <c r="M484" s="1">
        <f t="shared" si="153"/>
        <v>1632</v>
      </c>
      <c r="O484" s="1" t="s">
        <v>417</v>
      </c>
      <c r="P484" s="4">
        <v>6.05</v>
      </c>
      <c r="Q484" s="1">
        <f t="shared" si="150"/>
        <v>1</v>
      </c>
      <c r="R484" s="1">
        <f t="shared" si="144"/>
        <v>1</v>
      </c>
      <c r="S484" s="1">
        <f t="shared" si="145"/>
        <v>1</v>
      </c>
      <c r="T484" s="1">
        <f t="shared" si="146"/>
        <v>1</v>
      </c>
      <c r="U484" s="1" t="s">
        <v>437</v>
      </c>
      <c r="Z484" s="4">
        <v>0</v>
      </c>
      <c r="AA484" s="4">
        <v>0</v>
      </c>
      <c r="AC484" s="1">
        <v>0</v>
      </c>
      <c r="AD484" s="98">
        <v>0</v>
      </c>
      <c r="AE484" s="172">
        <v>60</v>
      </c>
      <c r="AF484" s="1" t="s">
        <v>417</v>
      </c>
      <c r="AG484" s="4">
        <v>2.5</v>
      </c>
      <c r="AH484" s="4">
        <v>0.35</v>
      </c>
      <c r="AI484" s="4">
        <v>3</v>
      </c>
      <c r="AJ484" s="4">
        <v>0.35</v>
      </c>
      <c r="AM484" s="1">
        <v>0</v>
      </c>
    </row>
    <row r="485" spans="1:39" s="1" customFormat="1" x14ac:dyDescent="0.25">
      <c r="A485" s="229" t="s">
        <v>317</v>
      </c>
      <c r="B485" s="1">
        <v>2</v>
      </c>
      <c r="C485" s="1" t="s">
        <v>418</v>
      </c>
      <c r="D485" s="67">
        <v>39175</v>
      </c>
      <c r="E485" s="174">
        <f t="shared" si="135"/>
        <v>2794</v>
      </c>
      <c r="G485" s="13">
        <v>41969</v>
      </c>
      <c r="H485" s="13">
        <f t="shared" si="154"/>
        <v>40337</v>
      </c>
      <c r="I485" s="13">
        <v>41969</v>
      </c>
      <c r="J485" s="13"/>
      <c r="K485" s="1">
        <f t="shared" si="151"/>
        <v>2794</v>
      </c>
      <c r="L485" s="1">
        <f t="shared" si="152"/>
        <v>1632</v>
      </c>
      <c r="M485" s="1">
        <f t="shared" si="153"/>
        <v>0</v>
      </c>
      <c r="O485" s="1" t="s">
        <v>434</v>
      </c>
      <c r="P485" s="4">
        <v>4.63</v>
      </c>
      <c r="V485" s="1">
        <v>1</v>
      </c>
      <c r="W485" s="1">
        <v>1</v>
      </c>
      <c r="X485" s="1">
        <v>1</v>
      </c>
      <c r="Y485" s="1">
        <v>1</v>
      </c>
      <c r="Z485" s="4">
        <v>1</v>
      </c>
      <c r="AA485" s="4">
        <v>100</v>
      </c>
      <c r="AC485" s="1">
        <v>0</v>
      </c>
      <c r="AD485" s="98">
        <v>0</v>
      </c>
      <c r="AE485" s="172">
        <v>60</v>
      </c>
      <c r="AF485" s="1" t="s">
        <v>417</v>
      </c>
      <c r="AG485" s="4">
        <v>2</v>
      </c>
      <c r="AH485" s="4">
        <v>0.35</v>
      </c>
      <c r="AI485" s="4">
        <v>3</v>
      </c>
      <c r="AJ485" s="4">
        <v>0.35</v>
      </c>
      <c r="AM485" s="1">
        <v>0</v>
      </c>
    </row>
    <row r="486" spans="1:39" s="1" customFormat="1" x14ac:dyDescent="0.25">
      <c r="A486" s="230" t="s">
        <v>318</v>
      </c>
      <c r="B486" s="1">
        <v>2</v>
      </c>
      <c r="C486" s="1" t="s">
        <v>418</v>
      </c>
      <c r="D486" s="67">
        <v>39864</v>
      </c>
      <c r="E486" s="174">
        <f t="shared" si="135"/>
        <v>501</v>
      </c>
      <c r="G486" s="61">
        <v>40092</v>
      </c>
      <c r="H486" s="67">
        <v>39864</v>
      </c>
      <c r="I486" s="13">
        <v>40365</v>
      </c>
      <c r="J486" s="13"/>
      <c r="K486" s="1">
        <f t="shared" si="151"/>
        <v>228</v>
      </c>
      <c r="L486" s="1">
        <f t="shared" ref="L486:L487" si="155">G486-H486</f>
        <v>228</v>
      </c>
      <c r="M486" s="1">
        <f t="shared" si="153"/>
        <v>273</v>
      </c>
      <c r="O486" s="1" t="s">
        <v>417</v>
      </c>
      <c r="P486" s="57">
        <v>6.47</v>
      </c>
      <c r="S486" s="1">
        <f t="shared" si="145"/>
        <v>1</v>
      </c>
      <c r="T486" s="1">
        <f t="shared" si="146"/>
        <v>1</v>
      </c>
      <c r="Z486" s="57">
        <v>6</v>
      </c>
      <c r="AA486" s="57">
        <v>19</v>
      </c>
      <c r="AC486" s="1">
        <v>0.2</v>
      </c>
      <c r="AD486" s="98">
        <v>12</v>
      </c>
      <c r="AE486" s="172">
        <v>50</v>
      </c>
      <c r="AF486" s="1" t="s">
        <v>417</v>
      </c>
      <c r="AG486" s="57">
        <v>2.5</v>
      </c>
      <c r="AH486" s="57">
        <v>0.35</v>
      </c>
      <c r="AI486" s="57">
        <v>3.5</v>
      </c>
      <c r="AJ486" s="57">
        <v>0.35</v>
      </c>
      <c r="AM486" s="1">
        <v>0</v>
      </c>
    </row>
    <row r="487" spans="1:39" s="1" customFormat="1" x14ac:dyDescent="0.25">
      <c r="A487" s="230" t="s">
        <v>318</v>
      </c>
      <c r="B487" s="1">
        <v>2</v>
      </c>
      <c r="C487" s="1" t="s">
        <v>418</v>
      </c>
      <c r="D487" s="67">
        <v>39864</v>
      </c>
      <c r="E487" s="174">
        <f t="shared" si="135"/>
        <v>501</v>
      </c>
      <c r="G487" s="13">
        <v>40365</v>
      </c>
      <c r="H487" s="13">
        <f>G486</f>
        <v>40092</v>
      </c>
      <c r="I487" s="13">
        <v>40365</v>
      </c>
      <c r="J487" s="13"/>
      <c r="K487" s="1">
        <f t="shared" si="151"/>
        <v>501</v>
      </c>
      <c r="L487" s="1">
        <f t="shared" si="155"/>
        <v>273</v>
      </c>
      <c r="M487" s="1">
        <f t="shared" si="153"/>
        <v>0</v>
      </c>
      <c r="O487" s="1" t="s">
        <v>417</v>
      </c>
      <c r="P487" s="4">
        <v>6.44</v>
      </c>
      <c r="Z487" s="4">
        <v>2</v>
      </c>
      <c r="AA487" s="4">
        <v>61</v>
      </c>
      <c r="AC487" s="1">
        <v>0</v>
      </c>
      <c r="AD487" s="98">
        <v>0</v>
      </c>
      <c r="AE487" s="172">
        <v>50</v>
      </c>
      <c r="AF487" s="1" t="s">
        <v>417</v>
      </c>
      <c r="AG487" s="4">
        <v>2.5</v>
      </c>
      <c r="AH487" s="4">
        <v>0.35</v>
      </c>
      <c r="AI487" s="4">
        <v>3.5</v>
      </c>
      <c r="AJ487" s="4">
        <v>0.35</v>
      </c>
      <c r="AM487" s="1">
        <v>0</v>
      </c>
    </row>
    <row r="488" spans="1:39" s="1" customFormat="1" x14ac:dyDescent="0.25">
      <c r="A488" s="231" t="s">
        <v>320</v>
      </c>
      <c r="B488" s="1">
        <v>1</v>
      </c>
      <c r="C488" s="1" t="s">
        <v>418</v>
      </c>
      <c r="D488" s="67">
        <v>39244</v>
      </c>
      <c r="E488" s="174">
        <f t="shared" si="135"/>
        <v>1263</v>
      </c>
      <c r="G488" s="61">
        <v>40246</v>
      </c>
      <c r="H488" s="67">
        <v>39244</v>
      </c>
      <c r="I488" s="217">
        <v>40507</v>
      </c>
      <c r="J488" s="13"/>
      <c r="K488" s="1">
        <f t="shared" ref="K488:K491" si="156">G488-D488</f>
        <v>1002</v>
      </c>
      <c r="L488" s="1">
        <f t="shared" ref="L488:L491" si="157">G488-H488</f>
        <v>1002</v>
      </c>
      <c r="M488" s="1">
        <f t="shared" ref="M488:M491" si="158">I488-G488</f>
        <v>261</v>
      </c>
      <c r="O488" s="1" t="s">
        <v>417</v>
      </c>
      <c r="P488" s="57">
        <v>6.06</v>
      </c>
      <c r="S488" s="1">
        <f t="shared" si="145"/>
        <v>1</v>
      </c>
      <c r="T488" s="1">
        <f t="shared" si="146"/>
        <v>1</v>
      </c>
      <c r="Z488" s="57"/>
      <c r="AA488" s="57">
        <v>88</v>
      </c>
      <c r="AC488" s="1">
        <v>0.2</v>
      </c>
      <c r="AD488" s="98">
        <v>12</v>
      </c>
      <c r="AE488" s="172">
        <v>50</v>
      </c>
      <c r="AF488" s="1" t="s">
        <v>434</v>
      </c>
      <c r="AI488" s="57">
        <v>2.5</v>
      </c>
      <c r="AJ488" s="57">
        <v>0.35</v>
      </c>
      <c r="AM488" s="1">
        <v>0</v>
      </c>
    </row>
    <row r="489" spans="1:39" s="1" customFormat="1" x14ac:dyDescent="0.25">
      <c r="A489" s="231" t="s">
        <v>320</v>
      </c>
      <c r="B489" s="1">
        <v>1</v>
      </c>
      <c r="C489" s="1" t="s">
        <v>418</v>
      </c>
      <c r="D489" s="67">
        <v>39244</v>
      </c>
      <c r="E489" s="174">
        <f t="shared" si="135"/>
        <v>1263</v>
      </c>
      <c r="G489" s="217">
        <v>40494</v>
      </c>
      <c r="H489" s="13">
        <f>G488</f>
        <v>40246</v>
      </c>
      <c r="I489" s="217">
        <v>40507</v>
      </c>
      <c r="J489" s="13"/>
      <c r="K489" s="1">
        <f t="shared" si="156"/>
        <v>1250</v>
      </c>
      <c r="L489" s="1">
        <f t="shared" si="157"/>
        <v>248</v>
      </c>
      <c r="M489" s="1">
        <f t="shared" si="158"/>
        <v>13</v>
      </c>
      <c r="O489" s="1" t="s">
        <v>417</v>
      </c>
      <c r="P489" s="4">
        <v>5.87</v>
      </c>
      <c r="Z489" s="57"/>
      <c r="AA489" s="4">
        <v>90</v>
      </c>
      <c r="AB489" s="57"/>
      <c r="AC489" s="1">
        <v>0</v>
      </c>
      <c r="AD489" s="98">
        <v>0</v>
      </c>
      <c r="AE489" s="172">
        <v>50</v>
      </c>
      <c r="AF489" s="1" t="s">
        <v>434</v>
      </c>
      <c r="AI489" s="4">
        <v>2.5</v>
      </c>
      <c r="AJ489" s="4">
        <v>0.35</v>
      </c>
      <c r="AM489" s="1">
        <v>0</v>
      </c>
    </row>
    <row r="490" spans="1:39" s="1" customFormat="1" x14ac:dyDescent="0.25">
      <c r="A490" s="231" t="s">
        <v>320</v>
      </c>
      <c r="B490" s="1">
        <v>1</v>
      </c>
      <c r="C490" s="1" t="s">
        <v>418</v>
      </c>
      <c r="D490" s="67">
        <v>39244</v>
      </c>
      <c r="E490" s="174">
        <f t="shared" si="135"/>
        <v>1263</v>
      </c>
      <c r="G490" s="217">
        <v>40499</v>
      </c>
      <c r="H490" s="13">
        <f t="shared" ref="H490:H491" si="159">G489</f>
        <v>40494</v>
      </c>
      <c r="I490" s="217">
        <v>40507</v>
      </c>
      <c r="J490" s="13"/>
      <c r="K490" s="1">
        <f t="shared" si="156"/>
        <v>1255</v>
      </c>
      <c r="L490" s="1">
        <f t="shared" si="157"/>
        <v>5</v>
      </c>
      <c r="M490" s="1">
        <f t="shared" si="158"/>
        <v>8</v>
      </c>
      <c r="O490" s="1" t="s">
        <v>417</v>
      </c>
      <c r="P490" s="4">
        <v>5.87</v>
      </c>
      <c r="Z490" s="57"/>
      <c r="AA490" s="4">
        <v>93</v>
      </c>
      <c r="AB490" s="57"/>
      <c r="AC490" s="1">
        <v>0</v>
      </c>
      <c r="AD490" s="98">
        <v>0</v>
      </c>
      <c r="AE490" s="172">
        <v>50</v>
      </c>
      <c r="AF490" s="1" t="s">
        <v>434</v>
      </c>
      <c r="AI490" s="4">
        <v>2.5</v>
      </c>
      <c r="AJ490" s="4">
        <v>0.35</v>
      </c>
      <c r="AM490" s="1">
        <v>0</v>
      </c>
    </row>
    <row r="491" spans="1:39" s="1" customFormat="1" x14ac:dyDescent="0.25">
      <c r="A491" s="231" t="s">
        <v>320</v>
      </c>
      <c r="B491" s="1">
        <v>1</v>
      </c>
      <c r="C491" s="1" t="s">
        <v>418</v>
      </c>
      <c r="D491" s="67">
        <v>39244</v>
      </c>
      <c r="E491" s="174">
        <f t="shared" ref="E491:E503" si="160">I491-D491</f>
        <v>1263</v>
      </c>
      <c r="G491" s="217">
        <v>40507</v>
      </c>
      <c r="H491" s="13">
        <f t="shared" si="159"/>
        <v>40499</v>
      </c>
      <c r="I491" s="217">
        <v>40507</v>
      </c>
      <c r="J491" s="13"/>
      <c r="K491" s="1">
        <f t="shared" si="156"/>
        <v>1263</v>
      </c>
      <c r="L491" s="1">
        <f t="shared" si="157"/>
        <v>8</v>
      </c>
      <c r="M491" s="1">
        <f t="shared" si="158"/>
        <v>0</v>
      </c>
      <c r="O491" s="1" t="s">
        <v>417</v>
      </c>
      <c r="P491" s="4">
        <v>5.85</v>
      </c>
      <c r="Z491" s="57"/>
      <c r="AA491" s="4">
        <v>78</v>
      </c>
      <c r="AB491" s="57"/>
      <c r="AC491" s="1">
        <v>0.1</v>
      </c>
      <c r="AD491" s="98">
        <v>1</v>
      </c>
      <c r="AE491" s="172">
        <v>50</v>
      </c>
      <c r="AF491" s="1" t="s">
        <v>417</v>
      </c>
      <c r="AI491" s="4">
        <v>2.5</v>
      </c>
      <c r="AJ491" s="4">
        <v>0.35</v>
      </c>
      <c r="AM491" s="1">
        <v>0</v>
      </c>
    </row>
    <row r="492" spans="1:39" s="1" customFormat="1" x14ac:dyDescent="0.25">
      <c r="A492" s="233" t="s">
        <v>326</v>
      </c>
      <c r="B492" s="1">
        <v>2</v>
      </c>
      <c r="C492" s="1" t="s">
        <v>418</v>
      </c>
      <c r="D492" s="67">
        <v>38748</v>
      </c>
      <c r="E492" s="174">
        <f t="shared" si="160"/>
        <v>2247</v>
      </c>
      <c r="G492" s="61">
        <v>40085</v>
      </c>
      <c r="H492" s="67">
        <v>38748</v>
      </c>
      <c r="I492" s="13">
        <v>40995</v>
      </c>
      <c r="J492" s="13"/>
      <c r="K492" s="1">
        <f t="shared" ref="K492:K495" si="161">G492-D492</f>
        <v>1337</v>
      </c>
      <c r="L492" s="1">
        <f t="shared" ref="L492:L495" si="162">G492-H492</f>
        <v>1337</v>
      </c>
      <c r="M492" s="1">
        <f t="shared" ref="M492:M495" si="163">I492-G492</f>
        <v>910</v>
      </c>
      <c r="O492" s="1" t="s">
        <v>417</v>
      </c>
      <c r="P492" s="57">
        <v>5.9</v>
      </c>
      <c r="Q492" s="1">
        <f t="shared" si="150"/>
        <v>1</v>
      </c>
      <c r="R492" s="1">
        <f t="shared" si="144"/>
        <v>1</v>
      </c>
      <c r="S492" s="1">
        <f t="shared" si="145"/>
        <v>1</v>
      </c>
      <c r="T492" s="1">
        <f t="shared" si="146"/>
        <v>1</v>
      </c>
      <c r="U492" s="1" t="s">
        <v>437</v>
      </c>
      <c r="Z492" s="57">
        <v>8</v>
      </c>
      <c r="AA492" s="57">
        <v>0</v>
      </c>
      <c r="AB492" s="57"/>
      <c r="AC492" s="1">
        <v>0</v>
      </c>
      <c r="AD492" s="98">
        <v>0</v>
      </c>
      <c r="AE492" s="172">
        <v>45</v>
      </c>
      <c r="AF492" s="1" t="s">
        <v>417</v>
      </c>
      <c r="AG492" s="57">
        <v>2</v>
      </c>
      <c r="AH492" s="57">
        <v>0.35</v>
      </c>
      <c r="AI492" s="57">
        <v>2</v>
      </c>
      <c r="AJ492" s="57">
        <v>0.35</v>
      </c>
      <c r="AM492" s="1">
        <v>0</v>
      </c>
    </row>
    <row r="493" spans="1:39" s="1" customFormat="1" x14ac:dyDescent="0.25">
      <c r="A493" s="233" t="s">
        <v>326</v>
      </c>
      <c r="B493" s="1">
        <v>2</v>
      </c>
      <c r="C493" s="1" t="s">
        <v>418</v>
      </c>
      <c r="D493" s="67">
        <v>38748</v>
      </c>
      <c r="E493" s="174">
        <f t="shared" si="160"/>
        <v>2247</v>
      </c>
      <c r="G493" s="234">
        <v>40274</v>
      </c>
      <c r="H493" s="13">
        <f>G492</f>
        <v>40085</v>
      </c>
      <c r="I493" s="13">
        <v>40995</v>
      </c>
      <c r="J493" s="13"/>
      <c r="K493" s="1">
        <f t="shared" si="161"/>
        <v>1526</v>
      </c>
      <c r="L493" s="1">
        <f t="shared" si="162"/>
        <v>189</v>
      </c>
      <c r="M493" s="1">
        <f t="shared" si="163"/>
        <v>721</v>
      </c>
      <c r="O493" s="1" t="s">
        <v>417</v>
      </c>
      <c r="P493" s="4">
        <v>5.54</v>
      </c>
      <c r="Q493" s="1">
        <f t="shared" si="150"/>
        <v>1</v>
      </c>
      <c r="R493" s="1">
        <f t="shared" si="144"/>
        <v>1</v>
      </c>
      <c r="S493" s="1">
        <f t="shared" si="145"/>
        <v>1</v>
      </c>
      <c r="T493" s="1">
        <f t="shared" si="146"/>
        <v>1</v>
      </c>
      <c r="U493" s="1" t="s">
        <v>437</v>
      </c>
      <c r="Z493" s="4">
        <v>8</v>
      </c>
      <c r="AA493" s="4">
        <v>0</v>
      </c>
      <c r="AB493" s="57"/>
      <c r="AC493" s="1">
        <v>0</v>
      </c>
      <c r="AD493" s="98">
        <v>0</v>
      </c>
      <c r="AE493" s="172">
        <v>45</v>
      </c>
      <c r="AF493" s="1" t="s">
        <v>417</v>
      </c>
      <c r="AG493" s="4">
        <v>2</v>
      </c>
      <c r="AH493" s="4">
        <v>0.35</v>
      </c>
      <c r="AI493" s="4">
        <v>2</v>
      </c>
      <c r="AJ493" s="4">
        <v>0.35</v>
      </c>
      <c r="AM493" s="1">
        <v>0</v>
      </c>
    </row>
    <row r="494" spans="1:39" s="1" customFormat="1" x14ac:dyDescent="0.25">
      <c r="A494" s="233" t="s">
        <v>326</v>
      </c>
      <c r="B494" s="1">
        <v>2</v>
      </c>
      <c r="C494" s="1" t="s">
        <v>418</v>
      </c>
      <c r="D494" s="67">
        <v>38748</v>
      </c>
      <c r="E494" s="174">
        <f t="shared" si="160"/>
        <v>2247</v>
      </c>
      <c r="G494" s="13">
        <v>40652</v>
      </c>
      <c r="H494" s="13">
        <f t="shared" ref="H494:H495" si="164">G493</f>
        <v>40274</v>
      </c>
      <c r="I494" s="13">
        <v>40995</v>
      </c>
      <c r="J494" s="13"/>
      <c r="K494" s="1">
        <f t="shared" si="161"/>
        <v>1904</v>
      </c>
      <c r="L494" s="1">
        <f t="shared" si="162"/>
        <v>378</v>
      </c>
      <c r="M494" s="1">
        <f t="shared" si="163"/>
        <v>343</v>
      </c>
      <c r="O494" s="1" t="s">
        <v>417</v>
      </c>
      <c r="P494" s="4">
        <v>5.2</v>
      </c>
      <c r="S494" s="1">
        <f t="shared" si="145"/>
        <v>1</v>
      </c>
      <c r="T494" s="1">
        <f t="shared" si="146"/>
        <v>1</v>
      </c>
      <c r="Z494" s="4">
        <v>8</v>
      </c>
      <c r="AA494" s="4">
        <v>0</v>
      </c>
      <c r="AB494" s="57"/>
      <c r="AC494" s="1">
        <v>0</v>
      </c>
      <c r="AD494" s="98">
        <v>4</v>
      </c>
      <c r="AE494" s="172">
        <v>45</v>
      </c>
      <c r="AF494" s="1" t="s">
        <v>417</v>
      </c>
      <c r="AG494" s="4">
        <v>2</v>
      </c>
      <c r="AH494" s="4">
        <v>0.35</v>
      </c>
      <c r="AI494" s="4">
        <v>2</v>
      </c>
      <c r="AJ494" s="4">
        <v>0.35</v>
      </c>
      <c r="AM494" s="1">
        <v>0</v>
      </c>
    </row>
    <row r="495" spans="1:39" s="1" customFormat="1" x14ac:dyDescent="0.25">
      <c r="A495" s="233" t="s">
        <v>326</v>
      </c>
      <c r="B495" s="1">
        <v>2</v>
      </c>
      <c r="C495" s="1" t="s">
        <v>418</v>
      </c>
      <c r="D495" s="67">
        <v>38748</v>
      </c>
      <c r="E495" s="174">
        <f t="shared" si="160"/>
        <v>2247</v>
      </c>
      <c r="G495" s="13">
        <v>40995</v>
      </c>
      <c r="H495" s="13">
        <f t="shared" si="164"/>
        <v>40652</v>
      </c>
      <c r="I495" s="13">
        <v>40995</v>
      </c>
      <c r="J495" s="13"/>
      <c r="K495" s="1">
        <f t="shared" si="161"/>
        <v>2247</v>
      </c>
      <c r="L495" s="1">
        <f t="shared" si="162"/>
        <v>343</v>
      </c>
      <c r="M495" s="1">
        <f t="shared" si="163"/>
        <v>0</v>
      </c>
      <c r="O495" s="1" t="s">
        <v>417</v>
      </c>
      <c r="P495" s="4">
        <v>5.18</v>
      </c>
      <c r="Z495" s="4">
        <v>2</v>
      </c>
      <c r="AA495" s="4">
        <v>0</v>
      </c>
      <c r="AB495" s="57"/>
      <c r="AC495" s="1">
        <v>0</v>
      </c>
      <c r="AD495" s="98">
        <v>4</v>
      </c>
      <c r="AE495" s="172">
        <v>45</v>
      </c>
      <c r="AF495" s="1" t="s">
        <v>417</v>
      </c>
      <c r="AG495" s="4">
        <v>2</v>
      </c>
      <c r="AH495" s="4">
        <v>0.35</v>
      </c>
      <c r="AI495" s="4">
        <v>2</v>
      </c>
      <c r="AJ495" s="4">
        <v>0.35</v>
      </c>
      <c r="AM495" s="1">
        <v>0</v>
      </c>
    </row>
    <row r="496" spans="1:39" s="1" customFormat="1" x14ac:dyDescent="0.25">
      <c r="A496" s="66" t="s">
        <v>328</v>
      </c>
      <c r="B496" s="66">
        <v>1</v>
      </c>
      <c r="C496" s="1" t="s">
        <v>418</v>
      </c>
      <c r="D496" s="67">
        <v>39119</v>
      </c>
      <c r="E496" s="174">
        <f t="shared" si="160"/>
        <v>2947</v>
      </c>
      <c r="G496" s="61">
        <v>40834</v>
      </c>
      <c r="H496" s="67">
        <v>39119</v>
      </c>
      <c r="I496" s="13">
        <v>42066</v>
      </c>
      <c r="J496" s="13"/>
      <c r="K496" s="1">
        <f t="shared" ref="K496:K504" si="165">G496-D496</f>
        <v>1715</v>
      </c>
      <c r="L496" s="1">
        <f t="shared" ref="L496:L504" si="166">G496-H496</f>
        <v>1715</v>
      </c>
      <c r="M496" s="1">
        <f t="shared" ref="M496:M504" si="167">I496-G496</f>
        <v>1232</v>
      </c>
      <c r="O496" s="1" t="s">
        <v>417</v>
      </c>
      <c r="P496" s="57">
        <v>5.86</v>
      </c>
      <c r="Q496" s="1">
        <f t="shared" si="150"/>
        <v>1</v>
      </c>
      <c r="R496" s="1">
        <f t="shared" si="144"/>
        <v>1</v>
      </c>
      <c r="S496" s="1">
        <f t="shared" si="145"/>
        <v>1</v>
      </c>
      <c r="T496" s="1">
        <f t="shared" si="146"/>
        <v>1</v>
      </c>
      <c r="U496" s="1" t="s">
        <v>437</v>
      </c>
      <c r="Z496" s="57"/>
      <c r="AA496" s="57">
        <v>11</v>
      </c>
      <c r="AB496" s="57"/>
      <c r="AC496" s="1">
        <v>2</v>
      </c>
      <c r="AD496" s="98">
        <v>0</v>
      </c>
      <c r="AE496" s="172">
        <v>50</v>
      </c>
      <c r="AF496" s="1" t="s">
        <v>417</v>
      </c>
      <c r="AI496" s="57">
        <v>2.5</v>
      </c>
      <c r="AJ496" s="57">
        <v>0.6</v>
      </c>
      <c r="AM496" s="1">
        <v>0</v>
      </c>
    </row>
    <row r="497" spans="1:39" s="1" customFormat="1" x14ac:dyDescent="0.25">
      <c r="A497" s="66" t="s">
        <v>328</v>
      </c>
      <c r="B497" s="66">
        <v>1</v>
      </c>
      <c r="C497" s="1" t="s">
        <v>418</v>
      </c>
      <c r="D497" s="67">
        <v>39119</v>
      </c>
      <c r="E497" s="174">
        <f t="shared" si="160"/>
        <v>2947</v>
      </c>
      <c r="G497" s="234">
        <v>41037</v>
      </c>
      <c r="H497" s="13">
        <f>G496</f>
        <v>40834</v>
      </c>
      <c r="I497" s="13">
        <v>42066</v>
      </c>
      <c r="J497" s="13"/>
      <c r="K497" s="1">
        <f t="shared" si="165"/>
        <v>1918</v>
      </c>
      <c r="L497" s="1">
        <f t="shared" si="166"/>
        <v>203</v>
      </c>
      <c r="M497" s="1">
        <f t="shared" si="167"/>
        <v>1029</v>
      </c>
      <c r="O497" s="1" t="s">
        <v>417</v>
      </c>
      <c r="P497" s="4">
        <v>5.47</v>
      </c>
      <c r="Q497" s="1">
        <f t="shared" si="150"/>
        <v>1</v>
      </c>
      <c r="R497" s="1">
        <f t="shared" si="144"/>
        <v>1</v>
      </c>
      <c r="S497" s="1">
        <f t="shared" si="145"/>
        <v>1</v>
      </c>
      <c r="T497" s="1">
        <f t="shared" si="146"/>
        <v>1</v>
      </c>
      <c r="U497" s="1" t="s">
        <v>437</v>
      </c>
      <c r="Z497" s="57"/>
      <c r="AA497" s="4">
        <v>10</v>
      </c>
      <c r="AB497" s="57"/>
      <c r="AC497" s="1">
        <v>0</v>
      </c>
      <c r="AD497" s="98">
        <v>0</v>
      </c>
      <c r="AE497" s="172">
        <v>50</v>
      </c>
      <c r="AF497" s="1" t="s">
        <v>417</v>
      </c>
      <c r="AI497" s="4">
        <v>2.5</v>
      </c>
      <c r="AJ497" s="4">
        <v>0.6</v>
      </c>
      <c r="AM497" s="1">
        <v>0</v>
      </c>
    </row>
    <row r="498" spans="1:39" s="1" customFormat="1" x14ac:dyDescent="0.25">
      <c r="A498" s="66" t="s">
        <v>328</v>
      </c>
      <c r="B498" s="66">
        <v>1</v>
      </c>
      <c r="C498" s="1" t="s">
        <v>418</v>
      </c>
      <c r="D498" s="67">
        <v>39119</v>
      </c>
      <c r="E498" s="174">
        <f t="shared" si="160"/>
        <v>2947</v>
      </c>
      <c r="G498" s="13">
        <v>41226</v>
      </c>
      <c r="H498" s="13">
        <f t="shared" ref="H498:H504" si="168">G497</f>
        <v>41037</v>
      </c>
      <c r="I498" s="13">
        <v>42066</v>
      </c>
      <c r="J498" s="13"/>
      <c r="K498" s="1">
        <f t="shared" si="165"/>
        <v>2107</v>
      </c>
      <c r="L498" s="1">
        <f t="shared" si="166"/>
        <v>189</v>
      </c>
      <c r="M498" s="1">
        <f t="shared" si="167"/>
        <v>840</v>
      </c>
      <c r="O498" s="1" t="s">
        <v>417</v>
      </c>
      <c r="P498" s="4">
        <v>5.3</v>
      </c>
      <c r="Q498" s="1">
        <f t="shared" si="150"/>
        <v>1</v>
      </c>
      <c r="R498" s="1">
        <f t="shared" si="144"/>
        <v>1</v>
      </c>
      <c r="S498" s="1">
        <f t="shared" si="145"/>
        <v>1</v>
      </c>
      <c r="T498" s="1">
        <f t="shared" si="146"/>
        <v>1</v>
      </c>
      <c r="U498" s="1" t="s">
        <v>437</v>
      </c>
      <c r="Z498" s="57"/>
      <c r="AA498" s="4">
        <v>9</v>
      </c>
      <c r="AB498" s="57"/>
      <c r="AC498" s="1">
        <v>0</v>
      </c>
      <c r="AD498" s="98">
        <v>0</v>
      </c>
      <c r="AE498" s="172">
        <v>50</v>
      </c>
      <c r="AF498" s="1" t="s">
        <v>417</v>
      </c>
      <c r="AI498" s="4">
        <v>2.5</v>
      </c>
      <c r="AJ498" s="4">
        <v>0.6</v>
      </c>
      <c r="AM498" s="1">
        <v>0</v>
      </c>
    </row>
    <row r="499" spans="1:39" s="1" customFormat="1" x14ac:dyDescent="0.25">
      <c r="A499" s="66" t="s">
        <v>328</v>
      </c>
      <c r="B499" s="66">
        <v>1</v>
      </c>
      <c r="C499" s="1" t="s">
        <v>418</v>
      </c>
      <c r="D499" s="67">
        <v>39119</v>
      </c>
      <c r="E499" s="174">
        <f t="shared" si="160"/>
        <v>2947</v>
      </c>
      <c r="G499" s="13">
        <v>41408</v>
      </c>
      <c r="H499" s="13">
        <f t="shared" si="168"/>
        <v>41226</v>
      </c>
      <c r="I499" s="13">
        <v>42066</v>
      </c>
      <c r="J499" s="13"/>
      <c r="K499" s="1">
        <f t="shared" si="165"/>
        <v>2289</v>
      </c>
      <c r="L499" s="1">
        <f t="shared" si="166"/>
        <v>182</v>
      </c>
      <c r="M499" s="1">
        <f t="shared" si="167"/>
        <v>658</v>
      </c>
      <c r="O499" s="1" t="s">
        <v>417</v>
      </c>
      <c r="P499" s="4">
        <v>5.21</v>
      </c>
      <c r="Q499" s="1">
        <f t="shared" si="150"/>
        <v>1</v>
      </c>
      <c r="R499" s="1">
        <f t="shared" si="144"/>
        <v>1</v>
      </c>
      <c r="S499" s="1">
        <f t="shared" si="145"/>
        <v>1</v>
      </c>
      <c r="T499" s="1">
        <f t="shared" si="146"/>
        <v>1</v>
      </c>
      <c r="U499" s="1" t="s">
        <v>437</v>
      </c>
      <c r="Z499" s="57"/>
      <c r="AA499" s="4">
        <v>8</v>
      </c>
      <c r="AB499" s="57"/>
      <c r="AC499" s="1">
        <v>0</v>
      </c>
      <c r="AD499" s="98">
        <v>0</v>
      </c>
      <c r="AE499" s="172">
        <v>50</v>
      </c>
      <c r="AF499" s="1" t="s">
        <v>417</v>
      </c>
      <c r="AI499" s="4">
        <v>2.5</v>
      </c>
      <c r="AJ499" s="4">
        <v>0.6</v>
      </c>
      <c r="AM499" s="1">
        <v>0</v>
      </c>
    </row>
    <row r="500" spans="1:39" s="1" customFormat="1" x14ac:dyDescent="0.25">
      <c r="A500" s="66" t="s">
        <v>328</v>
      </c>
      <c r="B500" s="66">
        <v>1</v>
      </c>
      <c r="C500" s="1" t="s">
        <v>418</v>
      </c>
      <c r="D500" s="67">
        <v>39119</v>
      </c>
      <c r="E500" s="174">
        <f t="shared" si="160"/>
        <v>2947</v>
      </c>
      <c r="G500" s="13">
        <v>41528</v>
      </c>
      <c r="H500" s="13">
        <f t="shared" si="168"/>
        <v>41408</v>
      </c>
      <c r="I500" s="13">
        <v>42066</v>
      </c>
      <c r="J500" s="13"/>
      <c r="K500" s="1">
        <f t="shared" si="165"/>
        <v>2409</v>
      </c>
      <c r="L500" s="1">
        <f t="shared" si="166"/>
        <v>120</v>
      </c>
      <c r="M500" s="1">
        <f t="shared" si="167"/>
        <v>538</v>
      </c>
      <c r="O500" s="1" t="s">
        <v>417</v>
      </c>
      <c r="P500" s="4">
        <v>5.18</v>
      </c>
      <c r="R500" s="1">
        <f t="shared" si="144"/>
        <v>1</v>
      </c>
      <c r="S500" s="1">
        <f t="shared" si="145"/>
        <v>1</v>
      </c>
      <c r="T500" s="1">
        <f t="shared" si="146"/>
        <v>1</v>
      </c>
      <c r="Z500" s="57"/>
      <c r="AA500" s="4">
        <v>16</v>
      </c>
      <c r="AB500" s="57"/>
      <c r="AC500" s="1">
        <v>0</v>
      </c>
      <c r="AD500" s="98">
        <v>0</v>
      </c>
      <c r="AE500" s="172">
        <v>50</v>
      </c>
      <c r="AF500" s="1" t="s">
        <v>417</v>
      </c>
      <c r="AI500" s="4">
        <v>2.5</v>
      </c>
      <c r="AJ500" s="4">
        <v>0.6</v>
      </c>
      <c r="AM500" s="1">
        <v>0</v>
      </c>
    </row>
    <row r="501" spans="1:39" s="1" customFormat="1" x14ac:dyDescent="0.25">
      <c r="A501" s="66" t="s">
        <v>328</v>
      </c>
      <c r="B501" s="66">
        <v>1</v>
      </c>
      <c r="C501" s="1" t="s">
        <v>418</v>
      </c>
      <c r="D501" s="67">
        <v>39119</v>
      </c>
      <c r="E501" s="174">
        <f t="shared" si="160"/>
        <v>2947</v>
      </c>
      <c r="G501" s="13">
        <v>41702</v>
      </c>
      <c r="H501" s="13">
        <f t="shared" si="168"/>
        <v>41528</v>
      </c>
      <c r="I501" s="13">
        <v>42066</v>
      </c>
      <c r="J501" s="13"/>
      <c r="K501" s="1">
        <f t="shared" si="165"/>
        <v>2583</v>
      </c>
      <c r="L501" s="1">
        <f t="shared" si="166"/>
        <v>174</v>
      </c>
      <c r="M501" s="1">
        <f t="shared" si="167"/>
        <v>364</v>
      </c>
      <c r="O501" s="1" t="s">
        <v>417</v>
      </c>
      <c r="P501" s="4">
        <v>5.17</v>
      </c>
      <c r="R501" s="1">
        <f t="shared" si="144"/>
        <v>1</v>
      </c>
      <c r="S501" s="1">
        <f t="shared" si="145"/>
        <v>1</v>
      </c>
      <c r="T501" s="1">
        <f t="shared" si="146"/>
        <v>1</v>
      </c>
      <c r="Z501" s="57"/>
      <c r="AA501" s="4">
        <v>5</v>
      </c>
      <c r="AB501" s="57"/>
      <c r="AC501" s="1">
        <v>0</v>
      </c>
      <c r="AD501" s="98">
        <v>0</v>
      </c>
      <c r="AE501" s="172">
        <v>50</v>
      </c>
      <c r="AF501" s="1" t="s">
        <v>417</v>
      </c>
      <c r="AI501" s="4">
        <v>2.5</v>
      </c>
      <c r="AJ501" s="4">
        <v>0.6</v>
      </c>
      <c r="AM501" s="1">
        <v>0</v>
      </c>
    </row>
    <row r="502" spans="1:39" s="1" customFormat="1" x14ac:dyDescent="0.25">
      <c r="A502" s="66" t="s">
        <v>328</v>
      </c>
      <c r="B502" s="66">
        <v>1</v>
      </c>
      <c r="C502" s="1" t="s">
        <v>418</v>
      </c>
      <c r="D502" s="67">
        <v>39119</v>
      </c>
      <c r="E502" s="174">
        <f t="shared" si="160"/>
        <v>2947</v>
      </c>
      <c r="G502" s="13">
        <v>41806</v>
      </c>
      <c r="H502" s="13">
        <f t="shared" si="168"/>
        <v>41702</v>
      </c>
      <c r="I502" s="13">
        <v>42066</v>
      </c>
      <c r="J502" s="13"/>
      <c r="K502" s="1">
        <f t="shared" si="165"/>
        <v>2687</v>
      </c>
      <c r="L502" s="1">
        <f t="shared" si="166"/>
        <v>104</v>
      </c>
      <c r="M502" s="1">
        <f t="shared" si="167"/>
        <v>260</v>
      </c>
      <c r="O502" s="1" t="s">
        <v>417</v>
      </c>
      <c r="P502" s="4">
        <v>5.15</v>
      </c>
      <c r="S502" s="1">
        <f t="shared" si="145"/>
        <v>1</v>
      </c>
      <c r="T502" s="1">
        <f t="shared" si="146"/>
        <v>1</v>
      </c>
      <c r="Z502" s="57"/>
      <c r="AA502" s="4">
        <v>5</v>
      </c>
      <c r="AB502" s="57"/>
      <c r="AC502" s="1">
        <v>0</v>
      </c>
      <c r="AD502" s="98">
        <v>0</v>
      </c>
      <c r="AE502" s="172">
        <v>50</v>
      </c>
      <c r="AF502" s="1" t="s">
        <v>417</v>
      </c>
      <c r="AI502" s="4">
        <v>2.5</v>
      </c>
      <c r="AJ502" s="4">
        <v>0.6</v>
      </c>
      <c r="AM502" s="1">
        <v>0</v>
      </c>
    </row>
    <row r="503" spans="1:39" s="1" customFormat="1" x14ac:dyDescent="0.25">
      <c r="A503" s="66" t="s">
        <v>328</v>
      </c>
      <c r="B503" s="66">
        <v>1</v>
      </c>
      <c r="C503" s="1" t="s">
        <v>418</v>
      </c>
      <c r="D503" s="67">
        <v>39119</v>
      </c>
      <c r="E503" s="174">
        <f t="shared" si="160"/>
        <v>2947</v>
      </c>
      <c r="G503" s="23">
        <v>41891</v>
      </c>
      <c r="H503" s="13">
        <f t="shared" si="168"/>
        <v>41806</v>
      </c>
      <c r="I503" s="13">
        <v>42066</v>
      </c>
      <c r="J503" s="13"/>
      <c r="K503" s="1">
        <f t="shared" si="165"/>
        <v>2772</v>
      </c>
      <c r="L503" s="1">
        <f t="shared" si="166"/>
        <v>85</v>
      </c>
      <c r="M503" s="1">
        <f t="shared" si="167"/>
        <v>175</v>
      </c>
      <c r="O503" s="1" t="s">
        <v>417</v>
      </c>
      <c r="P503" s="24">
        <v>5.15</v>
      </c>
      <c r="T503" s="1">
        <f t="shared" si="146"/>
        <v>1</v>
      </c>
      <c r="Z503" s="57"/>
      <c r="AA503" s="24">
        <v>6</v>
      </c>
      <c r="AB503" s="57"/>
      <c r="AC503" s="1">
        <v>0</v>
      </c>
      <c r="AD503" s="98">
        <v>0</v>
      </c>
      <c r="AE503" s="172">
        <v>50</v>
      </c>
      <c r="AF503" s="1" t="s">
        <v>417</v>
      </c>
      <c r="AI503" s="4">
        <v>2.5</v>
      </c>
      <c r="AJ503" s="4">
        <v>0.6</v>
      </c>
      <c r="AM503" s="1">
        <v>0</v>
      </c>
    </row>
    <row r="504" spans="1:39" s="1" customFormat="1" x14ac:dyDescent="0.25">
      <c r="A504" s="66" t="s">
        <v>328</v>
      </c>
      <c r="B504" s="66">
        <v>1</v>
      </c>
      <c r="C504" s="1" t="s">
        <v>418</v>
      </c>
      <c r="D504" s="67">
        <v>39119</v>
      </c>
      <c r="E504" s="174">
        <f>I504-D504</f>
        <v>2947</v>
      </c>
      <c r="G504" s="13">
        <v>42066</v>
      </c>
      <c r="H504" s="13">
        <f t="shared" si="168"/>
        <v>41891</v>
      </c>
      <c r="I504" s="13">
        <v>42066</v>
      </c>
      <c r="J504" s="13"/>
      <c r="K504" s="1">
        <f t="shared" si="165"/>
        <v>2947</v>
      </c>
      <c r="L504" s="1">
        <f t="shared" si="166"/>
        <v>175</v>
      </c>
      <c r="M504" s="1">
        <f t="shared" si="167"/>
        <v>0</v>
      </c>
      <c r="O504" s="1" t="s">
        <v>417</v>
      </c>
      <c r="P504" s="4">
        <v>5.14</v>
      </c>
      <c r="Z504" s="57"/>
      <c r="AA504" s="4">
        <v>5</v>
      </c>
      <c r="AB504" s="57"/>
      <c r="AC504" s="1">
        <v>0</v>
      </c>
      <c r="AD504" s="98">
        <v>2</v>
      </c>
      <c r="AE504" s="172">
        <v>50</v>
      </c>
      <c r="AF504" s="1" t="s">
        <v>417</v>
      </c>
      <c r="AI504" s="4">
        <v>2.5</v>
      </c>
      <c r="AJ504" s="4">
        <v>0.6</v>
      </c>
      <c r="AM504" s="1">
        <v>0</v>
      </c>
    </row>
    <row r="505" spans="1:39" s="1" customFormat="1" x14ac:dyDescent="0.25">
      <c r="A505" s="235" t="s">
        <v>329</v>
      </c>
      <c r="B505" s="1">
        <v>2</v>
      </c>
      <c r="C505" s="1" t="s">
        <v>418</v>
      </c>
      <c r="D505" s="67">
        <v>38846</v>
      </c>
      <c r="E505" s="174">
        <f t="shared" ref="E505:E525" si="169">I505-D505</f>
        <v>2732</v>
      </c>
      <c r="G505" s="61">
        <v>40736</v>
      </c>
      <c r="H505" s="67">
        <v>38846</v>
      </c>
      <c r="I505" s="13">
        <v>41578</v>
      </c>
      <c r="J505" s="13"/>
      <c r="K505" s="1">
        <f t="shared" ref="K505:K511" si="170">G505-D505</f>
        <v>1890</v>
      </c>
      <c r="L505" s="1">
        <f t="shared" ref="L505:L511" si="171">G505-H505</f>
        <v>1890</v>
      </c>
      <c r="M505" s="1">
        <f t="shared" ref="M505:M511" si="172">I505-G505</f>
        <v>842</v>
      </c>
      <c r="O505" s="1" t="s">
        <v>417</v>
      </c>
      <c r="P505" s="57">
        <v>5.31</v>
      </c>
      <c r="Q505" s="1">
        <f t="shared" si="150"/>
        <v>1</v>
      </c>
      <c r="R505" s="1">
        <f t="shared" si="144"/>
        <v>1</v>
      </c>
      <c r="S505" s="1">
        <f t="shared" si="145"/>
        <v>1</v>
      </c>
      <c r="T505" s="1">
        <f t="shared" si="146"/>
        <v>1</v>
      </c>
      <c r="U505" s="1" t="s">
        <v>437</v>
      </c>
      <c r="Z505" s="57">
        <v>0</v>
      </c>
      <c r="AA505" s="57">
        <v>0</v>
      </c>
      <c r="AB505" s="57"/>
      <c r="AC505" s="1">
        <v>2</v>
      </c>
      <c r="AD505" s="98">
        <v>0</v>
      </c>
      <c r="AE505" s="172">
        <v>50</v>
      </c>
      <c r="AF505" s="1" t="s">
        <v>417</v>
      </c>
      <c r="AG505" s="57">
        <v>2.5</v>
      </c>
      <c r="AH505" s="57">
        <v>0.35</v>
      </c>
      <c r="AI505" s="57">
        <v>3.5</v>
      </c>
      <c r="AJ505" s="57">
        <v>0.35</v>
      </c>
      <c r="AM505" s="1">
        <v>0</v>
      </c>
    </row>
    <row r="506" spans="1:39" s="1" customFormat="1" x14ac:dyDescent="0.25">
      <c r="A506" s="235" t="s">
        <v>329</v>
      </c>
      <c r="B506" s="1">
        <v>2</v>
      </c>
      <c r="C506" s="1" t="s">
        <v>418</v>
      </c>
      <c r="D506" s="67">
        <v>38846</v>
      </c>
      <c r="E506" s="174">
        <f t="shared" si="169"/>
        <v>2732</v>
      </c>
      <c r="G506" s="234">
        <v>40953</v>
      </c>
      <c r="H506" s="13">
        <f>G505</f>
        <v>40736</v>
      </c>
      <c r="I506" s="13">
        <v>41578</v>
      </c>
      <c r="J506" s="13"/>
      <c r="K506" s="1">
        <f t="shared" si="170"/>
        <v>2107</v>
      </c>
      <c r="L506" s="1">
        <f t="shared" si="171"/>
        <v>217</v>
      </c>
      <c r="M506" s="1">
        <f t="shared" si="172"/>
        <v>625</v>
      </c>
      <c r="O506" s="1" t="s">
        <v>417</v>
      </c>
      <c r="P506" s="4">
        <v>5.21</v>
      </c>
      <c r="Q506" s="1">
        <f t="shared" si="150"/>
        <v>1</v>
      </c>
      <c r="R506" s="1">
        <f t="shared" si="144"/>
        <v>1</v>
      </c>
      <c r="S506" s="1">
        <f t="shared" si="145"/>
        <v>1</v>
      </c>
      <c r="T506" s="1">
        <f t="shared" si="146"/>
        <v>1</v>
      </c>
      <c r="U506" s="1" t="s">
        <v>437</v>
      </c>
      <c r="Z506" s="4">
        <v>0</v>
      </c>
      <c r="AA506" s="4">
        <v>0</v>
      </c>
      <c r="AB506" s="57"/>
      <c r="AC506" s="1">
        <v>0</v>
      </c>
      <c r="AD506" s="98">
        <v>0</v>
      </c>
      <c r="AE506" s="172">
        <v>50</v>
      </c>
      <c r="AF506" s="1" t="s">
        <v>417</v>
      </c>
      <c r="AG506" s="4">
        <v>2.5</v>
      </c>
      <c r="AH506" s="4">
        <v>0.35</v>
      </c>
      <c r="AI506" s="4">
        <v>3.5</v>
      </c>
      <c r="AJ506" s="4">
        <v>0.35</v>
      </c>
      <c r="AM506" s="1">
        <v>0</v>
      </c>
    </row>
    <row r="507" spans="1:39" s="1" customFormat="1" x14ac:dyDescent="0.25">
      <c r="A507" s="235" t="s">
        <v>329</v>
      </c>
      <c r="B507" s="1">
        <v>2</v>
      </c>
      <c r="C507" s="1" t="s">
        <v>418</v>
      </c>
      <c r="D507" s="67">
        <v>38846</v>
      </c>
      <c r="E507" s="174">
        <f t="shared" si="169"/>
        <v>2732</v>
      </c>
      <c r="G507" s="13">
        <v>41051</v>
      </c>
      <c r="H507" s="13">
        <f t="shared" ref="H507:H511" si="173">G506</f>
        <v>40953</v>
      </c>
      <c r="I507" s="13">
        <v>41578</v>
      </c>
      <c r="J507" s="13"/>
      <c r="K507" s="1">
        <f t="shared" si="170"/>
        <v>2205</v>
      </c>
      <c r="L507" s="1">
        <f t="shared" si="171"/>
        <v>98</v>
      </c>
      <c r="M507" s="1">
        <f t="shared" si="172"/>
        <v>527</v>
      </c>
      <c r="O507" s="1" t="s">
        <v>417</v>
      </c>
      <c r="P507" s="4">
        <v>5.18</v>
      </c>
      <c r="R507" s="1">
        <f t="shared" si="144"/>
        <v>1</v>
      </c>
      <c r="S507" s="1">
        <f t="shared" si="145"/>
        <v>1</v>
      </c>
      <c r="T507" s="1">
        <f t="shared" si="146"/>
        <v>1</v>
      </c>
      <c r="Z507" s="4">
        <v>0</v>
      </c>
      <c r="AA507" s="4">
        <v>0</v>
      </c>
      <c r="AB507" s="57"/>
      <c r="AC507" s="1">
        <v>0</v>
      </c>
      <c r="AD507" s="98">
        <v>0</v>
      </c>
      <c r="AE507" s="172">
        <v>50</v>
      </c>
      <c r="AF507" s="1" t="s">
        <v>417</v>
      </c>
      <c r="AG507" s="4">
        <v>2.5</v>
      </c>
      <c r="AH507" s="4">
        <v>0.35</v>
      </c>
      <c r="AI507" s="4">
        <v>3.5</v>
      </c>
      <c r="AJ507" s="4">
        <v>0.35</v>
      </c>
      <c r="AM507" s="1">
        <v>0</v>
      </c>
    </row>
    <row r="508" spans="1:39" s="1" customFormat="1" x14ac:dyDescent="0.25">
      <c r="A508" s="235" t="s">
        <v>329</v>
      </c>
      <c r="B508" s="1">
        <v>2</v>
      </c>
      <c r="C508" s="1" t="s">
        <v>418</v>
      </c>
      <c r="D508" s="67">
        <v>38846</v>
      </c>
      <c r="E508" s="174">
        <f t="shared" si="169"/>
        <v>2732</v>
      </c>
      <c r="G508" s="13">
        <v>41247</v>
      </c>
      <c r="H508" s="13">
        <f t="shared" si="173"/>
        <v>41051</v>
      </c>
      <c r="I508" s="13">
        <v>41578</v>
      </c>
      <c r="J508" s="13"/>
      <c r="K508" s="1">
        <f t="shared" si="170"/>
        <v>2401</v>
      </c>
      <c r="L508" s="1">
        <f t="shared" si="171"/>
        <v>196</v>
      </c>
      <c r="M508" s="1">
        <f t="shared" si="172"/>
        <v>331</v>
      </c>
      <c r="O508" s="1" t="s">
        <v>417</v>
      </c>
      <c r="P508" s="4">
        <v>5.16</v>
      </c>
      <c r="S508" s="1">
        <f t="shared" si="145"/>
        <v>1</v>
      </c>
      <c r="T508" s="1">
        <f t="shared" si="146"/>
        <v>1</v>
      </c>
      <c r="Z508" s="4">
        <v>1</v>
      </c>
      <c r="AA508" s="4">
        <v>0</v>
      </c>
      <c r="AB508" s="57"/>
      <c r="AC508" s="1">
        <v>0</v>
      </c>
      <c r="AD508" s="98">
        <v>0</v>
      </c>
      <c r="AE508" s="172">
        <v>50</v>
      </c>
      <c r="AF508" s="1" t="s">
        <v>417</v>
      </c>
      <c r="AG508" s="4">
        <v>2.5</v>
      </c>
      <c r="AH508" s="4">
        <v>0.35</v>
      </c>
      <c r="AI508" s="4">
        <v>3.5</v>
      </c>
      <c r="AJ508" s="4">
        <v>0.35</v>
      </c>
      <c r="AM508" s="1">
        <v>0</v>
      </c>
    </row>
    <row r="509" spans="1:39" s="1" customFormat="1" x14ac:dyDescent="0.25">
      <c r="A509" s="235" t="s">
        <v>329</v>
      </c>
      <c r="B509" s="1">
        <v>2</v>
      </c>
      <c r="C509" s="1" t="s">
        <v>418</v>
      </c>
      <c r="D509" s="67">
        <v>38846</v>
      </c>
      <c r="E509" s="174">
        <f t="shared" si="169"/>
        <v>2732</v>
      </c>
      <c r="G509" s="13">
        <v>41429</v>
      </c>
      <c r="H509" s="13">
        <f t="shared" si="173"/>
        <v>41247</v>
      </c>
      <c r="I509" s="13">
        <v>41578</v>
      </c>
      <c r="J509" s="13"/>
      <c r="K509" s="1">
        <f t="shared" si="170"/>
        <v>2583</v>
      </c>
      <c r="L509" s="1">
        <f t="shared" si="171"/>
        <v>182</v>
      </c>
      <c r="M509" s="1">
        <f t="shared" si="172"/>
        <v>149</v>
      </c>
      <c r="O509" s="1" t="s">
        <v>417</v>
      </c>
      <c r="P509" s="4">
        <v>5.16</v>
      </c>
      <c r="T509" s="1">
        <f t="shared" si="146"/>
        <v>1</v>
      </c>
      <c r="Z509" s="4">
        <v>1</v>
      </c>
      <c r="AA509" s="4">
        <v>0</v>
      </c>
      <c r="AB509" s="57"/>
      <c r="AC509" s="1">
        <v>0</v>
      </c>
      <c r="AD509" s="98">
        <v>0</v>
      </c>
      <c r="AE509" s="172">
        <v>50</v>
      </c>
      <c r="AF509" s="1" t="s">
        <v>417</v>
      </c>
      <c r="AG509" s="4">
        <v>2.5</v>
      </c>
      <c r="AH509" s="4">
        <v>0.35</v>
      </c>
      <c r="AI509" s="4">
        <v>3.5</v>
      </c>
      <c r="AJ509" s="4">
        <v>0.35</v>
      </c>
      <c r="AM509" s="1">
        <v>0</v>
      </c>
    </row>
    <row r="510" spans="1:39" s="1" customFormat="1" x14ac:dyDescent="0.25">
      <c r="A510" s="235" t="s">
        <v>329</v>
      </c>
      <c r="B510" s="1">
        <v>2</v>
      </c>
      <c r="C510" s="1" t="s">
        <v>418</v>
      </c>
      <c r="D510" s="67">
        <v>38846</v>
      </c>
      <c r="E510" s="174">
        <f t="shared" si="169"/>
        <v>2732</v>
      </c>
      <c r="G510" s="13">
        <v>41568</v>
      </c>
      <c r="H510" s="13">
        <f t="shared" si="173"/>
        <v>41429</v>
      </c>
      <c r="I510" s="13">
        <v>41578</v>
      </c>
      <c r="J510" s="13"/>
      <c r="K510" s="1">
        <f t="shared" si="170"/>
        <v>2722</v>
      </c>
      <c r="L510" s="1">
        <f t="shared" si="171"/>
        <v>139</v>
      </c>
      <c r="M510" s="1">
        <f t="shared" si="172"/>
        <v>10</v>
      </c>
      <c r="O510" s="1" t="s">
        <v>417</v>
      </c>
      <c r="P510" s="4">
        <v>5.15</v>
      </c>
      <c r="Z510" s="4">
        <v>0</v>
      </c>
      <c r="AA510" s="4">
        <v>0</v>
      </c>
      <c r="AB510" s="57"/>
      <c r="AC510" s="1">
        <v>0</v>
      </c>
      <c r="AD510" s="98">
        <v>0</v>
      </c>
      <c r="AE510" s="172">
        <v>50</v>
      </c>
      <c r="AF510" s="1" t="s">
        <v>417</v>
      </c>
      <c r="AG510" s="4">
        <v>2.5</v>
      </c>
      <c r="AH510" s="4">
        <v>0.35</v>
      </c>
      <c r="AI510" s="4">
        <v>3.5</v>
      </c>
      <c r="AJ510" s="4">
        <v>0.35</v>
      </c>
      <c r="AM510" s="1">
        <v>0</v>
      </c>
    </row>
    <row r="511" spans="1:39" s="1" customFormat="1" x14ac:dyDescent="0.25">
      <c r="A511" s="235" t="s">
        <v>329</v>
      </c>
      <c r="B511" s="1">
        <v>2</v>
      </c>
      <c r="C511" s="1" t="s">
        <v>418</v>
      </c>
      <c r="D511" s="67">
        <v>38846</v>
      </c>
      <c r="E511" s="174">
        <f t="shared" si="169"/>
        <v>2732</v>
      </c>
      <c r="G511" s="13">
        <v>41578</v>
      </c>
      <c r="H511" s="13">
        <f t="shared" si="173"/>
        <v>41568</v>
      </c>
      <c r="I511" s="13">
        <v>41578</v>
      </c>
      <c r="J511" s="13"/>
      <c r="K511" s="1">
        <f t="shared" si="170"/>
        <v>2732</v>
      </c>
      <c r="L511" s="1">
        <f t="shared" si="171"/>
        <v>10</v>
      </c>
      <c r="M511" s="1">
        <f t="shared" si="172"/>
        <v>0</v>
      </c>
      <c r="O511" s="1" t="s">
        <v>417</v>
      </c>
      <c r="P511" s="4">
        <v>5.15</v>
      </c>
      <c r="Z511" s="4">
        <v>0</v>
      </c>
      <c r="AA511" s="4">
        <v>0</v>
      </c>
      <c r="AB511" s="57"/>
      <c r="AC511" s="1">
        <v>0</v>
      </c>
      <c r="AD511" s="98">
        <v>0</v>
      </c>
      <c r="AE511" s="172">
        <v>50</v>
      </c>
      <c r="AF511" s="1" t="s">
        <v>417</v>
      </c>
      <c r="AG511" s="4">
        <v>2.5</v>
      </c>
      <c r="AH511" s="4">
        <v>0.35</v>
      </c>
      <c r="AI511" s="4">
        <v>3.5</v>
      </c>
      <c r="AJ511" s="4">
        <v>0.35</v>
      </c>
      <c r="AM511" s="1">
        <v>0</v>
      </c>
    </row>
    <row r="512" spans="1:39" s="1" customFormat="1" x14ac:dyDescent="0.25">
      <c r="A512" s="236" t="s">
        <v>331</v>
      </c>
      <c r="B512" s="1">
        <v>1</v>
      </c>
      <c r="C512" s="1" t="s">
        <v>418</v>
      </c>
      <c r="D512" s="67">
        <v>39017</v>
      </c>
      <c r="E512" s="174">
        <f t="shared" si="169"/>
        <v>2567</v>
      </c>
      <c r="G512" s="61">
        <v>40995</v>
      </c>
      <c r="H512" s="67">
        <v>39017</v>
      </c>
      <c r="I512" s="13">
        <v>41584</v>
      </c>
      <c r="J512" s="13"/>
      <c r="K512" s="1">
        <f t="shared" ref="K512:K525" si="174">G512-D512</f>
        <v>1978</v>
      </c>
      <c r="L512" s="1">
        <f t="shared" ref="L512:L525" si="175">G512-H512</f>
        <v>1978</v>
      </c>
      <c r="M512" s="1">
        <f t="shared" ref="M512:M525" si="176">I512-G512</f>
        <v>589</v>
      </c>
      <c r="O512" s="1" t="s">
        <v>417</v>
      </c>
      <c r="P512" s="57">
        <v>5.15</v>
      </c>
      <c r="Q512" s="1">
        <f t="shared" si="150"/>
        <v>1</v>
      </c>
      <c r="R512" s="1">
        <f t="shared" si="144"/>
        <v>1</v>
      </c>
      <c r="S512" s="1">
        <f t="shared" si="145"/>
        <v>1</v>
      </c>
      <c r="T512" s="1">
        <f t="shared" si="146"/>
        <v>1</v>
      </c>
      <c r="U512" s="1" t="s">
        <v>437</v>
      </c>
      <c r="Z512" s="57"/>
      <c r="AA512" s="57">
        <v>43</v>
      </c>
      <c r="AB512" s="57"/>
      <c r="AC512" s="1">
        <v>0</v>
      </c>
      <c r="AD512" s="98">
        <v>0</v>
      </c>
      <c r="AE512" s="172">
        <v>60</v>
      </c>
      <c r="AF512" s="1" t="s">
        <v>434</v>
      </c>
      <c r="AI512" s="57">
        <v>2.5</v>
      </c>
      <c r="AJ512" s="57">
        <v>0.35</v>
      </c>
      <c r="AM512" s="1">
        <v>0</v>
      </c>
    </row>
    <row r="513" spans="1:39" s="1" customFormat="1" x14ac:dyDescent="0.25">
      <c r="A513" s="236" t="s">
        <v>331</v>
      </c>
      <c r="B513" s="1">
        <v>1</v>
      </c>
      <c r="C513" s="1" t="s">
        <v>418</v>
      </c>
      <c r="D513" s="67">
        <v>39017</v>
      </c>
      <c r="E513" s="174">
        <f t="shared" si="169"/>
        <v>2567</v>
      </c>
      <c r="G513" s="13">
        <v>41184</v>
      </c>
      <c r="H513" s="13">
        <f>G512</f>
        <v>40995</v>
      </c>
      <c r="I513" s="13">
        <v>41584</v>
      </c>
      <c r="J513" s="13"/>
      <c r="K513" s="1">
        <f t="shared" si="174"/>
        <v>2167</v>
      </c>
      <c r="L513" s="1">
        <f t="shared" si="175"/>
        <v>189</v>
      </c>
      <c r="M513" s="1">
        <f t="shared" si="176"/>
        <v>400</v>
      </c>
      <c r="O513" s="1" t="s">
        <v>417</v>
      </c>
      <c r="P513" s="4">
        <v>5.14</v>
      </c>
      <c r="R513" s="1">
        <f t="shared" si="144"/>
        <v>1</v>
      </c>
      <c r="S513" s="1">
        <f t="shared" si="145"/>
        <v>1</v>
      </c>
      <c r="T513" s="1">
        <f t="shared" si="146"/>
        <v>1</v>
      </c>
      <c r="Z513" s="57"/>
      <c r="AA513" s="4">
        <v>81</v>
      </c>
      <c r="AB513" s="57"/>
      <c r="AC513" s="1">
        <v>0</v>
      </c>
      <c r="AD513" s="98">
        <v>0</v>
      </c>
      <c r="AE513" s="172">
        <v>60</v>
      </c>
      <c r="AF513" s="1" t="s">
        <v>434</v>
      </c>
      <c r="AI513" s="4">
        <v>2.5</v>
      </c>
      <c r="AJ513" s="4">
        <v>0.35</v>
      </c>
      <c r="AM513" s="1">
        <v>0</v>
      </c>
    </row>
    <row r="514" spans="1:39" s="1" customFormat="1" x14ac:dyDescent="0.25">
      <c r="A514" s="236" t="s">
        <v>331</v>
      </c>
      <c r="B514" s="1">
        <v>1</v>
      </c>
      <c r="C514" s="1" t="s">
        <v>418</v>
      </c>
      <c r="D514" s="67">
        <v>39017</v>
      </c>
      <c r="E514" s="174">
        <f t="shared" si="169"/>
        <v>2567</v>
      </c>
      <c r="G514" s="13">
        <v>41291</v>
      </c>
      <c r="H514" s="13">
        <f t="shared" ref="H514:H518" si="177">G513</f>
        <v>41184</v>
      </c>
      <c r="I514" s="13">
        <v>41584</v>
      </c>
      <c r="J514" s="13"/>
      <c r="K514" s="1">
        <f t="shared" si="174"/>
        <v>2274</v>
      </c>
      <c r="L514" s="1">
        <f t="shared" si="175"/>
        <v>107</v>
      </c>
      <c r="M514" s="1">
        <f t="shared" si="176"/>
        <v>293</v>
      </c>
      <c r="O514" s="1" t="s">
        <v>417</v>
      </c>
      <c r="P514" s="4">
        <v>5.1100000000000003</v>
      </c>
      <c r="S514" s="1">
        <f t="shared" si="145"/>
        <v>1</v>
      </c>
      <c r="T514" s="1">
        <f t="shared" si="146"/>
        <v>1</v>
      </c>
      <c r="Z514" s="57"/>
      <c r="AA514" s="4">
        <v>86</v>
      </c>
      <c r="AB514" s="57"/>
      <c r="AC514" s="1">
        <v>0</v>
      </c>
      <c r="AD514" s="98">
        <v>0</v>
      </c>
      <c r="AE514" s="172">
        <v>60</v>
      </c>
      <c r="AF514" s="1" t="s">
        <v>434</v>
      </c>
      <c r="AI514" s="4">
        <v>2.5</v>
      </c>
      <c r="AJ514" s="4">
        <v>0.35</v>
      </c>
      <c r="AM514" s="1">
        <v>0</v>
      </c>
    </row>
    <row r="515" spans="1:39" s="1" customFormat="1" x14ac:dyDescent="0.25">
      <c r="A515" s="236" t="s">
        <v>331</v>
      </c>
      <c r="B515" s="1">
        <v>1</v>
      </c>
      <c r="C515" s="1" t="s">
        <v>418</v>
      </c>
      <c r="D515" s="67">
        <v>39017</v>
      </c>
      <c r="E515" s="174">
        <f t="shared" si="169"/>
        <v>2567</v>
      </c>
      <c r="G515" s="13">
        <v>41494</v>
      </c>
      <c r="H515" s="13">
        <f t="shared" si="177"/>
        <v>41291</v>
      </c>
      <c r="I515" s="13">
        <v>41584</v>
      </c>
      <c r="J515" s="13"/>
      <c r="K515" s="1">
        <f t="shared" si="174"/>
        <v>2477</v>
      </c>
      <c r="L515" s="1">
        <f t="shared" si="175"/>
        <v>203</v>
      </c>
      <c r="M515" s="1">
        <f t="shared" si="176"/>
        <v>90</v>
      </c>
      <c r="O515" s="1" t="s">
        <v>417</v>
      </c>
      <c r="P515" s="4">
        <v>5.01</v>
      </c>
      <c r="T515" s="1">
        <f t="shared" si="146"/>
        <v>1</v>
      </c>
      <c r="Z515" s="57"/>
      <c r="AA515" s="4">
        <v>84</v>
      </c>
      <c r="AB515" s="57"/>
      <c r="AC515" s="1">
        <v>0</v>
      </c>
      <c r="AD515" s="98">
        <v>0</v>
      </c>
      <c r="AE515" s="172">
        <v>60</v>
      </c>
      <c r="AF515" s="1" t="s">
        <v>434</v>
      </c>
      <c r="AI515" s="4">
        <v>2.5</v>
      </c>
      <c r="AJ515" s="4">
        <v>0.35</v>
      </c>
      <c r="AM515" s="1">
        <v>0</v>
      </c>
    </row>
    <row r="516" spans="1:39" s="1" customFormat="1" x14ac:dyDescent="0.25">
      <c r="A516" s="236" t="s">
        <v>331</v>
      </c>
      <c r="B516" s="1">
        <v>1</v>
      </c>
      <c r="C516" s="1" t="s">
        <v>418</v>
      </c>
      <c r="D516" s="67">
        <v>39017</v>
      </c>
      <c r="E516" s="174">
        <f t="shared" si="169"/>
        <v>2567</v>
      </c>
      <c r="G516" s="13">
        <v>41496</v>
      </c>
      <c r="H516" s="13">
        <f t="shared" si="177"/>
        <v>41494</v>
      </c>
      <c r="I516" s="13">
        <v>41584</v>
      </c>
      <c r="J516" s="13"/>
      <c r="K516" s="1">
        <f t="shared" si="174"/>
        <v>2479</v>
      </c>
      <c r="L516" s="1">
        <f t="shared" si="175"/>
        <v>2</v>
      </c>
      <c r="M516" s="1">
        <f t="shared" si="176"/>
        <v>88</v>
      </c>
      <c r="O516" s="1" t="s">
        <v>417</v>
      </c>
      <c r="P516" s="4">
        <v>5.01</v>
      </c>
      <c r="Z516" s="57"/>
      <c r="AA516" s="4">
        <v>74</v>
      </c>
      <c r="AB516" s="57"/>
      <c r="AC516" s="1">
        <v>20</v>
      </c>
      <c r="AD516" s="98">
        <v>0</v>
      </c>
      <c r="AE516" s="172">
        <v>60</v>
      </c>
      <c r="AF516" s="1" t="s">
        <v>434</v>
      </c>
      <c r="AI516" s="4">
        <v>2.5</v>
      </c>
      <c r="AJ516" s="4">
        <v>0.35</v>
      </c>
      <c r="AM516" s="1">
        <v>0</v>
      </c>
    </row>
    <row r="517" spans="1:39" s="1" customFormat="1" x14ac:dyDescent="0.25">
      <c r="A517" s="236" t="s">
        <v>331</v>
      </c>
      <c r="B517" s="1">
        <v>1</v>
      </c>
      <c r="C517" s="1" t="s">
        <v>418</v>
      </c>
      <c r="D517" s="67">
        <v>39017</v>
      </c>
      <c r="E517" s="174">
        <f t="shared" si="169"/>
        <v>2567</v>
      </c>
      <c r="G517" s="13">
        <v>41569</v>
      </c>
      <c r="H517" s="13">
        <f t="shared" si="177"/>
        <v>41496</v>
      </c>
      <c r="I517" s="13">
        <v>41584</v>
      </c>
      <c r="J517" s="13"/>
      <c r="K517" s="1">
        <f t="shared" si="174"/>
        <v>2552</v>
      </c>
      <c r="L517" s="1">
        <f t="shared" si="175"/>
        <v>73</v>
      </c>
      <c r="M517" s="1">
        <f t="shared" si="176"/>
        <v>15</v>
      </c>
      <c r="O517" s="1" t="s">
        <v>434</v>
      </c>
      <c r="P517" s="4">
        <v>4.45</v>
      </c>
      <c r="V517" s="1">
        <v>0</v>
      </c>
      <c r="W517" s="1">
        <v>0</v>
      </c>
      <c r="X517" s="1">
        <v>0</v>
      </c>
      <c r="Y517" s="1">
        <v>0</v>
      </c>
      <c r="Z517" s="57"/>
      <c r="AA517" s="4">
        <v>75</v>
      </c>
      <c r="AB517" s="57"/>
      <c r="AC517" s="1">
        <v>20</v>
      </c>
      <c r="AD517" s="98">
        <v>0</v>
      </c>
      <c r="AE517" s="172">
        <v>60</v>
      </c>
      <c r="AF517" s="1" t="s">
        <v>434</v>
      </c>
      <c r="AI517" s="4">
        <v>2.5</v>
      </c>
      <c r="AJ517" s="4">
        <v>0.35</v>
      </c>
      <c r="AM517" s="1">
        <v>0</v>
      </c>
    </row>
    <row r="518" spans="1:39" s="1" customFormat="1" x14ac:dyDescent="0.25">
      <c r="A518" s="236" t="s">
        <v>331</v>
      </c>
      <c r="B518" s="1">
        <v>1</v>
      </c>
      <c r="C518" s="1" t="s">
        <v>418</v>
      </c>
      <c r="D518" s="67">
        <v>39017</v>
      </c>
      <c r="E518" s="174">
        <f t="shared" si="169"/>
        <v>2567</v>
      </c>
      <c r="G518" s="13">
        <v>41584</v>
      </c>
      <c r="H518" s="13">
        <f t="shared" si="177"/>
        <v>41569</v>
      </c>
      <c r="I518" s="13">
        <v>41584</v>
      </c>
      <c r="J518" s="13"/>
      <c r="K518" s="1">
        <f t="shared" si="174"/>
        <v>2567</v>
      </c>
      <c r="L518" s="1">
        <f t="shared" si="175"/>
        <v>15</v>
      </c>
      <c r="M518" s="1">
        <f t="shared" si="176"/>
        <v>0</v>
      </c>
      <c r="O518" s="1" t="s">
        <v>434</v>
      </c>
      <c r="P518" s="4">
        <v>4.4400000000000004</v>
      </c>
      <c r="Z518" s="57"/>
      <c r="AA518" s="4">
        <v>62</v>
      </c>
      <c r="AB518" s="57"/>
      <c r="AC518" s="1">
        <v>0</v>
      </c>
      <c r="AD518" s="98">
        <v>0</v>
      </c>
      <c r="AE518" s="172">
        <v>60</v>
      </c>
      <c r="AF518" s="1" t="s">
        <v>434</v>
      </c>
      <c r="AI518" s="4">
        <v>2.5</v>
      </c>
      <c r="AJ518" s="4">
        <v>0.35</v>
      </c>
      <c r="AM518" s="1">
        <v>0</v>
      </c>
    </row>
    <row r="519" spans="1:39" s="1" customFormat="1" x14ac:dyDescent="0.25">
      <c r="A519" s="237" t="s">
        <v>339</v>
      </c>
      <c r="B519" s="1">
        <v>2</v>
      </c>
      <c r="C519" s="1" t="s">
        <v>418</v>
      </c>
      <c r="D519" s="238">
        <v>38796</v>
      </c>
      <c r="E519" s="174">
        <f t="shared" si="169"/>
        <v>2689</v>
      </c>
      <c r="G519" s="61">
        <v>40730</v>
      </c>
      <c r="H519" s="238">
        <v>38796</v>
      </c>
      <c r="I519" s="13">
        <v>41485</v>
      </c>
      <c r="J519" s="13"/>
      <c r="K519" s="1">
        <f t="shared" si="174"/>
        <v>1934</v>
      </c>
      <c r="L519" s="1">
        <f t="shared" si="175"/>
        <v>1934</v>
      </c>
      <c r="M519" s="1">
        <f t="shared" si="176"/>
        <v>755</v>
      </c>
      <c r="O519" s="1" t="s">
        <v>417</v>
      </c>
      <c r="P519" s="57">
        <v>5.18</v>
      </c>
      <c r="Q519" s="1">
        <f t="shared" ref="Q519" si="178">IF(M519&gt;=540,1,"nulo")</f>
        <v>1</v>
      </c>
      <c r="R519" s="1">
        <f t="shared" ref="R519:R521" si="179">IF(M519&gt;=360,1,"nulo")</f>
        <v>1</v>
      </c>
      <c r="S519" s="1">
        <f t="shared" ref="S519:S523" si="180">IF(M519&gt;=180,1,"nulo")</f>
        <v>1</v>
      </c>
      <c r="T519" s="1">
        <f t="shared" ref="T519:T524" si="181">IF(M519&gt;=90,1,"nulo")</f>
        <v>1</v>
      </c>
      <c r="U519" s="1" t="s">
        <v>437</v>
      </c>
      <c r="Z519" s="57">
        <v>77</v>
      </c>
      <c r="AA519" s="57">
        <v>100</v>
      </c>
      <c r="AB519" s="57"/>
      <c r="AC519" s="1">
        <v>0</v>
      </c>
      <c r="AD519" s="98">
        <v>0</v>
      </c>
      <c r="AE519" s="172">
        <v>60</v>
      </c>
      <c r="AF519" s="1" t="s">
        <v>417</v>
      </c>
      <c r="AG519" s="57">
        <v>2.5</v>
      </c>
      <c r="AH519" s="57">
        <v>0.35</v>
      </c>
      <c r="AI519" s="57">
        <v>2.5</v>
      </c>
      <c r="AJ519" s="57">
        <v>0.35</v>
      </c>
      <c r="AM519" s="1">
        <v>0</v>
      </c>
    </row>
    <row r="520" spans="1:39" s="1" customFormat="1" x14ac:dyDescent="0.25">
      <c r="A520" s="237" t="s">
        <v>339</v>
      </c>
      <c r="B520" s="1">
        <v>2</v>
      </c>
      <c r="C520" s="1" t="s">
        <v>418</v>
      </c>
      <c r="D520" s="238">
        <v>38796</v>
      </c>
      <c r="E520" s="174">
        <f t="shared" si="169"/>
        <v>2689</v>
      </c>
      <c r="G520" s="13">
        <v>40946</v>
      </c>
      <c r="H520" s="13">
        <f>G519</f>
        <v>40730</v>
      </c>
      <c r="I520" s="13">
        <v>41485</v>
      </c>
      <c r="J520" s="13"/>
      <c r="K520" s="1">
        <f t="shared" si="174"/>
        <v>2150</v>
      </c>
      <c r="L520" s="1">
        <f t="shared" si="175"/>
        <v>216</v>
      </c>
      <c r="M520" s="1">
        <f t="shared" si="176"/>
        <v>539</v>
      </c>
      <c r="O520" s="1" t="s">
        <v>417</v>
      </c>
      <c r="P520" s="4">
        <v>5.16</v>
      </c>
      <c r="R520" s="1">
        <f t="shared" si="179"/>
        <v>1</v>
      </c>
      <c r="S520" s="1">
        <f t="shared" si="180"/>
        <v>1</v>
      </c>
      <c r="T520" s="1">
        <f t="shared" si="181"/>
        <v>1</v>
      </c>
      <c r="Z520" s="4">
        <v>55</v>
      </c>
      <c r="AA520" s="4">
        <v>100</v>
      </c>
      <c r="AB520" s="57"/>
      <c r="AC520" s="1">
        <v>0</v>
      </c>
      <c r="AD520" s="98">
        <v>0</v>
      </c>
      <c r="AE520" s="172">
        <v>60</v>
      </c>
      <c r="AF520" s="1" t="s">
        <v>417</v>
      </c>
      <c r="AG520" s="4">
        <v>2.5</v>
      </c>
      <c r="AH520" s="4">
        <v>0.35</v>
      </c>
      <c r="AI520" s="4">
        <v>2.5</v>
      </c>
      <c r="AJ520" s="4">
        <v>0.35</v>
      </c>
      <c r="AM520" s="1">
        <v>0</v>
      </c>
    </row>
    <row r="521" spans="1:39" s="1" customFormat="1" x14ac:dyDescent="0.25">
      <c r="A521" s="237" t="s">
        <v>339</v>
      </c>
      <c r="B521" s="1">
        <v>2</v>
      </c>
      <c r="C521" s="1" t="s">
        <v>418</v>
      </c>
      <c r="D521" s="238">
        <v>38796</v>
      </c>
      <c r="E521" s="174">
        <f t="shared" si="169"/>
        <v>2689</v>
      </c>
      <c r="G521" s="13">
        <v>41009</v>
      </c>
      <c r="H521" s="13">
        <f t="shared" ref="H521:H525" si="182">G520</f>
        <v>40946</v>
      </c>
      <c r="I521" s="13">
        <v>41485</v>
      </c>
      <c r="J521" s="13"/>
      <c r="K521" s="1">
        <f t="shared" si="174"/>
        <v>2213</v>
      </c>
      <c r="L521" s="1">
        <f t="shared" si="175"/>
        <v>63</v>
      </c>
      <c r="M521" s="1">
        <f t="shared" si="176"/>
        <v>476</v>
      </c>
      <c r="O521" s="1" t="s">
        <v>417</v>
      </c>
      <c r="P521" s="4">
        <v>5.16</v>
      </c>
      <c r="R521" s="1">
        <f t="shared" si="179"/>
        <v>1</v>
      </c>
      <c r="S521" s="1">
        <f t="shared" si="180"/>
        <v>1</v>
      </c>
      <c r="T521" s="1">
        <f t="shared" si="181"/>
        <v>1</v>
      </c>
      <c r="Z521" s="4">
        <v>41</v>
      </c>
      <c r="AA521" s="4">
        <v>99</v>
      </c>
      <c r="AB521" s="57"/>
      <c r="AC521" s="1">
        <v>0</v>
      </c>
      <c r="AD521" s="98">
        <v>0</v>
      </c>
      <c r="AE521" s="172">
        <v>60</v>
      </c>
      <c r="AF521" s="1" t="s">
        <v>417</v>
      </c>
      <c r="AG521" s="4">
        <v>2.5</v>
      </c>
      <c r="AH521" s="4">
        <v>0.35</v>
      </c>
      <c r="AI521" s="4">
        <v>2.5</v>
      </c>
      <c r="AJ521" s="4">
        <v>0.35</v>
      </c>
      <c r="AM521" s="1">
        <v>0</v>
      </c>
    </row>
    <row r="522" spans="1:39" s="1" customFormat="1" x14ac:dyDescent="0.25">
      <c r="A522" s="237" t="s">
        <v>339</v>
      </c>
      <c r="B522" s="1">
        <v>2</v>
      </c>
      <c r="C522" s="1" t="s">
        <v>418</v>
      </c>
      <c r="D522" s="238">
        <v>38796</v>
      </c>
      <c r="E522" s="174">
        <f t="shared" si="169"/>
        <v>2689</v>
      </c>
      <c r="G522" s="13">
        <v>41144</v>
      </c>
      <c r="H522" s="13">
        <f t="shared" si="182"/>
        <v>41009</v>
      </c>
      <c r="I522" s="13">
        <v>41485</v>
      </c>
      <c r="J522" s="13"/>
      <c r="K522" s="1">
        <f t="shared" si="174"/>
        <v>2348</v>
      </c>
      <c r="L522" s="1">
        <f t="shared" si="175"/>
        <v>135</v>
      </c>
      <c r="M522" s="1">
        <f t="shared" si="176"/>
        <v>341</v>
      </c>
      <c r="O522" s="1" t="s">
        <v>417</v>
      </c>
      <c r="P522" s="4">
        <v>5.12</v>
      </c>
      <c r="S522" s="1">
        <f t="shared" si="180"/>
        <v>1</v>
      </c>
      <c r="T522" s="1">
        <f t="shared" si="181"/>
        <v>1</v>
      </c>
      <c r="Z522" s="4">
        <v>42</v>
      </c>
      <c r="AA522" s="4">
        <v>100</v>
      </c>
      <c r="AB522" s="57"/>
      <c r="AC522" s="1">
        <v>0</v>
      </c>
      <c r="AD522" s="98">
        <v>0</v>
      </c>
      <c r="AE522" s="172">
        <v>60</v>
      </c>
      <c r="AF522" s="1" t="s">
        <v>417</v>
      </c>
      <c r="AG522" s="4">
        <v>2.5</v>
      </c>
      <c r="AH522" s="4">
        <v>0.35</v>
      </c>
      <c r="AI522" s="4">
        <v>2.5</v>
      </c>
      <c r="AJ522" s="4">
        <v>0.35</v>
      </c>
      <c r="AM522" s="1">
        <v>0</v>
      </c>
    </row>
    <row r="523" spans="1:39" s="1" customFormat="1" x14ac:dyDescent="0.25">
      <c r="A523" s="237" t="s">
        <v>339</v>
      </c>
      <c r="B523" s="1">
        <v>2</v>
      </c>
      <c r="C523" s="1" t="s">
        <v>418</v>
      </c>
      <c r="D523" s="238">
        <v>38796</v>
      </c>
      <c r="E523" s="174">
        <f t="shared" si="169"/>
        <v>2689</v>
      </c>
      <c r="G523" s="13">
        <v>41240</v>
      </c>
      <c r="H523" s="13">
        <f t="shared" si="182"/>
        <v>41144</v>
      </c>
      <c r="I523" s="13">
        <v>41485</v>
      </c>
      <c r="J523" s="13"/>
      <c r="K523" s="1">
        <f t="shared" si="174"/>
        <v>2444</v>
      </c>
      <c r="L523" s="1">
        <f t="shared" si="175"/>
        <v>96</v>
      </c>
      <c r="M523" s="1">
        <f t="shared" si="176"/>
        <v>245</v>
      </c>
      <c r="O523" s="1" t="s">
        <v>417</v>
      </c>
      <c r="P523" s="4">
        <v>5.05</v>
      </c>
      <c r="S523" s="1">
        <f t="shared" si="180"/>
        <v>1</v>
      </c>
      <c r="T523" s="1">
        <f t="shared" si="181"/>
        <v>1</v>
      </c>
      <c r="Z523" s="4">
        <v>65</v>
      </c>
      <c r="AA523" s="4">
        <v>100</v>
      </c>
      <c r="AB523" s="57"/>
      <c r="AC523" s="1">
        <v>0</v>
      </c>
      <c r="AD523" s="98">
        <v>0</v>
      </c>
      <c r="AE523" s="172">
        <v>60</v>
      </c>
      <c r="AF523" s="1" t="s">
        <v>417</v>
      </c>
      <c r="AG523" s="4">
        <v>2.5</v>
      </c>
      <c r="AH523" s="4">
        <v>0.35</v>
      </c>
      <c r="AI523" s="4">
        <v>2.5</v>
      </c>
      <c r="AJ523" s="4">
        <v>0.35</v>
      </c>
      <c r="AM523" s="1">
        <v>0</v>
      </c>
    </row>
    <row r="524" spans="1:39" s="1" customFormat="1" x14ac:dyDescent="0.25">
      <c r="A524" s="237" t="s">
        <v>339</v>
      </c>
      <c r="B524" s="1">
        <v>2</v>
      </c>
      <c r="C524" s="1" t="s">
        <v>418</v>
      </c>
      <c r="D524" s="238">
        <v>38796</v>
      </c>
      <c r="E524" s="174">
        <f t="shared" si="169"/>
        <v>2689</v>
      </c>
      <c r="G524" s="13">
        <v>41352</v>
      </c>
      <c r="H524" s="13">
        <f t="shared" si="182"/>
        <v>41240</v>
      </c>
      <c r="I524" s="13">
        <v>41485</v>
      </c>
      <c r="J524" s="13"/>
      <c r="K524" s="1">
        <f t="shared" si="174"/>
        <v>2556</v>
      </c>
      <c r="L524" s="1">
        <f t="shared" si="175"/>
        <v>112</v>
      </c>
      <c r="M524" s="1">
        <f t="shared" si="176"/>
        <v>133</v>
      </c>
      <c r="O524" s="1" t="s">
        <v>434</v>
      </c>
      <c r="P524" s="4">
        <v>4.8600000000000003</v>
      </c>
      <c r="T524" s="1">
        <f t="shared" si="181"/>
        <v>1</v>
      </c>
      <c r="Z524" s="4">
        <v>41</v>
      </c>
      <c r="AA524" s="4">
        <v>100</v>
      </c>
      <c r="AB524" s="57"/>
      <c r="AC524" s="1">
        <v>0</v>
      </c>
      <c r="AD524" s="98">
        <v>0</v>
      </c>
      <c r="AE524" s="172">
        <v>60</v>
      </c>
      <c r="AF524" s="1" t="s">
        <v>417</v>
      </c>
      <c r="AG524" s="4">
        <v>2.5</v>
      </c>
      <c r="AH524" s="4">
        <v>0.35</v>
      </c>
      <c r="AI524" s="4">
        <v>2.5</v>
      </c>
      <c r="AJ524" s="4">
        <v>0.35</v>
      </c>
      <c r="AM524" s="1">
        <v>0</v>
      </c>
    </row>
    <row r="525" spans="1:39" s="1" customFormat="1" x14ac:dyDescent="0.25">
      <c r="A525" s="237" t="s">
        <v>339</v>
      </c>
      <c r="B525" s="1">
        <v>2</v>
      </c>
      <c r="C525" s="1" t="s">
        <v>418</v>
      </c>
      <c r="D525" s="238">
        <v>38796</v>
      </c>
      <c r="E525" s="174">
        <f t="shared" si="169"/>
        <v>2689</v>
      </c>
      <c r="G525" s="13">
        <v>41485</v>
      </c>
      <c r="H525" s="13">
        <f t="shared" si="182"/>
        <v>41352</v>
      </c>
      <c r="I525" s="13">
        <v>41485</v>
      </c>
      <c r="J525" s="13"/>
      <c r="K525" s="1">
        <f t="shared" si="174"/>
        <v>2689</v>
      </c>
      <c r="L525" s="1">
        <f t="shared" si="175"/>
        <v>133</v>
      </c>
      <c r="M525" s="1">
        <f t="shared" si="176"/>
        <v>0</v>
      </c>
      <c r="O525" s="1" t="s">
        <v>434</v>
      </c>
      <c r="P525" s="4">
        <v>4.58</v>
      </c>
      <c r="V525" s="1">
        <v>0</v>
      </c>
      <c r="W525" s="1">
        <v>0</v>
      </c>
      <c r="X525" s="1">
        <v>0</v>
      </c>
      <c r="Y525" s="1">
        <v>1</v>
      </c>
      <c r="Z525" s="4">
        <v>65</v>
      </c>
      <c r="AA525" s="4">
        <v>100</v>
      </c>
      <c r="AB525" s="57"/>
      <c r="AC525" s="1">
        <v>0</v>
      </c>
      <c r="AD525" s="98">
        <v>0</v>
      </c>
      <c r="AE525" s="172">
        <v>60</v>
      </c>
      <c r="AF525" s="1" t="s">
        <v>417</v>
      </c>
      <c r="AG525" s="4">
        <v>2.5</v>
      </c>
      <c r="AH525" s="4">
        <v>0.35</v>
      </c>
      <c r="AI525" s="4">
        <v>2.5</v>
      </c>
      <c r="AJ525" s="4">
        <v>0.35</v>
      </c>
      <c r="AM525" s="1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2"/>
  <sheetViews>
    <sheetView topLeftCell="P358" workbookViewId="0">
      <selection activeCell="D399" sqref="D399"/>
    </sheetView>
  </sheetViews>
  <sheetFormatPr baseColWidth="10" defaultRowHeight="12.5" x14ac:dyDescent="0.25"/>
  <cols>
    <col min="4" max="4" width="11.453125" style="169"/>
    <col min="6" max="6" width="20.453125" style="169" customWidth="1"/>
    <col min="7" max="8" width="11.453125" style="169"/>
  </cols>
  <sheetData>
    <row r="1" spans="1:38" ht="52" x14ac:dyDescent="0.25">
      <c r="A1" s="84" t="s">
        <v>0</v>
      </c>
      <c r="B1" s="85" t="s">
        <v>3</v>
      </c>
      <c r="C1" s="85" t="s">
        <v>4</v>
      </c>
      <c r="D1" s="186" t="s">
        <v>6</v>
      </c>
      <c r="E1" s="86" t="s">
        <v>427</v>
      </c>
      <c r="F1" s="86" t="s">
        <v>428</v>
      </c>
      <c r="G1" s="171" t="s">
        <v>9</v>
      </c>
      <c r="H1" s="171" t="s">
        <v>416</v>
      </c>
      <c r="I1" s="171" t="s">
        <v>425</v>
      </c>
      <c r="J1" s="171" t="s">
        <v>424</v>
      </c>
      <c r="K1" s="33" t="s">
        <v>386</v>
      </c>
      <c r="L1" s="33" t="s">
        <v>426</v>
      </c>
      <c r="M1" s="33" t="s">
        <v>405</v>
      </c>
      <c r="N1" s="33" t="s">
        <v>377</v>
      </c>
      <c r="O1" s="33" t="s">
        <v>11</v>
      </c>
      <c r="P1" s="33" t="s">
        <v>401</v>
      </c>
      <c r="Q1" s="33" t="s">
        <v>402</v>
      </c>
      <c r="R1" s="33" t="s">
        <v>403</v>
      </c>
      <c r="S1" s="33" t="s">
        <v>404</v>
      </c>
      <c r="T1" s="33" t="s">
        <v>429</v>
      </c>
      <c r="U1" s="33" t="s">
        <v>430</v>
      </c>
      <c r="V1" s="33" t="s">
        <v>431</v>
      </c>
      <c r="W1" s="33" t="s">
        <v>432</v>
      </c>
      <c r="X1" s="33" t="s">
        <v>396</v>
      </c>
      <c r="Y1" s="33" t="s">
        <v>397</v>
      </c>
      <c r="Z1" s="33" t="s">
        <v>398</v>
      </c>
      <c r="AA1" s="122" t="s">
        <v>394</v>
      </c>
      <c r="AB1" s="122" t="s">
        <v>393</v>
      </c>
      <c r="AC1" s="33" t="s">
        <v>435</v>
      </c>
      <c r="AD1" s="33" t="s">
        <v>399</v>
      </c>
      <c r="AE1" s="33" t="s">
        <v>19</v>
      </c>
      <c r="AF1" s="33" t="s">
        <v>20</v>
      </c>
      <c r="AG1" s="33" t="s">
        <v>21</v>
      </c>
      <c r="AH1" s="33" t="s">
        <v>22</v>
      </c>
      <c r="AI1" s="33" t="s">
        <v>23</v>
      </c>
      <c r="AJ1" s="33" t="s">
        <v>24</v>
      </c>
      <c r="AK1" s="84" t="s">
        <v>33</v>
      </c>
    </row>
    <row r="2" spans="1:38" x14ac:dyDescent="0.25">
      <c r="A2" s="179" t="s">
        <v>419</v>
      </c>
      <c r="B2" s="1">
        <v>2</v>
      </c>
      <c r="C2" s="1" t="s">
        <v>418</v>
      </c>
      <c r="D2" s="13">
        <v>39119</v>
      </c>
      <c r="E2" s="174">
        <f t="shared" ref="E2:E65" si="0">I2-D2</f>
        <v>2863</v>
      </c>
      <c r="F2" s="201"/>
      <c r="G2" s="13">
        <v>40687</v>
      </c>
      <c r="H2" s="13">
        <v>39119</v>
      </c>
      <c r="I2" s="13">
        <v>41982</v>
      </c>
      <c r="J2" s="13"/>
      <c r="K2" s="1">
        <f t="shared" ref="K2:K65" si="1">G2-D2</f>
        <v>1568</v>
      </c>
      <c r="L2" s="1">
        <f t="shared" ref="L2:L65" si="2">G2-H2</f>
        <v>1568</v>
      </c>
      <c r="M2" s="1">
        <f t="shared" ref="M2:M65" si="3">I2-G2</f>
        <v>1295</v>
      </c>
      <c r="N2" s="1" t="s">
        <v>417</v>
      </c>
      <c r="O2" s="1">
        <v>5.44</v>
      </c>
      <c r="P2" s="1">
        <f t="shared" ref="P2:P17" si="4">IF(M2&gt;=540,1,"nulo")</f>
        <v>1</v>
      </c>
      <c r="Q2" s="1">
        <f t="shared" ref="Q2:Q18" si="5">IF(M2&gt;=360,1,"nulo")</f>
        <v>1</v>
      </c>
      <c r="R2" s="1">
        <f t="shared" ref="R2:R19" si="6">IF(M2&gt;=180,1,"nulo")</f>
        <v>1</v>
      </c>
      <c r="S2" s="1">
        <f t="shared" ref="S2:S20" si="7">IF(M2&gt;=90,1,"nulo")</f>
        <v>1</v>
      </c>
      <c r="T2" s="1" t="s">
        <v>437</v>
      </c>
      <c r="U2" s="1"/>
      <c r="V2" s="1"/>
      <c r="W2" s="1"/>
      <c r="X2" s="1"/>
      <c r="Y2" s="98">
        <v>13</v>
      </c>
      <c r="Z2" s="98">
        <v>0</v>
      </c>
      <c r="AA2" s="1"/>
      <c r="AB2" s="1"/>
      <c r="AC2" s="1"/>
      <c r="AD2" s="172">
        <v>60</v>
      </c>
      <c r="AE2" s="1" t="s">
        <v>417</v>
      </c>
      <c r="AF2" s="1">
        <v>2</v>
      </c>
      <c r="AG2" s="98">
        <v>0.35</v>
      </c>
      <c r="AH2" s="172">
        <v>2.5</v>
      </c>
      <c r="AI2" s="172">
        <v>0.35</v>
      </c>
      <c r="AJ2" s="1"/>
      <c r="AK2" s="1"/>
      <c r="AL2" s="98">
        <v>0</v>
      </c>
    </row>
    <row r="3" spans="1:38" x14ac:dyDescent="0.25">
      <c r="A3" s="179" t="s">
        <v>419</v>
      </c>
      <c r="B3" s="1">
        <v>2</v>
      </c>
      <c r="C3" s="1" t="s">
        <v>418</v>
      </c>
      <c r="D3" s="13">
        <v>39119</v>
      </c>
      <c r="E3" s="174">
        <f t="shared" si="0"/>
        <v>2863</v>
      </c>
      <c r="F3" s="201"/>
      <c r="G3" s="13">
        <v>40890</v>
      </c>
      <c r="H3" s="13">
        <f>G2</f>
        <v>40687</v>
      </c>
      <c r="I3" s="13">
        <v>41982</v>
      </c>
      <c r="J3" s="13"/>
      <c r="K3" s="1">
        <f t="shared" si="1"/>
        <v>1771</v>
      </c>
      <c r="L3" s="1">
        <f t="shared" si="2"/>
        <v>203</v>
      </c>
      <c r="M3" s="1">
        <f t="shared" si="3"/>
        <v>1092</v>
      </c>
      <c r="N3" s="1" t="s">
        <v>417</v>
      </c>
      <c r="O3" s="1">
        <v>5.27</v>
      </c>
      <c r="P3" s="1">
        <f t="shared" si="4"/>
        <v>1</v>
      </c>
      <c r="Q3" s="1">
        <f t="shared" si="5"/>
        <v>1</v>
      </c>
      <c r="R3" s="1">
        <f t="shared" si="6"/>
        <v>1</v>
      </c>
      <c r="S3" s="1">
        <f t="shared" si="7"/>
        <v>1</v>
      </c>
      <c r="T3" s="1" t="s">
        <v>437</v>
      </c>
      <c r="U3" s="1"/>
      <c r="V3" s="1"/>
      <c r="W3" s="1"/>
      <c r="X3" s="1"/>
      <c r="Y3" s="98">
        <v>9</v>
      </c>
      <c r="Z3" s="98">
        <v>0</v>
      </c>
      <c r="AA3" s="1"/>
      <c r="AB3" s="1"/>
      <c r="AC3" s="1"/>
      <c r="AD3" s="172">
        <v>60</v>
      </c>
      <c r="AE3" s="1" t="s">
        <v>417</v>
      </c>
      <c r="AF3" s="1">
        <v>2</v>
      </c>
      <c r="AG3" s="98">
        <v>0.35</v>
      </c>
      <c r="AH3" s="172">
        <v>2.5</v>
      </c>
      <c r="AI3" s="172">
        <v>0.35</v>
      </c>
      <c r="AJ3" s="1"/>
      <c r="AK3" s="1"/>
      <c r="AL3" s="98">
        <v>0</v>
      </c>
    </row>
    <row r="4" spans="1:38" x14ac:dyDescent="0.25">
      <c r="A4" s="179" t="s">
        <v>419</v>
      </c>
      <c r="B4" s="1">
        <v>2</v>
      </c>
      <c r="C4" s="1" t="s">
        <v>418</v>
      </c>
      <c r="D4" s="13">
        <v>39119</v>
      </c>
      <c r="E4" s="174">
        <f t="shared" si="0"/>
        <v>2863</v>
      </c>
      <c r="F4" s="201"/>
      <c r="G4" s="13">
        <v>41212</v>
      </c>
      <c r="H4" s="13">
        <f t="shared" ref="H4:H10" si="8">G3</f>
        <v>40890</v>
      </c>
      <c r="I4" s="13">
        <v>41982</v>
      </c>
      <c r="J4" s="13"/>
      <c r="K4" s="1">
        <f t="shared" si="1"/>
        <v>2093</v>
      </c>
      <c r="L4" s="1">
        <f t="shared" si="2"/>
        <v>322</v>
      </c>
      <c r="M4" s="1">
        <f t="shared" si="3"/>
        <v>770</v>
      </c>
      <c r="N4" s="1" t="s">
        <v>417</v>
      </c>
      <c r="O4" s="1">
        <v>5.17</v>
      </c>
      <c r="P4" s="1">
        <f t="shared" si="4"/>
        <v>1</v>
      </c>
      <c r="Q4" s="1">
        <f t="shared" si="5"/>
        <v>1</v>
      </c>
      <c r="R4" s="1">
        <f t="shared" si="6"/>
        <v>1</v>
      </c>
      <c r="S4" s="1">
        <f t="shared" si="7"/>
        <v>1</v>
      </c>
      <c r="T4" s="1" t="s">
        <v>437</v>
      </c>
      <c r="U4" s="1"/>
      <c r="V4" s="1"/>
      <c r="W4" s="1"/>
      <c r="X4" s="1"/>
      <c r="Y4" s="98">
        <v>1</v>
      </c>
      <c r="Z4" s="98">
        <v>0</v>
      </c>
      <c r="AA4" s="1"/>
      <c r="AB4" s="1"/>
      <c r="AC4" s="1"/>
      <c r="AD4" s="172">
        <v>60</v>
      </c>
      <c r="AE4" s="1" t="s">
        <v>417</v>
      </c>
      <c r="AF4" s="1">
        <v>2</v>
      </c>
      <c r="AG4" s="98">
        <v>0.35</v>
      </c>
      <c r="AH4" s="172">
        <v>2.5</v>
      </c>
      <c r="AI4" s="172">
        <v>0.35</v>
      </c>
      <c r="AJ4" s="1"/>
      <c r="AK4" s="1"/>
      <c r="AL4" s="98">
        <v>0</v>
      </c>
    </row>
    <row r="5" spans="1:38" x14ac:dyDescent="0.25">
      <c r="A5" s="179" t="s">
        <v>419</v>
      </c>
      <c r="B5" s="1">
        <v>2</v>
      </c>
      <c r="C5" s="1" t="s">
        <v>418</v>
      </c>
      <c r="D5" s="13">
        <v>39119</v>
      </c>
      <c r="E5" s="174">
        <f t="shared" si="0"/>
        <v>2863</v>
      </c>
      <c r="F5" s="201"/>
      <c r="G5" s="13">
        <v>41394</v>
      </c>
      <c r="H5" s="13">
        <f t="shared" si="8"/>
        <v>41212</v>
      </c>
      <c r="I5" s="13">
        <v>41982</v>
      </c>
      <c r="J5" s="13"/>
      <c r="K5" s="1">
        <f t="shared" si="1"/>
        <v>2275</v>
      </c>
      <c r="L5" s="1">
        <f t="shared" si="2"/>
        <v>182</v>
      </c>
      <c r="M5" s="1">
        <f t="shared" si="3"/>
        <v>588</v>
      </c>
      <c r="N5" s="1" t="s">
        <v>417</v>
      </c>
      <c r="O5" s="1">
        <v>5.15</v>
      </c>
      <c r="P5" s="1">
        <f t="shared" si="4"/>
        <v>1</v>
      </c>
      <c r="Q5" s="1">
        <f t="shared" si="5"/>
        <v>1</v>
      </c>
      <c r="R5" s="1">
        <f t="shared" si="6"/>
        <v>1</v>
      </c>
      <c r="S5" s="1">
        <f t="shared" si="7"/>
        <v>1</v>
      </c>
      <c r="T5" s="1" t="s">
        <v>437</v>
      </c>
      <c r="U5" s="1"/>
      <c r="V5" s="1"/>
      <c r="W5" s="1"/>
      <c r="X5" s="1"/>
      <c r="Y5" s="98">
        <v>2</v>
      </c>
      <c r="Z5" s="98">
        <v>0</v>
      </c>
      <c r="AA5" s="1"/>
      <c r="AB5" s="1"/>
      <c r="AC5" s="1"/>
      <c r="AD5" s="172">
        <v>60</v>
      </c>
      <c r="AE5" s="1" t="s">
        <v>417</v>
      </c>
      <c r="AF5" s="1">
        <v>2</v>
      </c>
      <c r="AG5" s="98">
        <v>0.35</v>
      </c>
      <c r="AH5" s="172">
        <v>2.5</v>
      </c>
      <c r="AI5" s="172">
        <v>0.35</v>
      </c>
      <c r="AJ5" s="1"/>
      <c r="AK5" s="1"/>
      <c r="AL5" s="98">
        <v>0</v>
      </c>
    </row>
    <row r="6" spans="1:38" x14ac:dyDescent="0.25">
      <c r="A6" s="179" t="s">
        <v>419</v>
      </c>
      <c r="B6" s="1">
        <v>2</v>
      </c>
      <c r="C6" s="1" t="s">
        <v>418</v>
      </c>
      <c r="D6" s="13">
        <v>39119</v>
      </c>
      <c r="E6" s="174">
        <f t="shared" si="0"/>
        <v>2863</v>
      </c>
      <c r="F6" s="201"/>
      <c r="G6" s="13">
        <v>41506</v>
      </c>
      <c r="H6" s="13">
        <f t="shared" si="8"/>
        <v>41394</v>
      </c>
      <c r="I6" s="13">
        <v>41982</v>
      </c>
      <c r="J6" s="13"/>
      <c r="K6" s="1">
        <f t="shared" si="1"/>
        <v>2387</v>
      </c>
      <c r="L6" s="1">
        <f t="shared" si="2"/>
        <v>112</v>
      </c>
      <c r="M6" s="1">
        <f t="shared" si="3"/>
        <v>476</v>
      </c>
      <c r="N6" s="1" t="s">
        <v>417</v>
      </c>
      <c r="O6" s="1">
        <v>5.14</v>
      </c>
      <c r="P6" s="1"/>
      <c r="Q6" s="1">
        <f t="shared" si="5"/>
        <v>1</v>
      </c>
      <c r="R6" s="1">
        <f t="shared" si="6"/>
        <v>1</v>
      </c>
      <c r="S6" s="1">
        <f t="shared" si="7"/>
        <v>1</v>
      </c>
      <c r="T6" s="1" t="s">
        <v>442</v>
      </c>
      <c r="U6" s="1"/>
      <c r="V6" s="1"/>
      <c r="W6" s="1"/>
      <c r="X6" s="1"/>
      <c r="Y6" s="98">
        <v>2</v>
      </c>
      <c r="Z6" s="98">
        <v>0</v>
      </c>
      <c r="AA6" s="1"/>
      <c r="AB6" s="1"/>
      <c r="AC6" s="1"/>
      <c r="AD6" s="172">
        <v>60</v>
      </c>
      <c r="AE6" s="1" t="s">
        <v>417</v>
      </c>
      <c r="AF6" s="1">
        <v>2</v>
      </c>
      <c r="AG6" s="98">
        <v>0.35</v>
      </c>
      <c r="AH6" s="172">
        <v>2.5</v>
      </c>
      <c r="AI6" s="172">
        <v>0.35</v>
      </c>
      <c r="AJ6" s="1"/>
      <c r="AK6" s="1"/>
      <c r="AL6" s="98">
        <v>0</v>
      </c>
    </row>
    <row r="7" spans="1:38" x14ac:dyDescent="0.25">
      <c r="A7" s="179" t="s">
        <v>419</v>
      </c>
      <c r="B7" s="1">
        <v>2</v>
      </c>
      <c r="C7" s="1" t="s">
        <v>418</v>
      </c>
      <c r="D7" s="13">
        <v>39119</v>
      </c>
      <c r="E7" s="174">
        <f t="shared" si="0"/>
        <v>2863</v>
      </c>
      <c r="F7" s="201"/>
      <c r="G7" s="13">
        <v>41596</v>
      </c>
      <c r="H7" s="13">
        <f t="shared" si="8"/>
        <v>41506</v>
      </c>
      <c r="I7" s="13">
        <v>41982</v>
      </c>
      <c r="J7" s="13"/>
      <c r="K7" s="1">
        <f t="shared" si="1"/>
        <v>2477</v>
      </c>
      <c r="L7" s="1">
        <f t="shared" si="2"/>
        <v>90</v>
      </c>
      <c r="M7" s="1">
        <f t="shared" si="3"/>
        <v>386</v>
      </c>
      <c r="N7" s="1" t="s">
        <v>417</v>
      </c>
      <c r="O7" s="1">
        <v>5.13</v>
      </c>
      <c r="P7" s="1"/>
      <c r="Q7" s="1">
        <f t="shared" si="5"/>
        <v>1</v>
      </c>
      <c r="R7" s="1">
        <f t="shared" si="6"/>
        <v>1</v>
      </c>
      <c r="S7" s="1">
        <f t="shared" si="7"/>
        <v>1</v>
      </c>
      <c r="T7" s="1" t="s">
        <v>442</v>
      </c>
      <c r="U7" s="1"/>
      <c r="V7" s="1"/>
      <c r="W7" s="1"/>
      <c r="X7" s="1"/>
      <c r="Y7" s="98">
        <v>6</v>
      </c>
      <c r="Z7" s="98">
        <v>0</v>
      </c>
      <c r="AA7" s="1"/>
      <c r="AB7" s="1"/>
      <c r="AC7" s="1"/>
      <c r="AD7" s="172">
        <v>60</v>
      </c>
      <c r="AE7" s="1" t="s">
        <v>417</v>
      </c>
      <c r="AF7" s="1">
        <v>2</v>
      </c>
      <c r="AG7" s="98">
        <v>0.35</v>
      </c>
      <c r="AH7" s="172">
        <v>2.5</v>
      </c>
      <c r="AI7" s="172">
        <v>0.35</v>
      </c>
      <c r="AJ7" s="1"/>
      <c r="AK7" s="1"/>
      <c r="AL7" s="98">
        <v>0</v>
      </c>
    </row>
    <row r="8" spans="1:38" x14ac:dyDescent="0.25">
      <c r="A8" s="179" t="s">
        <v>419</v>
      </c>
      <c r="B8" s="1">
        <v>2</v>
      </c>
      <c r="C8" s="1" t="s">
        <v>418</v>
      </c>
      <c r="D8" s="13">
        <v>39119</v>
      </c>
      <c r="E8" s="174">
        <f t="shared" si="0"/>
        <v>2863</v>
      </c>
      <c r="F8" s="201"/>
      <c r="G8" s="13">
        <v>41701</v>
      </c>
      <c r="H8" s="13">
        <f t="shared" si="8"/>
        <v>41596</v>
      </c>
      <c r="I8" s="13">
        <v>41982</v>
      </c>
      <c r="J8" s="13"/>
      <c r="K8" s="1">
        <f t="shared" si="1"/>
        <v>2582</v>
      </c>
      <c r="L8" s="1">
        <f t="shared" si="2"/>
        <v>105</v>
      </c>
      <c r="M8" s="1">
        <f t="shared" si="3"/>
        <v>281</v>
      </c>
      <c r="N8" s="1" t="s">
        <v>417</v>
      </c>
      <c r="O8" s="1">
        <v>5.13</v>
      </c>
      <c r="P8" s="1"/>
      <c r="Q8" s="1"/>
      <c r="R8" s="1">
        <f t="shared" si="6"/>
        <v>1</v>
      </c>
      <c r="S8" s="1">
        <f t="shared" si="7"/>
        <v>1</v>
      </c>
      <c r="T8" s="1" t="s">
        <v>442</v>
      </c>
      <c r="U8" s="1"/>
      <c r="V8" s="1"/>
      <c r="W8" s="1"/>
      <c r="X8" s="1"/>
      <c r="Y8" s="98">
        <v>4</v>
      </c>
      <c r="Z8" s="98">
        <v>0</v>
      </c>
      <c r="AA8" s="1"/>
      <c r="AB8" s="1"/>
      <c r="AC8" s="1"/>
      <c r="AD8" s="172">
        <v>60</v>
      </c>
      <c r="AE8" s="1" t="s">
        <v>417</v>
      </c>
      <c r="AF8" s="1">
        <v>2</v>
      </c>
      <c r="AG8" s="98">
        <v>0.35</v>
      </c>
      <c r="AH8" s="172">
        <v>2.5</v>
      </c>
      <c r="AI8" s="172">
        <v>0.35</v>
      </c>
      <c r="AJ8" s="1"/>
      <c r="AK8" s="1"/>
      <c r="AL8" s="98">
        <v>0</v>
      </c>
    </row>
    <row r="9" spans="1:38" x14ac:dyDescent="0.25">
      <c r="A9" s="179" t="s">
        <v>419</v>
      </c>
      <c r="B9" s="1">
        <v>2</v>
      </c>
      <c r="C9" s="1" t="s">
        <v>418</v>
      </c>
      <c r="D9" s="13">
        <v>39119</v>
      </c>
      <c r="E9" s="174">
        <f t="shared" si="0"/>
        <v>2863</v>
      </c>
      <c r="F9" s="201"/>
      <c r="G9" s="13">
        <v>41799</v>
      </c>
      <c r="H9" s="13">
        <f t="shared" si="8"/>
        <v>41701</v>
      </c>
      <c r="I9" s="13">
        <v>41982</v>
      </c>
      <c r="J9" s="13"/>
      <c r="K9" s="1">
        <f t="shared" si="1"/>
        <v>2680</v>
      </c>
      <c r="L9" s="1">
        <f t="shared" si="2"/>
        <v>98</v>
      </c>
      <c r="M9" s="1">
        <f t="shared" si="3"/>
        <v>183</v>
      </c>
      <c r="N9" s="1" t="s">
        <v>417</v>
      </c>
      <c r="O9" s="1">
        <v>5.07</v>
      </c>
      <c r="P9" s="1"/>
      <c r="Q9" s="1"/>
      <c r="R9" s="1">
        <f t="shared" si="6"/>
        <v>1</v>
      </c>
      <c r="S9" s="1">
        <f t="shared" si="7"/>
        <v>1</v>
      </c>
      <c r="T9" s="1" t="s">
        <v>442</v>
      </c>
      <c r="U9" s="1"/>
      <c r="V9" s="1"/>
      <c r="W9" s="1"/>
      <c r="X9" s="1"/>
      <c r="Y9" s="98">
        <v>3</v>
      </c>
      <c r="Z9" s="98">
        <v>0</v>
      </c>
      <c r="AA9" s="1"/>
      <c r="AB9" s="1"/>
      <c r="AC9" s="1"/>
      <c r="AD9" s="172">
        <v>60</v>
      </c>
      <c r="AE9" s="1" t="s">
        <v>417</v>
      </c>
      <c r="AF9" s="1">
        <v>2</v>
      </c>
      <c r="AG9" s="98">
        <v>0.35</v>
      </c>
      <c r="AH9" s="172">
        <v>2.5</v>
      </c>
      <c r="AI9" s="172">
        <v>0.35</v>
      </c>
      <c r="AJ9" s="1"/>
      <c r="AK9" s="1"/>
      <c r="AL9" s="98">
        <v>0</v>
      </c>
    </row>
    <row r="10" spans="1:38" x14ac:dyDescent="0.25">
      <c r="A10" s="179" t="s">
        <v>419</v>
      </c>
      <c r="B10" s="1">
        <v>2</v>
      </c>
      <c r="C10" s="1" t="s">
        <v>418</v>
      </c>
      <c r="D10" s="13">
        <v>39119</v>
      </c>
      <c r="E10" s="174">
        <f t="shared" si="0"/>
        <v>2863</v>
      </c>
      <c r="F10" s="201"/>
      <c r="G10" s="13">
        <v>41904</v>
      </c>
      <c r="H10" s="13">
        <f t="shared" si="8"/>
        <v>41799</v>
      </c>
      <c r="I10" s="13">
        <v>41982</v>
      </c>
      <c r="J10" s="13"/>
      <c r="K10" s="1">
        <f t="shared" si="1"/>
        <v>2785</v>
      </c>
      <c r="L10" s="1">
        <f t="shared" si="2"/>
        <v>105</v>
      </c>
      <c r="M10" s="1">
        <f t="shared" si="3"/>
        <v>78</v>
      </c>
      <c r="N10" s="1" t="s">
        <v>417</v>
      </c>
      <c r="O10" s="1">
        <v>4.9800000000000004</v>
      </c>
      <c r="P10" s="1"/>
      <c r="Q10" s="1"/>
      <c r="R10" s="1"/>
      <c r="S10" s="1"/>
      <c r="T10" s="1" t="s">
        <v>442</v>
      </c>
      <c r="U10" s="1"/>
      <c r="V10" s="1"/>
      <c r="W10" s="1"/>
      <c r="X10" s="1"/>
      <c r="Y10" s="98">
        <v>2</v>
      </c>
      <c r="Z10" s="98">
        <v>0</v>
      </c>
      <c r="AA10" s="1"/>
      <c r="AB10" s="1"/>
      <c r="AC10" s="1"/>
      <c r="AD10" s="172">
        <v>60</v>
      </c>
      <c r="AE10" s="1" t="s">
        <v>417</v>
      </c>
      <c r="AF10" s="1">
        <v>2</v>
      </c>
      <c r="AG10" s="98">
        <v>0.35</v>
      </c>
      <c r="AH10" s="172">
        <v>2.5</v>
      </c>
      <c r="AI10" s="172">
        <v>0.35</v>
      </c>
      <c r="AJ10" s="1"/>
      <c r="AK10" s="1"/>
      <c r="AL10" s="98">
        <v>0</v>
      </c>
    </row>
    <row r="11" spans="1:38" x14ac:dyDescent="0.25">
      <c r="A11" s="179" t="s">
        <v>419</v>
      </c>
      <c r="B11" s="1">
        <v>2</v>
      </c>
      <c r="C11" s="1" t="s">
        <v>418</v>
      </c>
      <c r="D11" s="13">
        <v>39119</v>
      </c>
      <c r="E11" s="174">
        <f t="shared" si="0"/>
        <v>2863</v>
      </c>
      <c r="F11" s="201"/>
      <c r="G11" s="13">
        <v>41982</v>
      </c>
      <c r="H11" s="13">
        <f>G10</f>
        <v>41904</v>
      </c>
      <c r="I11" s="13">
        <v>41982</v>
      </c>
      <c r="J11" s="13"/>
      <c r="K11" s="1">
        <f t="shared" si="1"/>
        <v>2863</v>
      </c>
      <c r="L11" s="1">
        <f t="shared" si="2"/>
        <v>78</v>
      </c>
      <c r="M11" s="1">
        <f t="shared" si="3"/>
        <v>0</v>
      </c>
      <c r="N11" s="1" t="s">
        <v>417</v>
      </c>
      <c r="O11" s="1">
        <v>4.84</v>
      </c>
      <c r="P11" s="1"/>
      <c r="Q11" s="1"/>
      <c r="R11" s="1"/>
      <c r="S11" s="1"/>
      <c r="T11" s="1"/>
      <c r="U11" s="1"/>
      <c r="V11" s="1"/>
      <c r="W11" s="1"/>
      <c r="X11" s="1"/>
      <c r="Y11" s="98">
        <v>3</v>
      </c>
      <c r="Z11" s="98">
        <v>0</v>
      </c>
      <c r="AA11" s="1"/>
      <c r="AB11" s="1"/>
      <c r="AC11" s="1"/>
      <c r="AD11" s="172">
        <v>60</v>
      </c>
      <c r="AE11" s="1" t="s">
        <v>417</v>
      </c>
      <c r="AF11" s="1">
        <v>2</v>
      </c>
      <c r="AG11" s="98">
        <v>0.35</v>
      </c>
      <c r="AH11" s="172">
        <v>2.5</v>
      </c>
      <c r="AI11" s="172">
        <v>0.35</v>
      </c>
      <c r="AJ11" s="1"/>
      <c r="AK11" s="1"/>
      <c r="AL11" s="98">
        <v>0</v>
      </c>
    </row>
    <row r="12" spans="1:38" x14ac:dyDescent="0.25">
      <c r="A12" s="183" t="s">
        <v>50</v>
      </c>
      <c r="B12" s="1">
        <v>2</v>
      </c>
      <c r="C12" s="1" t="s">
        <v>418</v>
      </c>
      <c r="D12" s="13">
        <v>39833</v>
      </c>
      <c r="E12" s="174">
        <f t="shared" si="0"/>
        <v>2211</v>
      </c>
      <c r="F12" s="201"/>
      <c r="G12" s="13">
        <v>40862</v>
      </c>
      <c r="H12" s="13">
        <v>39833</v>
      </c>
      <c r="I12" s="13">
        <v>42044</v>
      </c>
      <c r="J12" s="13"/>
      <c r="K12" s="1">
        <f t="shared" si="1"/>
        <v>1029</v>
      </c>
      <c r="L12" s="1">
        <f t="shared" si="2"/>
        <v>1029</v>
      </c>
      <c r="M12" s="1">
        <f t="shared" si="3"/>
        <v>1182</v>
      </c>
      <c r="N12" s="1" t="s">
        <v>417</v>
      </c>
      <c r="O12" s="1">
        <v>5.66</v>
      </c>
      <c r="P12" s="1">
        <f t="shared" si="4"/>
        <v>1</v>
      </c>
      <c r="Q12" s="1">
        <f t="shared" si="5"/>
        <v>1</v>
      </c>
      <c r="R12" s="1">
        <f t="shared" si="6"/>
        <v>1</v>
      </c>
      <c r="S12" s="1">
        <f t="shared" si="7"/>
        <v>1</v>
      </c>
      <c r="T12" s="1" t="s">
        <v>437</v>
      </c>
      <c r="U12" s="1"/>
      <c r="V12" s="1"/>
      <c r="W12" s="1"/>
      <c r="X12" s="1"/>
      <c r="Y12" s="1">
        <v>100</v>
      </c>
      <c r="Z12" s="1">
        <v>98</v>
      </c>
      <c r="AA12" s="1"/>
      <c r="AB12" s="1">
        <v>0</v>
      </c>
      <c r="AC12" s="1">
        <v>0</v>
      </c>
      <c r="AD12" s="172">
        <v>55</v>
      </c>
      <c r="AE12" s="1" t="s">
        <v>434</v>
      </c>
      <c r="AF12" s="1">
        <v>2.5</v>
      </c>
      <c r="AG12" s="1">
        <v>0.35</v>
      </c>
      <c r="AH12" s="1">
        <v>3.5</v>
      </c>
      <c r="AI12" s="1">
        <v>0.5</v>
      </c>
      <c r="AJ12" s="1"/>
      <c r="AK12" s="1"/>
      <c r="AL12" s="1">
        <v>0</v>
      </c>
    </row>
    <row r="13" spans="1:38" x14ac:dyDescent="0.25">
      <c r="A13" s="183" t="s">
        <v>50</v>
      </c>
      <c r="B13" s="1">
        <v>2</v>
      </c>
      <c r="C13" s="1" t="s">
        <v>418</v>
      </c>
      <c r="D13" s="13">
        <v>39833</v>
      </c>
      <c r="E13" s="174">
        <f t="shared" si="0"/>
        <v>2211</v>
      </c>
      <c r="F13" s="201"/>
      <c r="G13" s="13">
        <v>41051</v>
      </c>
      <c r="H13" s="13">
        <f>G12</f>
        <v>40862</v>
      </c>
      <c r="I13" s="13">
        <v>42044</v>
      </c>
      <c r="J13" s="13"/>
      <c r="K13" s="1">
        <f t="shared" si="1"/>
        <v>1218</v>
      </c>
      <c r="L13" s="1">
        <f t="shared" si="2"/>
        <v>189</v>
      </c>
      <c r="M13" s="1">
        <f t="shared" si="3"/>
        <v>993</v>
      </c>
      <c r="N13" s="1" t="s">
        <v>417</v>
      </c>
      <c r="O13" s="1">
        <v>5.29</v>
      </c>
      <c r="P13" s="1">
        <f t="shared" si="4"/>
        <v>1</v>
      </c>
      <c r="Q13" s="1">
        <f t="shared" si="5"/>
        <v>1</v>
      </c>
      <c r="R13" s="1">
        <f t="shared" si="6"/>
        <v>1</v>
      </c>
      <c r="S13" s="1">
        <f t="shared" si="7"/>
        <v>1</v>
      </c>
      <c r="T13" s="1" t="s">
        <v>437</v>
      </c>
      <c r="U13" s="1"/>
      <c r="V13" s="1"/>
      <c r="W13" s="1"/>
      <c r="X13" s="1"/>
      <c r="Y13" s="1">
        <v>100</v>
      </c>
      <c r="Z13" s="1">
        <v>99</v>
      </c>
      <c r="AA13" s="1"/>
      <c r="AB13" s="1">
        <v>0</v>
      </c>
      <c r="AC13" s="1">
        <v>0</v>
      </c>
      <c r="AD13" s="172">
        <v>55</v>
      </c>
      <c r="AE13" s="1" t="s">
        <v>434</v>
      </c>
      <c r="AF13" s="1">
        <v>2.5</v>
      </c>
      <c r="AG13" s="1">
        <v>0.35</v>
      </c>
      <c r="AH13" s="1">
        <v>3.5</v>
      </c>
      <c r="AI13" s="1">
        <v>0.5</v>
      </c>
      <c r="AJ13" s="1"/>
      <c r="AK13" s="1"/>
      <c r="AL13" s="1">
        <v>0</v>
      </c>
    </row>
    <row r="14" spans="1:38" x14ac:dyDescent="0.25">
      <c r="A14" s="183" t="s">
        <v>50</v>
      </c>
      <c r="B14" s="1">
        <v>2</v>
      </c>
      <c r="C14" s="1" t="s">
        <v>418</v>
      </c>
      <c r="D14" s="13">
        <v>39833</v>
      </c>
      <c r="E14" s="174">
        <f t="shared" si="0"/>
        <v>2211</v>
      </c>
      <c r="F14" s="201"/>
      <c r="G14" s="13">
        <v>41193</v>
      </c>
      <c r="H14" s="13">
        <f t="shared" ref="H14:H22" si="9">G13</f>
        <v>41051</v>
      </c>
      <c r="I14" s="13">
        <v>42044</v>
      </c>
      <c r="J14" s="13"/>
      <c r="K14" s="1">
        <f t="shared" si="1"/>
        <v>1360</v>
      </c>
      <c r="L14" s="1">
        <f t="shared" si="2"/>
        <v>142</v>
      </c>
      <c r="M14" s="1">
        <f t="shared" si="3"/>
        <v>851</v>
      </c>
      <c r="N14" s="1" t="s">
        <v>417</v>
      </c>
      <c r="O14" s="1">
        <v>5.19</v>
      </c>
      <c r="P14" s="1">
        <f t="shared" si="4"/>
        <v>1</v>
      </c>
      <c r="Q14" s="1">
        <f t="shared" si="5"/>
        <v>1</v>
      </c>
      <c r="R14" s="1">
        <f t="shared" si="6"/>
        <v>1</v>
      </c>
      <c r="S14" s="1">
        <f t="shared" si="7"/>
        <v>1</v>
      </c>
      <c r="T14" s="1" t="s">
        <v>437</v>
      </c>
      <c r="U14" s="1"/>
      <c r="V14" s="1"/>
      <c r="W14" s="1"/>
      <c r="X14" s="1"/>
      <c r="Y14" s="1">
        <v>99</v>
      </c>
      <c r="Z14" s="1">
        <v>98</v>
      </c>
      <c r="AA14" s="1"/>
      <c r="AB14" s="1">
        <v>0</v>
      </c>
      <c r="AC14" s="1">
        <v>0</v>
      </c>
      <c r="AD14" s="172">
        <v>55</v>
      </c>
      <c r="AE14" s="1" t="s">
        <v>434</v>
      </c>
      <c r="AF14" s="1">
        <v>2.5</v>
      </c>
      <c r="AG14" s="1">
        <v>0.35</v>
      </c>
      <c r="AH14" s="1">
        <v>3.5</v>
      </c>
      <c r="AI14" s="1">
        <v>0.5</v>
      </c>
      <c r="AJ14" s="1"/>
      <c r="AK14" s="1"/>
      <c r="AL14" s="1">
        <v>0</v>
      </c>
    </row>
    <row r="15" spans="1:38" x14ac:dyDescent="0.25">
      <c r="A15" s="183" t="s">
        <v>50</v>
      </c>
      <c r="B15" s="1">
        <v>2</v>
      </c>
      <c r="C15" s="1" t="s">
        <v>418</v>
      </c>
      <c r="D15" s="13">
        <v>39833</v>
      </c>
      <c r="E15" s="174">
        <f t="shared" si="0"/>
        <v>2211</v>
      </c>
      <c r="F15" s="201"/>
      <c r="G15" s="13">
        <v>41240</v>
      </c>
      <c r="H15" s="13">
        <f t="shared" si="9"/>
        <v>41193</v>
      </c>
      <c r="I15" s="13">
        <v>42044</v>
      </c>
      <c r="J15" s="13"/>
      <c r="K15" s="1">
        <f t="shared" si="1"/>
        <v>1407</v>
      </c>
      <c r="L15" s="1">
        <f t="shared" si="2"/>
        <v>47</v>
      </c>
      <c r="M15" s="1">
        <f t="shared" si="3"/>
        <v>804</v>
      </c>
      <c r="N15" s="1" t="s">
        <v>417</v>
      </c>
      <c r="O15" s="1">
        <v>5.17</v>
      </c>
      <c r="P15" s="1">
        <f t="shared" si="4"/>
        <v>1</v>
      </c>
      <c r="Q15" s="1">
        <f t="shared" si="5"/>
        <v>1</v>
      </c>
      <c r="R15" s="1">
        <f t="shared" si="6"/>
        <v>1</v>
      </c>
      <c r="S15" s="1">
        <f t="shared" si="7"/>
        <v>1</v>
      </c>
      <c r="T15" s="1" t="s">
        <v>437</v>
      </c>
      <c r="U15" s="1"/>
      <c r="V15" s="1"/>
      <c r="W15" s="1"/>
      <c r="X15" s="1"/>
      <c r="Y15" s="1">
        <v>100</v>
      </c>
      <c r="Z15" s="1">
        <v>95</v>
      </c>
      <c r="AA15" s="1"/>
      <c r="AB15" s="1">
        <v>0</v>
      </c>
      <c r="AC15" s="1">
        <v>0</v>
      </c>
      <c r="AD15" s="172">
        <v>55</v>
      </c>
      <c r="AE15" s="1" t="s">
        <v>434</v>
      </c>
      <c r="AF15" s="1">
        <v>2.5</v>
      </c>
      <c r="AG15" s="1">
        <v>0.35</v>
      </c>
      <c r="AH15" s="1">
        <v>3.5</v>
      </c>
      <c r="AI15" s="1">
        <v>0.5</v>
      </c>
      <c r="AJ15" s="1"/>
      <c r="AK15" s="1"/>
      <c r="AL15" s="1">
        <v>0</v>
      </c>
    </row>
    <row r="16" spans="1:38" x14ac:dyDescent="0.25">
      <c r="A16" s="183" t="s">
        <v>50</v>
      </c>
      <c r="B16" s="1">
        <v>2</v>
      </c>
      <c r="C16" s="1" t="s">
        <v>418</v>
      </c>
      <c r="D16" s="13">
        <v>39833</v>
      </c>
      <c r="E16" s="174">
        <f t="shared" si="0"/>
        <v>2211</v>
      </c>
      <c r="F16" s="201"/>
      <c r="G16" s="13">
        <v>41394</v>
      </c>
      <c r="H16" s="13">
        <f t="shared" si="9"/>
        <v>41240</v>
      </c>
      <c r="I16" s="13">
        <v>42044</v>
      </c>
      <c r="J16" s="13"/>
      <c r="K16" s="1">
        <f t="shared" si="1"/>
        <v>1561</v>
      </c>
      <c r="L16" s="1">
        <f t="shared" si="2"/>
        <v>154</v>
      </c>
      <c r="M16" s="1">
        <f t="shared" si="3"/>
        <v>650</v>
      </c>
      <c r="N16" s="1" t="s">
        <v>417</v>
      </c>
      <c r="O16" s="1">
        <v>5.16</v>
      </c>
      <c r="P16" s="1">
        <f t="shared" si="4"/>
        <v>1</v>
      </c>
      <c r="Q16" s="1">
        <f t="shared" si="5"/>
        <v>1</v>
      </c>
      <c r="R16" s="1">
        <f t="shared" si="6"/>
        <v>1</v>
      </c>
      <c r="S16" s="1">
        <f t="shared" si="7"/>
        <v>1</v>
      </c>
      <c r="T16" s="1" t="s">
        <v>437</v>
      </c>
      <c r="U16" s="1"/>
      <c r="V16" s="1"/>
      <c r="W16" s="1"/>
      <c r="X16" s="1"/>
      <c r="Y16" s="1">
        <v>99</v>
      </c>
      <c r="Z16" s="1">
        <v>99</v>
      </c>
      <c r="AA16" s="1"/>
      <c r="AB16" s="1">
        <v>0</v>
      </c>
      <c r="AC16" s="1">
        <v>0</v>
      </c>
      <c r="AD16" s="172">
        <v>55</v>
      </c>
      <c r="AE16" s="1" t="s">
        <v>434</v>
      </c>
      <c r="AF16" s="1">
        <v>2.5</v>
      </c>
      <c r="AG16" s="1">
        <v>0.35</v>
      </c>
      <c r="AH16" s="1">
        <v>3.5</v>
      </c>
      <c r="AI16" s="1">
        <v>0.5</v>
      </c>
      <c r="AJ16" s="1"/>
      <c r="AK16" s="1"/>
      <c r="AL16" s="1">
        <v>0</v>
      </c>
    </row>
    <row r="17" spans="1:38" x14ac:dyDescent="0.25">
      <c r="A17" s="183" t="s">
        <v>50</v>
      </c>
      <c r="B17" s="1">
        <v>2</v>
      </c>
      <c r="C17" s="1" t="s">
        <v>418</v>
      </c>
      <c r="D17" s="13">
        <v>39833</v>
      </c>
      <c r="E17" s="174">
        <f t="shared" si="0"/>
        <v>2211</v>
      </c>
      <c r="F17" s="201"/>
      <c r="G17" s="13">
        <v>41486</v>
      </c>
      <c r="H17" s="13">
        <f t="shared" si="9"/>
        <v>41394</v>
      </c>
      <c r="I17" s="13">
        <v>42044</v>
      </c>
      <c r="J17" s="13"/>
      <c r="K17" s="1">
        <f t="shared" si="1"/>
        <v>1653</v>
      </c>
      <c r="L17" s="1">
        <f t="shared" si="2"/>
        <v>92</v>
      </c>
      <c r="M17" s="1">
        <f t="shared" si="3"/>
        <v>558</v>
      </c>
      <c r="N17" s="1" t="s">
        <v>417</v>
      </c>
      <c r="O17" s="1">
        <v>5.16</v>
      </c>
      <c r="P17" s="1">
        <f t="shared" si="4"/>
        <v>1</v>
      </c>
      <c r="Q17" s="1">
        <f t="shared" si="5"/>
        <v>1</v>
      </c>
      <c r="R17" s="1">
        <f t="shared" si="6"/>
        <v>1</v>
      </c>
      <c r="S17" s="1">
        <f t="shared" si="7"/>
        <v>1</v>
      </c>
      <c r="T17" s="1" t="s">
        <v>437</v>
      </c>
      <c r="U17" s="1"/>
      <c r="V17" s="1"/>
      <c r="W17" s="1"/>
      <c r="X17" s="1"/>
      <c r="Y17" s="1">
        <v>100</v>
      </c>
      <c r="Z17" s="1">
        <v>100</v>
      </c>
      <c r="AA17" s="1"/>
      <c r="AB17" s="1">
        <v>0</v>
      </c>
      <c r="AC17" s="1">
        <v>0</v>
      </c>
      <c r="AD17" s="172">
        <v>55</v>
      </c>
      <c r="AE17" s="1" t="s">
        <v>434</v>
      </c>
      <c r="AF17" s="1">
        <v>2</v>
      </c>
      <c r="AG17" s="1">
        <v>0.35</v>
      </c>
      <c r="AH17" s="1">
        <v>3</v>
      </c>
      <c r="AI17" s="1">
        <v>0.5</v>
      </c>
      <c r="AJ17" s="1"/>
      <c r="AK17" s="1"/>
      <c r="AL17" s="1">
        <v>0</v>
      </c>
    </row>
    <row r="18" spans="1:38" x14ac:dyDescent="0.25">
      <c r="A18" s="183" t="s">
        <v>50</v>
      </c>
      <c r="B18" s="1">
        <v>2</v>
      </c>
      <c r="C18" s="1" t="s">
        <v>418</v>
      </c>
      <c r="D18" s="13">
        <v>39833</v>
      </c>
      <c r="E18" s="174">
        <f t="shared" si="0"/>
        <v>2211</v>
      </c>
      <c r="F18" s="201"/>
      <c r="G18" s="13">
        <v>41568</v>
      </c>
      <c r="H18" s="13">
        <f t="shared" si="9"/>
        <v>41486</v>
      </c>
      <c r="I18" s="13">
        <v>42044</v>
      </c>
      <c r="J18" s="13"/>
      <c r="K18" s="1">
        <f t="shared" si="1"/>
        <v>1735</v>
      </c>
      <c r="L18" s="1">
        <f t="shared" si="2"/>
        <v>82</v>
      </c>
      <c r="M18" s="1">
        <f t="shared" si="3"/>
        <v>476</v>
      </c>
      <c r="N18" s="1" t="s">
        <v>417</v>
      </c>
      <c r="O18" s="1">
        <v>5.14</v>
      </c>
      <c r="P18" s="1"/>
      <c r="Q18" s="1">
        <f t="shared" si="5"/>
        <v>1</v>
      </c>
      <c r="R18" s="1">
        <f t="shared" si="6"/>
        <v>1</v>
      </c>
      <c r="S18" s="1">
        <f t="shared" si="7"/>
        <v>1</v>
      </c>
      <c r="T18" s="1" t="s">
        <v>442</v>
      </c>
      <c r="U18" s="1"/>
      <c r="V18" s="1"/>
      <c r="W18" s="1"/>
      <c r="X18" s="1"/>
      <c r="Y18" s="1">
        <v>99</v>
      </c>
      <c r="Z18" s="1">
        <v>99</v>
      </c>
      <c r="AA18" s="1"/>
      <c r="AB18" s="1">
        <v>0</v>
      </c>
      <c r="AC18" s="1">
        <v>0</v>
      </c>
      <c r="AD18" s="172">
        <v>55</v>
      </c>
      <c r="AE18" s="1" t="s">
        <v>434</v>
      </c>
      <c r="AF18" s="1">
        <v>2</v>
      </c>
      <c r="AG18" s="1">
        <v>0.35</v>
      </c>
      <c r="AH18" s="1">
        <v>3</v>
      </c>
      <c r="AI18" s="1">
        <v>0.5</v>
      </c>
      <c r="AJ18" s="1"/>
      <c r="AK18" s="1"/>
      <c r="AL18" s="1">
        <v>0</v>
      </c>
    </row>
    <row r="19" spans="1:38" x14ac:dyDescent="0.25">
      <c r="A19" s="183" t="s">
        <v>50</v>
      </c>
      <c r="B19" s="1">
        <v>2</v>
      </c>
      <c r="C19" s="1" t="s">
        <v>418</v>
      </c>
      <c r="D19" s="13">
        <v>39833</v>
      </c>
      <c r="E19" s="174">
        <f t="shared" si="0"/>
        <v>2211</v>
      </c>
      <c r="F19" s="201"/>
      <c r="G19" s="13">
        <v>41730</v>
      </c>
      <c r="H19" s="13">
        <f t="shared" si="9"/>
        <v>41568</v>
      </c>
      <c r="I19" s="13">
        <v>42044</v>
      </c>
      <c r="J19" s="13"/>
      <c r="K19" s="1">
        <f t="shared" si="1"/>
        <v>1897</v>
      </c>
      <c r="L19" s="1">
        <f t="shared" si="2"/>
        <v>162</v>
      </c>
      <c r="M19" s="1">
        <f t="shared" si="3"/>
        <v>314</v>
      </c>
      <c r="N19" s="1" t="s">
        <v>417</v>
      </c>
      <c r="O19" s="1">
        <v>5.0999999999999996</v>
      </c>
      <c r="P19" s="1"/>
      <c r="Q19" s="1"/>
      <c r="R19" s="1">
        <f t="shared" si="6"/>
        <v>1</v>
      </c>
      <c r="S19" s="1">
        <f t="shared" si="7"/>
        <v>1</v>
      </c>
      <c r="T19" s="1" t="s">
        <v>442</v>
      </c>
      <c r="U19" s="1"/>
      <c r="V19" s="1"/>
      <c r="W19" s="1"/>
      <c r="X19" s="1"/>
      <c r="Y19" s="1">
        <v>99</v>
      </c>
      <c r="Z19" s="1">
        <v>99</v>
      </c>
      <c r="AA19" s="1"/>
      <c r="AB19" s="1">
        <v>0</v>
      </c>
      <c r="AC19" s="1">
        <v>0</v>
      </c>
      <c r="AD19" s="172">
        <v>55</v>
      </c>
      <c r="AE19" s="1" t="s">
        <v>434</v>
      </c>
      <c r="AF19" s="1">
        <v>2</v>
      </c>
      <c r="AG19" s="1">
        <v>0.35</v>
      </c>
      <c r="AH19" s="1">
        <v>3</v>
      </c>
      <c r="AI19" s="1">
        <v>0.5</v>
      </c>
      <c r="AJ19" s="1"/>
      <c r="AK19" s="1"/>
      <c r="AL19" s="1">
        <v>0</v>
      </c>
    </row>
    <row r="20" spans="1:38" x14ac:dyDescent="0.25">
      <c r="A20" s="183" t="s">
        <v>50</v>
      </c>
      <c r="B20" s="1">
        <v>2</v>
      </c>
      <c r="C20" s="1" t="s">
        <v>418</v>
      </c>
      <c r="D20" s="13">
        <v>39833</v>
      </c>
      <c r="E20" s="174">
        <f t="shared" si="0"/>
        <v>2211</v>
      </c>
      <c r="F20" s="201"/>
      <c r="G20" s="13">
        <v>41912</v>
      </c>
      <c r="H20" s="13">
        <f t="shared" si="9"/>
        <v>41730</v>
      </c>
      <c r="I20" s="13">
        <v>42044</v>
      </c>
      <c r="J20" s="13"/>
      <c r="K20" s="1">
        <f t="shared" si="1"/>
        <v>2079</v>
      </c>
      <c r="L20" s="1">
        <f t="shared" si="2"/>
        <v>182</v>
      </c>
      <c r="M20" s="1">
        <f t="shared" si="3"/>
        <v>132</v>
      </c>
      <c r="N20" s="1" t="s">
        <v>417</v>
      </c>
      <c r="O20" s="1">
        <v>4.8899999999999997</v>
      </c>
      <c r="P20" s="1"/>
      <c r="Q20" s="1"/>
      <c r="R20" s="1"/>
      <c r="S20" s="1">
        <f t="shared" si="7"/>
        <v>1</v>
      </c>
      <c r="T20" s="1" t="s">
        <v>442</v>
      </c>
      <c r="U20" s="1"/>
      <c r="V20" s="1"/>
      <c r="W20" s="1"/>
      <c r="X20" s="1"/>
      <c r="Y20" s="1">
        <v>100</v>
      </c>
      <c r="Z20" s="1">
        <v>100</v>
      </c>
      <c r="AA20" s="1"/>
      <c r="AB20" s="1">
        <v>0</v>
      </c>
      <c r="AC20" s="1">
        <v>0</v>
      </c>
      <c r="AD20" s="172">
        <v>55</v>
      </c>
      <c r="AE20" s="1" t="s">
        <v>434</v>
      </c>
      <c r="AF20" s="1">
        <v>2</v>
      </c>
      <c r="AG20" s="1">
        <v>0.35</v>
      </c>
      <c r="AH20" s="1">
        <v>3</v>
      </c>
      <c r="AI20" s="1">
        <v>0.5</v>
      </c>
      <c r="AJ20" s="1"/>
      <c r="AK20" s="1"/>
      <c r="AL20" s="1">
        <v>0</v>
      </c>
    </row>
    <row r="21" spans="1:38" x14ac:dyDescent="0.25">
      <c r="A21" s="183" t="s">
        <v>50</v>
      </c>
      <c r="B21" s="1">
        <v>2</v>
      </c>
      <c r="C21" s="1" t="s">
        <v>418</v>
      </c>
      <c r="D21" s="13">
        <v>39833</v>
      </c>
      <c r="E21" s="174">
        <f t="shared" si="0"/>
        <v>2211</v>
      </c>
      <c r="F21" s="201"/>
      <c r="G21" s="13">
        <v>42020</v>
      </c>
      <c r="H21" s="13">
        <f t="shared" si="9"/>
        <v>41912</v>
      </c>
      <c r="I21" s="13">
        <v>42044</v>
      </c>
      <c r="J21" s="13"/>
      <c r="K21" s="1">
        <f t="shared" si="1"/>
        <v>2187</v>
      </c>
      <c r="L21" s="1">
        <f t="shared" si="2"/>
        <v>108</v>
      </c>
      <c r="M21" s="1">
        <f t="shared" si="3"/>
        <v>24</v>
      </c>
      <c r="N21" s="1" t="s">
        <v>434</v>
      </c>
      <c r="O21" s="1">
        <v>4.53</v>
      </c>
      <c r="P21" s="1"/>
      <c r="Q21" s="1"/>
      <c r="R21" s="1"/>
      <c r="S21" s="1"/>
      <c r="T21" s="1" t="s">
        <v>442</v>
      </c>
      <c r="U21" s="1">
        <v>0</v>
      </c>
      <c r="V21" s="1">
        <v>0</v>
      </c>
      <c r="W21" s="1">
        <v>0</v>
      </c>
      <c r="X21" s="1">
        <v>1</v>
      </c>
      <c r="Y21" s="1">
        <v>99</v>
      </c>
      <c r="Z21" s="1">
        <v>99</v>
      </c>
      <c r="AA21" s="1"/>
      <c r="AB21" s="1">
        <v>0</v>
      </c>
      <c r="AC21" s="1">
        <v>0</v>
      </c>
      <c r="AD21" s="172">
        <v>55</v>
      </c>
      <c r="AE21" s="1" t="s">
        <v>434</v>
      </c>
      <c r="AF21" s="1">
        <v>2</v>
      </c>
      <c r="AG21" s="1">
        <v>0.35</v>
      </c>
      <c r="AH21" s="1">
        <v>3</v>
      </c>
      <c r="AI21" s="1">
        <v>0.5</v>
      </c>
      <c r="AJ21" s="1"/>
      <c r="AK21" s="1"/>
      <c r="AL21" s="1">
        <v>0</v>
      </c>
    </row>
    <row r="22" spans="1:38" x14ac:dyDescent="0.25">
      <c r="A22" s="183" t="s">
        <v>50</v>
      </c>
      <c r="B22" s="1">
        <v>2</v>
      </c>
      <c r="C22" s="1" t="s">
        <v>418</v>
      </c>
      <c r="D22" s="13">
        <v>39833</v>
      </c>
      <c r="E22" s="174">
        <f t="shared" si="0"/>
        <v>2211</v>
      </c>
      <c r="F22" s="201"/>
      <c r="G22" s="13">
        <v>42044</v>
      </c>
      <c r="H22" s="13">
        <f t="shared" si="9"/>
        <v>42020</v>
      </c>
      <c r="I22" s="13">
        <v>42044</v>
      </c>
      <c r="J22" s="13"/>
      <c r="K22" s="1">
        <f t="shared" si="1"/>
        <v>2211</v>
      </c>
      <c r="L22" s="1">
        <f t="shared" si="2"/>
        <v>24</v>
      </c>
      <c r="M22" s="1">
        <f t="shared" si="3"/>
        <v>0</v>
      </c>
      <c r="N22" s="1" t="s">
        <v>434</v>
      </c>
      <c r="O22" s="1">
        <v>4.5</v>
      </c>
      <c r="P22" s="1"/>
      <c r="Q22" s="1"/>
      <c r="R22" s="1"/>
      <c r="S22" s="1"/>
      <c r="T22" s="1"/>
      <c r="U22" s="1"/>
      <c r="V22" s="1"/>
      <c r="W22" s="1"/>
      <c r="X22" s="1"/>
      <c r="Y22" s="1">
        <v>98</v>
      </c>
      <c r="Z22" s="1">
        <v>99</v>
      </c>
      <c r="AA22" s="1"/>
      <c r="AB22" s="1">
        <v>0</v>
      </c>
      <c r="AC22" s="1">
        <v>0</v>
      </c>
      <c r="AD22" s="172">
        <v>55</v>
      </c>
      <c r="AE22" s="1" t="s">
        <v>434</v>
      </c>
      <c r="AF22" s="1">
        <v>2</v>
      </c>
      <c r="AG22" s="1">
        <v>0.35</v>
      </c>
      <c r="AH22" s="1">
        <v>3</v>
      </c>
      <c r="AI22" s="1">
        <v>0.5</v>
      </c>
      <c r="AJ22" s="1"/>
      <c r="AK22" s="1"/>
      <c r="AL22" s="1">
        <v>0</v>
      </c>
    </row>
    <row r="23" spans="1:38" x14ac:dyDescent="0.25">
      <c r="A23" s="191" t="s">
        <v>420</v>
      </c>
      <c r="B23" s="1">
        <v>2</v>
      </c>
      <c r="C23" s="1" t="s">
        <v>418</v>
      </c>
      <c r="D23" s="13">
        <v>39735</v>
      </c>
      <c r="E23" s="174">
        <f t="shared" si="0"/>
        <v>2472</v>
      </c>
      <c r="F23" s="201"/>
      <c r="G23" s="13">
        <v>40995</v>
      </c>
      <c r="H23" s="13">
        <v>39735</v>
      </c>
      <c r="I23" s="13">
        <v>42207</v>
      </c>
      <c r="J23" s="13"/>
      <c r="K23" s="1">
        <f t="shared" si="1"/>
        <v>1260</v>
      </c>
      <c r="L23" s="1">
        <f t="shared" si="2"/>
        <v>1260</v>
      </c>
      <c r="M23" s="1">
        <f t="shared" si="3"/>
        <v>1212</v>
      </c>
      <c r="N23" s="1" t="s">
        <v>417</v>
      </c>
      <c r="O23" s="1">
        <v>5.65</v>
      </c>
      <c r="P23" s="1">
        <f>IF(M23&gt;=540,1,"nulo")</f>
        <v>1</v>
      </c>
      <c r="Q23" s="1">
        <f>IF(M23&gt;=360,1,"nulo")</f>
        <v>1</v>
      </c>
      <c r="R23" s="1">
        <f>IF(M23&gt;=180,1,"nulo")</f>
        <v>1</v>
      </c>
      <c r="S23" s="1">
        <f>IF(M23&gt;=90,1,"nulo")</f>
        <v>1</v>
      </c>
      <c r="T23" s="1" t="s">
        <v>437</v>
      </c>
      <c r="U23" s="1"/>
      <c r="V23" s="1"/>
      <c r="W23" s="1"/>
      <c r="X23" s="1"/>
      <c r="Y23" s="1">
        <v>0</v>
      </c>
      <c r="Z23" s="1">
        <v>0</v>
      </c>
      <c r="AA23" s="1"/>
      <c r="AB23" s="1">
        <v>0</v>
      </c>
      <c r="AC23" s="98">
        <v>0</v>
      </c>
      <c r="AD23" s="172">
        <v>60</v>
      </c>
      <c r="AE23" s="1" t="s">
        <v>434</v>
      </c>
      <c r="AF23" s="1">
        <v>2.5</v>
      </c>
      <c r="AG23" s="1">
        <v>0.35</v>
      </c>
      <c r="AH23" s="1">
        <v>2.5</v>
      </c>
      <c r="AI23" s="1">
        <v>0.35</v>
      </c>
      <c r="AJ23" s="1"/>
      <c r="AK23" s="1"/>
      <c r="AL23" s="1">
        <v>0</v>
      </c>
    </row>
    <row r="24" spans="1:38" x14ac:dyDescent="0.25">
      <c r="A24" s="191" t="s">
        <v>420</v>
      </c>
      <c r="B24" s="1">
        <v>2</v>
      </c>
      <c r="C24" s="1" t="s">
        <v>418</v>
      </c>
      <c r="D24" s="13">
        <v>39735</v>
      </c>
      <c r="E24" s="174">
        <f t="shared" si="0"/>
        <v>2472</v>
      </c>
      <c r="F24" s="201"/>
      <c r="G24" s="13">
        <v>41184</v>
      </c>
      <c r="H24" s="13">
        <f>G23</f>
        <v>40995</v>
      </c>
      <c r="I24" s="13">
        <v>42207</v>
      </c>
      <c r="J24" s="13"/>
      <c r="K24" s="1">
        <f t="shared" si="1"/>
        <v>1449</v>
      </c>
      <c r="L24" s="1">
        <f t="shared" si="2"/>
        <v>189</v>
      </c>
      <c r="M24" s="1">
        <f t="shared" si="3"/>
        <v>1023</v>
      </c>
      <c r="N24" s="1" t="s">
        <v>417</v>
      </c>
      <c r="O24" s="1">
        <v>5.32</v>
      </c>
      <c r="P24" s="1">
        <f t="shared" ref="P24:P34" si="10">IF(M24&gt;=540,1,"nulo")</f>
        <v>1</v>
      </c>
      <c r="Q24" s="1">
        <f t="shared" ref="Q24:Q34" si="11">IF(M24&gt;=360,1,"nulo")</f>
        <v>1</v>
      </c>
      <c r="R24" s="1">
        <f t="shared" ref="R24:R35" si="12">IF(M24&gt;=180,1,"nulo")</f>
        <v>1</v>
      </c>
      <c r="S24" s="1">
        <f t="shared" ref="S24:S36" si="13">IF(M24&gt;=90,1,"nulo")</f>
        <v>1</v>
      </c>
      <c r="T24" s="1" t="s">
        <v>437</v>
      </c>
      <c r="U24" s="1"/>
      <c r="V24" s="1"/>
      <c r="W24" s="1"/>
      <c r="X24" s="1"/>
      <c r="Y24" s="1">
        <v>90</v>
      </c>
      <c r="Z24" s="1">
        <v>100</v>
      </c>
      <c r="AA24" s="1"/>
      <c r="AB24" s="1">
        <v>0</v>
      </c>
      <c r="AC24" s="98">
        <v>0</v>
      </c>
      <c r="AD24" s="172">
        <v>60</v>
      </c>
      <c r="AE24" s="1" t="s">
        <v>434</v>
      </c>
      <c r="AF24" s="1">
        <v>2.5</v>
      </c>
      <c r="AG24" s="1">
        <v>0.35</v>
      </c>
      <c r="AH24" s="1">
        <v>2.5</v>
      </c>
      <c r="AI24" s="1">
        <v>0.35</v>
      </c>
      <c r="AJ24" s="1"/>
      <c r="AK24" s="1"/>
      <c r="AL24" s="1">
        <v>0</v>
      </c>
    </row>
    <row r="25" spans="1:38" x14ac:dyDescent="0.25">
      <c r="A25" s="191" t="s">
        <v>420</v>
      </c>
      <c r="B25" s="1">
        <v>2</v>
      </c>
      <c r="C25" s="1" t="s">
        <v>418</v>
      </c>
      <c r="D25" s="13">
        <v>39735</v>
      </c>
      <c r="E25" s="174">
        <f t="shared" si="0"/>
        <v>2472</v>
      </c>
      <c r="F25" s="201"/>
      <c r="G25" s="13">
        <v>41309</v>
      </c>
      <c r="H25" s="13">
        <f t="shared" ref="H25:H30" si="14">G24</f>
        <v>41184</v>
      </c>
      <c r="I25" s="13">
        <v>42207</v>
      </c>
      <c r="J25" s="13"/>
      <c r="K25" s="1">
        <f t="shared" si="1"/>
        <v>1574</v>
      </c>
      <c r="L25" s="1">
        <f t="shared" si="2"/>
        <v>125</v>
      </c>
      <c r="M25" s="1">
        <f t="shared" si="3"/>
        <v>898</v>
      </c>
      <c r="N25" s="1" t="s">
        <v>417</v>
      </c>
      <c r="O25" s="1">
        <v>5.24</v>
      </c>
      <c r="P25" s="1">
        <f t="shared" si="10"/>
        <v>1</v>
      </c>
      <c r="Q25" s="1">
        <f t="shared" si="11"/>
        <v>1</v>
      </c>
      <c r="R25" s="1">
        <f t="shared" si="12"/>
        <v>1</v>
      </c>
      <c r="S25" s="1">
        <f t="shared" si="13"/>
        <v>1</v>
      </c>
      <c r="T25" s="1" t="s">
        <v>437</v>
      </c>
      <c r="U25" s="1"/>
      <c r="V25" s="1"/>
      <c r="W25" s="1"/>
      <c r="X25" s="1"/>
      <c r="Y25" s="1">
        <v>82</v>
      </c>
      <c r="Z25" s="1">
        <v>100</v>
      </c>
      <c r="AA25" s="1"/>
      <c r="AB25" s="1">
        <v>0</v>
      </c>
      <c r="AC25" s="98">
        <v>0</v>
      </c>
      <c r="AD25" s="172">
        <v>60</v>
      </c>
      <c r="AE25" s="1" t="s">
        <v>434</v>
      </c>
      <c r="AF25" s="1">
        <v>2.5</v>
      </c>
      <c r="AG25" s="1">
        <v>0.35</v>
      </c>
      <c r="AH25" s="1">
        <v>2.5</v>
      </c>
      <c r="AI25" s="1">
        <v>0.35</v>
      </c>
      <c r="AJ25" s="1"/>
      <c r="AK25" s="1"/>
      <c r="AL25" s="1">
        <v>0</v>
      </c>
    </row>
    <row r="26" spans="1:38" x14ac:dyDescent="0.25">
      <c r="A26" s="191" t="s">
        <v>420</v>
      </c>
      <c r="B26" s="1">
        <v>2</v>
      </c>
      <c r="C26" s="1" t="s">
        <v>418</v>
      </c>
      <c r="D26" s="13">
        <v>39735</v>
      </c>
      <c r="E26" s="174">
        <f t="shared" si="0"/>
        <v>2472</v>
      </c>
      <c r="F26" s="201"/>
      <c r="G26" s="13">
        <v>41429</v>
      </c>
      <c r="H26" s="13">
        <f t="shared" si="14"/>
        <v>41309</v>
      </c>
      <c r="I26" s="13">
        <v>42207</v>
      </c>
      <c r="J26" s="13"/>
      <c r="K26" s="1">
        <f t="shared" si="1"/>
        <v>1694</v>
      </c>
      <c r="L26" s="1">
        <f t="shared" si="2"/>
        <v>120</v>
      </c>
      <c r="M26" s="1">
        <f t="shared" si="3"/>
        <v>778</v>
      </c>
      <c r="N26" s="1" t="s">
        <v>417</v>
      </c>
      <c r="O26" s="1">
        <v>5.18</v>
      </c>
      <c r="P26" s="1">
        <f t="shared" si="10"/>
        <v>1</v>
      </c>
      <c r="Q26" s="1">
        <f t="shared" si="11"/>
        <v>1</v>
      </c>
      <c r="R26" s="1">
        <f t="shared" si="12"/>
        <v>1</v>
      </c>
      <c r="S26" s="1">
        <f t="shared" si="13"/>
        <v>1</v>
      </c>
      <c r="T26" s="1" t="s">
        <v>437</v>
      </c>
      <c r="U26" s="1"/>
      <c r="V26" s="1"/>
      <c r="W26" s="1"/>
      <c r="X26" s="1"/>
      <c r="Y26" s="1">
        <v>87</v>
      </c>
      <c r="Z26" s="1">
        <v>100</v>
      </c>
      <c r="AA26" s="1"/>
      <c r="AB26" s="1">
        <v>0</v>
      </c>
      <c r="AC26" s="98">
        <v>0</v>
      </c>
      <c r="AD26" s="172">
        <v>60</v>
      </c>
      <c r="AE26" s="1" t="s">
        <v>434</v>
      </c>
      <c r="AF26" s="1">
        <v>2.5</v>
      </c>
      <c r="AG26" s="1">
        <v>0.35</v>
      </c>
      <c r="AH26" s="1">
        <v>2.5</v>
      </c>
      <c r="AI26" s="1">
        <v>0.35</v>
      </c>
      <c r="AJ26" s="1"/>
      <c r="AK26" s="1"/>
      <c r="AL26" s="1">
        <v>0</v>
      </c>
    </row>
    <row r="27" spans="1:38" x14ac:dyDescent="0.25">
      <c r="A27" s="191" t="s">
        <v>420</v>
      </c>
      <c r="B27" s="1">
        <v>2</v>
      </c>
      <c r="C27" s="1" t="s">
        <v>418</v>
      </c>
      <c r="D27" s="13">
        <v>39735</v>
      </c>
      <c r="E27" s="174">
        <f t="shared" si="0"/>
        <v>2472</v>
      </c>
      <c r="F27" s="201"/>
      <c r="G27" s="13">
        <v>41568</v>
      </c>
      <c r="H27" s="13">
        <f t="shared" si="14"/>
        <v>41429</v>
      </c>
      <c r="I27" s="13">
        <v>42207</v>
      </c>
      <c r="J27" s="13"/>
      <c r="K27" s="1">
        <f t="shared" si="1"/>
        <v>1833</v>
      </c>
      <c r="L27" s="1">
        <f t="shared" si="2"/>
        <v>139</v>
      </c>
      <c r="M27" s="1">
        <f t="shared" si="3"/>
        <v>639</v>
      </c>
      <c r="N27" s="1" t="s">
        <v>417</v>
      </c>
      <c r="O27" s="1">
        <v>5.17</v>
      </c>
      <c r="P27" s="1">
        <f t="shared" si="10"/>
        <v>1</v>
      </c>
      <c r="Q27" s="1">
        <f t="shared" si="11"/>
        <v>1</v>
      </c>
      <c r="R27" s="1">
        <f t="shared" si="12"/>
        <v>1</v>
      </c>
      <c r="S27" s="1">
        <f t="shared" si="13"/>
        <v>1</v>
      </c>
      <c r="T27" s="1" t="s">
        <v>437</v>
      </c>
      <c r="U27" s="1"/>
      <c r="V27" s="1"/>
      <c r="W27" s="1"/>
      <c r="X27" s="1"/>
      <c r="Y27" s="1">
        <v>90</v>
      </c>
      <c r="Z27" s="1">
        <v>100</v>
      </c>
      <c r="AA27" s="1"/>
      <c r="AB27" s="1">
        <v>0</v>
      </c>
      <c r="AC27" s="98">
        <v>0</v>
      </c>
      <c r="AD27" s="172">
        <v>60</v>
      </c>
      <c r="AE27" s="1" t="s">
        <v>434</v>
      </c>
      <c r="AF27" s="1">
        <v>2.5</v>
      </c>
      <c r="AG27" s="1">
        <v>0.35</v>
      </c>
      <c r="AH27" s="1">
        <v>2.5</v>
      </c>
      <c r="AI27" s="1">
        <v>0.35</v>
      </c>
      <c r="AJ27" s="1"/>
      <c r="AK27" s="1"/>
      <c r="AL27" s="1">
        <v>0</v>
      </c>
    </row>
    <row r="28" spans="1:38" x14ac:dyDescent="0.25">
      <c r="A28" s="191" t="s">
        <v>420</v>
      </c>
      <c r="B28" s="1">
        <v>2</v>
      </c>
      <c r="C28" s="1" t="s">
        <v>418</v>
      </c>
      <c r="D28" s="13">
        <v>39735</v>
      </c>
      <c r="E28" s="174">
        <f t="shared" si="0"/>
        <v>2472</v>
      </c>
      <c r="F28" s="201"/>
      <c r="G28" s="13">
        <v>41751</v>
      </c>
      <c r="H28" s="13">
        <f t="shared" si="14"/>
        <v>41568</v>
      </c>
      <c r="I28" s="13">
        <v>42207</v>
      </c>
      <c r="J28" s="13"/>
      <c r="K28" s="1">
        <f t="shared" si="1"/>
        <v>2016</v>
      </c>
      <c r="L28" s="1">
        <f t="shared" si="2"/>
        <v>183</v>
      </c>
      <c r="M28" s="1">
        <f t="shared" si="3"/>
        <v>456</v>
      </c>
      <c r="N28" s="1" t="s">
        <v>417</v>
      </c>
      <c r="O28" s="1">
        <v>5.15</v>
      </c>
      <c r="P28" s="1"/>
      <c r="Q28" s="1">
        <f t="shared" si="11"/>
        <v>1</v>
      </c>
      <c r="R28" s="1">
        <f t="shared" si="12"/>
        <v>1</v>
      </c>
      <c r="S28" s="1">
        <f t="shared" si="13"/>
        <v>1</v>
      </c>
      <c r="T28" s="1" t="s">
        <v>442</v>
      </c>
      <c r="U28" s="1"/>
      <c r="V28" s="1"/>
      <c r="W28" s="1"/>
      <c r="X28" s="1"/>
      <c r="Y28" s="1">
        <v>84</v>
      </c>
      <c r="Z28" s="1">
        <v>100</v>
      </c>
      <c r="AA28" s="1"/>
      <c r="AB28" s="1">
        <v>0</v>
      </c>
      <c r="AC28" s="98">
        <v>0</v>
      </c>
      <c r="AD28" s="172">
        <v>60</v>
      </c>
      <c r="AE28" s="1" t="s">
        <v>434</v>
      </c>
      <c r="AF28" s="1">
        <v>2.5</v>
      </c>
      <c r="AG28" s="1">
        <v>0.35</v>
      </c>
      <c r="AH28" s="1">
        <v>2.5</v>
      </c>
      <c r="AI28" s="1">
        <v>0.35</v>
      </c>
      <c r="AJ28" s="1"/>
      <c r="AK28" s="1"/>
      <c r="AL28" s="1">
        <v>0</v>
      </c>
    </row>
    <row r="29" spans="1:38" x14ac:dyDescent="0.25">
      <c r="A29" s="191" t="s">
        <v>420</v>
      </c>
      <c r="B29" s="1">
        <v>2</v>
      </c>
      <c r="C29" s="1" t="s">
        <v>418</v>
      </c>
      <c r="D29" s="13">
        <v>39735</v>
      </c>
      <c r="E29" s="174">
        <f t="shared" si="0"/>
        <v>2472</v>
      </c>
      <c r="F29" s="201"/>
      <c r="G29" s="13">
        <v>41940</v>
      </c>
      <c r="H29" s="13">
        <f t="shared" si="14"/>
        <v>41751</v>
      </c>
      <c r="I29" s="13">
        <v>42207</v>
      </c>
      <c r="J29" s="13"/>
      <c r="K29" s="1">
        <f t="shared" si="1"/>
        <v>2205</v>
      </c>
      <c r="L29" s="1">
        <f t="shared" si="2"/>
        <v>189</v>
      </c>
      <c r="M29" s="1">
        <f t="shared" si="3"/>
        <v>267</v>
      </c>
      <c r="N29" s="1" t="s">
        <v>417</v>
      </c>
      <c r="O29" s="1">
        <v>5.1100000000000003</v>
      </c>
      <c r="P29" s="1"/>
      <c r="Q29" s="1"/>
      <c r="R29" s="1">
        <f t="shared" si="12"/>
        <v>1</v>
      </c>
      <c r="S29" s="1">
        <f t="shared" si="13"/>
        <v>1</v>
      </c>
      <c r="T29" s="1" t="s">
        <v>442</v>
      </c>
      <c r="U29" s="1"/>
      <c r="V29" s="1"/>
      <c r="W29" s="1"/>
      <c r="X29" s="1"/>
      <c r="Y29" s="1">
        <v>86</v>
      </c>
      <c r="Z29" s="1">
        <v>100</v>
      </c>
      <c r="AA29" s="1"/>
      <c r="AB29" s="1">
        <v>0</v>
      </c>
      <c r="AC29" s="98">
        <v>0</v>
      </c>
      <c r="AD29" s="172">
        <v>60</v>
      </c>
      <c r="AE29" s="1" t="s">
        <v>434</v>
      </c>
      <c r="AF29" s="1">
        <v>2.5</v>
      </c>
      <c r="AG29" s="1">
        <v>0.35</v>
      </c>
      <c r="AH29" s="1">
        <v>2.5</v>
      </c>
      <c r="AI29" s="1">
        <v>0.35</v>
      </c>
      <c r="AJ29" s="1"/>
      <c r="AK29" s="1"/>
      <c r="AL29" s="1">
        <v>0</v>
      </c>
    </row>
    <row r="30" spans="1:38" x14ac:dyDescent="0.25">
      <c r="A30" s="191" t="s">
        <v>420</v>
      </c>
      <c r="B30" s="1">
        <v>2</v>
      </c>
      <c r="C30" s="1" t="s">
        <v>418</v>
      </c>
      <c r="D30" s="13">
        <v>39735</v>
      </c>
      <c r="E30" s="174">
        <f t="shared" si="0"/>
        <v>2472</v>
      </c>
      <c r="F30" s="201"/>
      <c r="G30" s="13">
        <v>42207</v>
      </c>
      <c r="H30" s="13">
        <f t="shared" si="14"/>
        <v>41940</v>
      </c>
      <c r="I30" s="13">
        <v>42207</v>
      </c>
      <c r="J30" s="13"/>
      <c r="K30" s="1">
        <f t="shared" si="1"/>
        <v>2472</v>
      </c>
      <c r="L30" s="1">
        <f t="shared" si="2"/>
        <v>267</v>
      </c>
      <c r="M30" s="1">
        <f t="shared" si="3"/>
        <v>0</v>
      </c>
      <c r="N30" s="1" t="s">
        <v>434</v>
      </c>
      <c r="O30" s="1">
        <v>4.8</v>
      </c>
      <c r="P30" s="1"/>
      <c r="Q30" s="1"/>
      <c r="R30" s="1"/>
      <c r="S30" s="1"/>
      <c r="T30" s="1"/>
      <c r="U30" s="1">
        <v>0</v>
      </c>
      <c r="V30" s="1">
        <v>0</v>
      </c>
      <c r="W30" s="1">
        <v>1</v>
      </c>
      <c r="X30" s="1">
        <v>1</v>
      </c>
      <c r="Y30" s="1">
        <v>80</v>
      </c>
      <c r="Z30" s="1">
        <v>100</v>
      </c>
      <c r="AA30" s="1"/>
      <c r="AB30" s="1">
        <v>0</v>
      </c>
      <c r="AC30" s="98">
        <v>0</v>
      </c>
      <c r="AD30" s="172">
        <v>60</v>
      </c>
      <c r="AE30" s="1" t="s">
        <v>434</v>
      </c>
      <c r="AF30" s="1">
        <v>2.5</v>
      </c>
      <c r="AG30" s="1">
        <v>0.35</v>
      </c>
      <c r="AH30" s="1">
        <v>2.5</v>
      </c>
      <c r="AI30" s="1">
        <v>0.35</v>
      </c>
      <c r="AJ30" s="1"/>
      <c r="AK30" s="1"/>
      <c r="AL30" s="1">
        <v>0</v>
      </c>
    </row>
    <row r="31" spans="1:38" x14ac:dyDescent="0.25">
      <c r="A31" s="197" t="s">
        <v>421</v>
      </c>
      <c r="B31" s="1">
        <v>2</v>
      </c>
      <c r="C31" s="1" t="s">
        <v>418</v>
      </c>
      <c r="D31" s="13">
        <v>40141</v>
      </c>
      <c r="E31" s="1">
        <f t="shared" si="0"/>
        <v>1617</v>
      </c>
      <c r="F31" s="1"/>
      <c r="G31" s="13">
        <v>40816</v>
      </c>
      <c r="H31" s="13">
        <v>40141</v>
      </c>
      <c r="I31" s="13">
        <v>41758</v>
      </c>
      <c r="J31" s="13"/>
      <c r="K31" s="1">
        <f t="shared" si="1"/>
        <v>675</v>
      </c>
      <c r="L31" s="1">
        <f t="shared" si="2"/>
        <v>675</v>
      </c>
      <c r="M31" s="1">
        <f t="shared" si="3"/>
        <v>942</v>
      </c>
      <c r="N31" s="1" t="s">
        <v>417</v>
      </c>
      <c r="O31" s="1">
        <v>6.36</v>
      </c>
      <c r="P31" s="1">
        <f t="shared" si="10"/>
        <v>1</v>
      </c>
      <c r="Q31" s="1">
        <f t="shared" si="11"/>
        <v>1</v>
      </c>
      <c r="R31" s="1">
        <f t="shared" si="12"/>
        <v>1</v>
      </c>
      <c r="S31" s="1">
        <f t="shared" si="13"/>
        <v>1</v>
      </c>
      <c r="T31" s="1" t="s">
        <v>437</v>
      </c>
      <c r="U31" s="1"/>
      <c r="V31" s="1"/>
      <c r="W31" s="1"/>
      <c r="X31" s="1"/>
      <c r="Y31" s="1">
        <v>22</v>
      </c>
      <c r="Z31" s="1">
        <v>50</v>
      </c>
      <c r="AA31" s="1"/>
      <c r="AB31" s="1">
        <v>0</v>
      </c>
      <c r="AC31" s="98">
        <v>0</v>
      </c>
      <c r="AD31" s="172">
        <v>50</v>
      </c>
      <c r="AE31" s="1" t="s">
        <v>417</v>
      </c>
      <c r="AF31" s="1">
        <v>2.5</v>
      </c>
      <c r="AG31" s="1">
        <v>0.35</v>
      </c>
      <c r="AH31" s="1">
        <v>2.5</v>
      </c>
      <c r="AI31" s="1">
        <v>0.5</v>
      </c>
      <c r="AJ31" s="1"/>
      <c r="AK31" s="1"/>
      <c r="AL31" s="1">
        <v>0</v>
      </c>
    </row>
    <row r="32" spans="1:38" x14ac:dyDescent="0.25">
      <c r="A32" s="197" t="s">
        <v>421</v>
      </c>
      <c r="B32" s="1">
        <v>2</v>
      </c>
      <c r="C32" s="1" t="s">
        <v>418</v>
      </c>
      <c r="D32" s="13">
        <v>40141</v>
      </c>
      <c r="E32" s="1">
        <f t="shared" si="0"/>
        <v>1617</v>
      </c>
      <c r="F32" s="1"/>
      <c r="G32" s="13">
        <v>40872</v>
      </c>
      <c r="H32" s="13">
        <f>G31</f>
        <v>40816</v>
      </c>
      <c r="I32" s="13">
        <v>41758</v>
      </c>
      <c r="J32" s="13"/>
      <c r="K32" s="1">
        <f t="shared" si="1"/>
        <v>731</v>
      </c>
      <c r="L32" s="1">
        <f t="shared" si="2"/>
        <v>56</v>
      </c>
      <c r="M32" s="1">
        <f t="shared" si="3"/>
        <v>886</v>
      </c>
      <c r="N32" s="1" t="s">
        <v>417</v>
      </c>
      <c r="O32" s="1">
        <v>6.32</v>
      </c>
      <c r="P32" s="1">
        <f t="shared" si="10"/>
        <v>1</v>
      </c>
      <c r="Q32" s="1">
        <f t="shared" si="11"/>
        <v>1</v>
      </c>
      <c r="R32" s="1">
        <f t="shared" si="12"/>
        <v>1</v>
      </c>
      <c r="S32" s="1">
        <f t="shared" si="13"/>
        <v>1</v>
      </c>
      <c r="T32" s="1" t="s">
        <v>437</v>
      </c>
      <c r="U32" s="1"/>
      <c r="V32" s="1"/>
      <c r="W32" s="1"/>
      <c r="X32" s="1"/>
      <c r="Y32" s="1">
        <v>0</v>
      </c>
      <c r="Z32" s="1">
        <v>52</v>
      </c>
      <c r="AA32" s="1"/>
      <c r="AB32" s="1">
        <v>0</v>
      </c>
      <c r="AC32" s="98">
        <v>0</v>
      </c>
      <c r="AD32" s="172">
        <v>50</v>
      </c>
      <c r="AE32" s="1" t="s">
        <v>417</v>
      </c>
      <c r="AF32" s="1">
        <v>2.5</v>
      </c>
      <c r="AG32" s="1">
        <v>0.35</v>
      </c>
      <c r="AH32" s="1">
        <v>2.5</v>
      </c>
      <c r="AI32" s="1">
        <v>0.5</v>
      </c>
      <c r="AJ32" s="1"/>
      <c r="AK32" s="1"/>
      <c r="AL32" s="1">
        <v>0</v>
      </c>
    </row>
    <row r="33" spans="1:38" x14ac:dyDescent="0.25">
      <c r="A33" s="197" t="s">
        <v>421</v>
      </c>
      <c r="B33" s="1">
        <v>2</v>
      </c>
      <c r="C33" s="1" t="s">
        <v>418</v>
      </c>
      <c r="D33" s="13">
        <v>40141</v>
      </c>
      <c r="E33" s="1">
        <f t="shared" si="0"/>
        <v>1617</v>
      </c>
      <c r="F33" s="1"/>
      <c r="G33" s="13">
        <v>40926</v>
      </c>
      <c r="H33" s="13">
        <f t="shared" ref="H33:H37" si="15">G32</f>
        <v>40872</v>
      </c>
      <c r="I33" s="13">
        <v>41758</v>
      </c>
      <c r="J33" s="13"/>
      <c r="K33" s="1">
        <f t="shared" si="1"/>
        <v>785</v>
      </c>
      <c r="L33" s="1">
        <f t="shared" si="2"/>
        <v>54</v>
      </c>
      <c r="M33" s="1">
        <f t="shared" si="3"/>
        <v>832</v>
      </c>
      <c r="N33" s="1" t="s">
        <v>417</v>
      </c>
      <c r="O33" s="1">
        <v>6.29</v>
      </c>
      <c r="P33" s="1">
        <f t="shared" si="10"/>
        <v>1</v>
      </c>
      <c r="Q33" s="1">
        <f t="shared" si="11"/>
        <v>1</v>
      </c>
      <c r="R33" s="1">
        <f t="shared" si="12"/>
        <v>1</v>
      </c>
      <c r="S33" s="1">
        <f t="shared" si="13"/>
        <v>1</v>
      </c>
      <c r="T33" s="1" t="s">
        <v>437</v>
      </c>
      <c r="U33" s="1"/>
      <c r="V33" s="1"/>
      <c r="W33" s="1"/>
      <c r="X33" s="1"/>
      <c r="Y33" s="1">
        <v>10</v>
      </c>
      <c r="Z33" s="1">
        <v>97</v>
      </c>
      <c r="AA33" s="1"/>
      <c r="AB33" s="1">
        <v>0</v>
      </c>
      <c r="AC33" s="98">
        <v>0</v>
      </c>
      <c r="AD33" s="172">
        <v>50</v>
      </c>
      <c r="AE33" s="1" t="s">
        <v>417</v>
      </c>
      <c r="AF33" s="1">
        <v>2.5</v>
      </c>
      <c r="AG33" s="1">
        <v>0.35</v>
      </c>
      <c r="AH33" s="1">
        <v>2.5</v>
      </c>
      <c r="AI33" s="1">
        <v>0.5</v>
      </c>
      <c r="AJ33" s="1"/>
      <c r="AK33" s="1"/>
      <c r="AL33" s="1">
        <v>0</v>
      </c>
    </row>
    <row r="34" spans="1:38" x14ac:dyDescent="0.25">
      <c r="A34" s="197" t="s">
        <v>421</v>
      </c>
      <c r="B34" s="1">
        <v>2</v>
      </c>
      <c r="C34" s="1" t="s">
        <v>418</v>
      </c>
      <c r="D34" s="13">
        <v>40141</v>
      </c>
      <c r="E34" s="1">
        <f t="shared" si="0"/>
        <v>1617</v>
      </c>
      <c r="F34" s="1"/>
      <c r="G34" s="13">
        <v>41156</v>
      </c>
      <c r="H34" s="13">
        <f t="shared" si="15"/>
        <v>40926</v>
      </c>
      <c r="I34" s="13">
        <v>41758</v>
      </c>
      <c r="J34" s="13"/>
      <c r="K34" s="1">
        <f t="shared" si="1"/>
        <v>1015</v>
      </c>
      <c r="L34" s="1">
        <f t="shared" si="2"/>
        <v>230</v>
      </c>
      <c r="M34" s="1">
        <f t="shared" si="3"/>
        <v>602</v>
      </c>
      <c r="N34" s="1" t="s">
        <v>417</v>
      </c>
      <c r="O34" s="1">
        <v>6.03</v>
      </c>
      <c r="P34" s="1">
        <f t="shared" si="10"/>
        <v>1</v>
      </c>
      <c r="Q34" s="1">
        <f t="shared" si="11"/>
        <v>1</v>
      </c>
      <c r="R34" s="1">
        <f t="shared" si="12"/>
        <v>1</v>
      </c>
      <c r="S34" s="1">
        <f t="shared" si="13"/>
        <v>1</v>
      </c>
      <c r="T34" s="1" t="s">
        <v>437</v>
      </c>
      <c r="U34" s="1"/>
      <c r="V34" s="1"/>
      <c r="W34" s="1"/>
      <c r="X34" s="1"/>
      <c r="Y34" s="1">
        <v>83</v>
      </c>
      <c r="Z34" s="1">
        <v>99</v>
      </c>
      <c r="AA34" s="1"/>
      <c r="AB34" s="1">
        <v>0</v>
      </c>
      <c r="AC34" s="98">
        <v>0</v>
      </c>
      <c r="AD34" s="172">
        <v>50</v>
      </c>
      <c r="AE34" s="1" t="s">
        <v>434</v>
      </c>
      <c r="AF34" s="1">
        <v>2.5</v>
      </c>
      <c r="AG34" s="1">
        <v>0.35</v>
      </c>
      <c r="AH34" s="1">
        <v>2.5</v>
      </c>
      <c r="AI34" s="1">
        <v>0.5</v>
      </c>
      <c r="AJ34" s="1"/>
      <c r="AK34" s="1"/>
      <c r="AL34" s="1">
        <v>0</v>
      </c>
    </row>
    <row r="35" spans="1:38" x14ac:dyDescent="0.25">
      <c r="A35" s="197" t="s">
        <v>421</v>
      </c>
      <c r="B35" s="1">
        <v>2</v>
      </c>
      <c r="C35" s="1" t="s">
        <v>418</v>
      </c>
      <c r="D35" s="13">
        <v>40141</v>
      </c>
      <c r="E35" s="1">
        <f t="shared" si="0"/>
        <v>1617</v>
      </c>
      <c r="F35" s="1"/>
      <c r="G35" s="13">
        <v>41443</v>
      </c>
      <c r="H35" s="13">
        <f t="shared" si="15"/>
        <v>41156</v>
      </c>
      <c r="I35" s="13">
        <v>41758</v>
      </c>
      <c r="J35" s="13"/>
      <c r="K35" s="1">
        <f t="shared" si="1"/>
        <v>1302</v>
      </c>
      <c r="L35" s="1">
        <f t="shared" si="2"/>
        <v>287</v>
      </c>
      <c r="M35" s="1">
        <f t="shared" si="3"/>
        <v>315</v>
      </c>
      <c r="N35" s="1" t="s">
        <v>417</v>
      </c>
      <c r="O35" s="1">
        <v>5.58</v>
      </c>
      <c r="P35" s="1"/>
      <c r="Q35" s="1"/>
      <c r="R35" s="1">
        <f t="shared" si="12"/>
        <v>1</v>
      </c>
      <c r="S35" s="1">
        <f t="shared" si="13"/>
        <v>1</v>
      </c>
      <c r="T35" s="1" t="s">
        <v>442</v>
      </c>
      <c r="U35" s="1"/>
      <c r="V35" s="1"/>
      <c r="W35" s="1"/>
      <c r="X35" s="1"/>
      <c r="Y35" s="1">
        <v>80</v>
      </c>
      <c r="Z35" s="1">
        <v>100</v>
      </c>
      <c r="AA35" s="1"/>
      <c r="AB35" s="1">
        <v>0</v>
      </c>
      <c r="AC35" s="98">
        <v>0</v>
      </c>
      <c r="AD35" s="172">
        <v>50</v>
      </c>
      <c r="AE35" s="1" t="s">
        <v>434</v>
      </c>
      <c r="AF35" s="1">
        <v>2.5</v>
      </c>
      <c r="AG35" s="1">
        <v>0.35</v>
      </c>
      <c r="AH35" s="1">
        <v>2.5</v>
      </c>
      <c r="AI35" s="1">
        <v>0.5</v>
      </c>
      <c r="AJ35" s="1"/>
      <c r="AK35" s="1"/>
      <c r="AL35" s="1">
        <v>0</v>
      </c>
    </row>
    <row r="36" spans="1:38" x14ac:dyDescent="0.25">
      <c r="A36" s="197" t="s">
        <v>421</v>
      </c>
      <c r="B36" s="1">
        <v>2</v>
      </c>
      <c r="C36" s="1" t="s">
        <v>418</v>
      </c>
      <c r="D36" s="13">
        <v>40141</v>
      </c>
      <c r="E36" s="1">
        <f t="shared" si="0"/>
        <v>1617</v>
      </c>
      <c r="F36" s="1"/>
      <c r="G36" s="13">
        <v>41604</v>
      </c>
      <c r="H36" s="13">
        <f t="shared" si="15"/>
        <v>41443</v>
      </c>
      <c r="I36" s="13">
        <v>41758</v>
      </c>
      <c r="J36" s="13"/>
      <c r="K36" s="1">
        <f t="shared" si="1"/>
        <v>1463</v>
      </c>
      <c r="L36" s="1">
        <f t="shared" si="2"/>
        <v>161</v>
      </c>
      <c r="M36" s="1">
        <f t="shared" si="3"/>
        <v>154</v>
      </c>
      <c r="N36" s="1" t="s">
        <v>417</v>
      </c>
      <c r="O36" s="1">
        <v>5.3</v>
      </c>
      <c r="P36" s="1"/>
      <c r="Q36" s="1"/>
      <c r="R36" s="1"/>
      <c r="S36" s="1">
        <f t="shared" si="13"/>
        <v>1</v>
      </c>
      <c r="T36" s="1" t="s">
        <v>442</v>
      </c>
      <c r="U36" s="1"/>
      <c r="V36" s="1"/>
      <c r="W36" s="1"/>
      <c r="X36" s="1"/>
      <c r="Y36" s="1">
        <v>83</v>
      </c>
      <c r="Z36" s="1">
        <v>99</v>
      </c>
      <c r="AA36" s="1"/>
      <c r="AB36" s="1">
        <v>0</v>
      </c>
      <c r="AC36" s="98">
        <v>0</v>
      </c>
      <c r="AD36" s="172">
        <v>50</v>
      </c>
      <c r="AE36" s="1" t="s">
        <v>434</v>
      </c>
      <c r="AF36" s="1">
        <v>2.5</v>
      </c>
      <c r="AG36" s="1">
        <v>0.35</v>
      </c>
      <c r="AH36" s="1">
        <v>2.5</v>
      </c>
      <c r="AI36" s="1">
        <v>0.5</v>
      </c>
      <c r="AJ36" s="1"/>
      <c r="AK36" s="1"/>
      <c r="AL36" s="1">
        <v>0</v>
      </c>
    </row>
    <row r="37" spans="1:38" x14ac:dyDescent="0.25">
      <c r="A37" s="197" t="s">
        <v>421</v>
      </c>
      <c r="B37" s="1">
        <v>2</v>
      </c>
      <c r="C37" s="1" t="s">
        <v>418</v>
      </c>
      <c r="D37" s="13">
        <v>40141</v>
      </c>
      <c r="E37" s="1">
        <f t="shared" si="0"/>
        <v>1617</v>
      </c>
      <c r="F37" s="1"/>
      <c r="G37" s="13">
        <v>41758</v>
      </c>
      <c r="H37" s="13">
        <f t="shared" si="15"/>
        <v>41604</v>
      </c>
      <c r="I37" s="13">
        <v>41758</v>
      </c>
      <c r="J37" s="13"/>
      <c r="K37" s="1">
        <f t="shared" si="1"/>
        <v>1617</v>
      </c>
      <c r="L37" s="1">
        <f t="shared" si="2"/>
        <v>154</v>
      </c>
      <c r="M37" s="1">
        <f t="shared" si="3"/>
        <v>0</v>
      </c>
      <c r="N37" s="1" t="s">
        <v>417</v>
      </c>
      <c r="O37" s="1">
        <v>5.2</v>
      </c>
      <c r="P37" s="1"/>
      <c r="Q37" s="1"/>
      <c r="R37" s="1"/>
      <c r="S37" s="1"/>
      <c r="T37" s="1"/>
      <c r="U37" s="1"/>
      <c r="V37" s="1"/>
      <c r="W37" s="1"/>
      <c r="X37" s="1"/>
      <c r="Y37" s="1">
        <v>86</v>
      </c>
      <c r="Z37" s="1">
        <v>99</v>
      </c>
      <c r="AA37" s="1"/>
      <c r="AB37" s="1">
        <v>0</v>
      </c>
      <c r="AC37" s="98">
        <v>0</v>
      </c>
      <c r="AD37" s="172">
        <v>50</v>
      </c>
      <c r="AE37" s="1" t="s">
        <v>434</v>
      </c>
      <c r="AF37" s="1">
        <v>2.5</v>
      </c>
      <c r="AG37" s="1">
        <v>0.35</v>
      </c>
      <c r="AH37" s="1">
        <v>2.5</v>
      </c>
      <c r="AI37" s="1">
        <v>0.5</v>
      </c>
      <c r="AJ37" s="1"/>
      <c r="AK37" s="1"/>
      <c r="AL37" s="1">
        <v>0</v>
      </c>
    </row>
    <row r="38" spans="1:38" x14ac:dyDescent="0.25">
      <c r="A38" s="199" t="s">
        <v>423</v>
      </c>
      <c r="B38" s="1">
        <v>2</v>
      </c>
      <c r="C38" s="1" t="s">
        <v>418</v>
      </c>
      <c r="D38" s="13">
        <v>39045</v>
      </c>
      <c r="E38" s="1">
        <f t="shared" si="0"/>
        <v>3043</v>
      </c>
      <c r="F38" s="1"/>
      <c r="G38" s="13">
        <v>40567</v>
      </c>
      <c r="H38" s="13">
        <v>39045</v>
      </c>
      <c r="I38" s="13">
        <v>42088</v>
      </c>
      <c r="J38" s="13"/>
      <c r="K38" s="1">
        <f t="shared" si="1"/>
        <v>1522</v>
      </c>
      <c r="L38" s="1">
        <f t="shared" si="2"/>
        <v>1522</v>
      </c>
      <c r="M38" s="1">
        <f t="shared" si="3"/>
        <v>1521</v>
      </c>
      <c r="N38" s="1" t="s">
        <v>417</v>
      </c>
      <c r="O38" s="1">
        <v>5.27</v>
      </c>
      <c r="P38" s="1">
        <f t="shared" ref="P38:P100" si="16">IF(M38&gt;=540,1,"nulo")</f>
        <v>1</v>
      </c>
      <c r="Q38" s="1">
        <f t="shared" ref="Q38:Q101" si="17">IF(M38&gt;=360,1,"nulo")</f>
        <v>1</v>
      </c>
      <c r="R38" s="1">
        <f t="shared" ref="R38:R101" si="18">IF(M38&gt;=180,1,"nulo")</f>
        <v>1</v>
      </c>
      <c r="S38" s="1">
        <f t="shared" ref="S38:S101" si="19">IF(M38&gt;=90,1,"nulo")</f>
        <v>1</v>
      </c>
      <c r="T38" s="1" t="s">
        <v>437</v>
      </c>
      <c r="U38" s="1"/>
      <c r="V38" s="1"/>
      <c r="W38" s="1"/>
      <c r="X38" s="1"/>
      <c r="Y38" s="1">
        <v>0</v>
      </c>
      <c r="Z38" s="1">
        <v>0</v>
      </c>
      <c r="AA38" s="1"/>
      <c r="AB38" s="1">
        <v>0</v>
      </c>
      <c r="AC38" s="98">
        <v>0</v>
      </c>
      <c r="AD38" s="172">
        <v>50</v>
      </c>
      <c r="AE38" s="1" t="s">
        <v>417</v>
      </c>
      <c r="AF38" s="98">
        <v>2.5</v>
      </c>
      <c r="AG38" s="98">
        <v>0.35</v>
      </c>
      <c r="AH38" s="1">
        <v>2.5</v>
      </c>
      <c r="AI38" s="1">
        <v>0.35</v>
      </c>
      <c r="AJ38" s="1"/>
      <c r="AK38" s="1"/>
      <c r="AL38" s="1">
        <v>0</v>
      </c>
    </row>
    <row r="39" spans="1:38" x14ac:dyDescent="0.25">
      <c r="A39" s="199" t="s">
        <v>423</v>
      </c>
      <c r="B39" s="1">
        <v>2</v>
      </c>
      <c r="C39" s="1" t="s">
        <v>418</v>
      </c>
      <c r="D39" s="13">
        <v>39045</v>
      </c>
      <c r="E39" s="1">
        <f t="shared" si="0"/>
        <v>3043</v>
      </c>
      <c r="F39" s="1"/>
      <c r="G39" s="13">
        <v>40708</v>
      </c>
      <c r="H39" s="13">
        <f>G38</f>
        <v>40567</v>
      </c>
      <c r="I39" s="13">
        <v>42088</v>
      </c>
      <c r="J39" s="13"/>
      <c r="K39" s="1">
        <f t="shared" si="1"/>
        <v>1663</v>
      </c>
      <c r="L39" s="1">
        <f t="shared" si="2"/>
        <v>141</v>
      </c>
      <c r="M39" s="1">
        <f t="shared" si="3"/>
        <v>1380</v>
      </c>
      <c r="N39" s="1" t="s">
        <v>417</v>
      </c>
      <c r="O39" s="1">
        <v>5.51</v>
      </c>
      <c r="P39" s="1">
        <f t="shared" si="16"/>
        <v>1</v>
      </c>
      <c r="Q39" s="1">
        <f t="shared" si="17"/>
        <v>1</v>
      </c>
      <c r="R39" s="1">
        <f t="shared" si="18"/>
        <v>1</v>
      </c>
      <c r="S39" s="1">
        <f t="shared" si="19"/>
        <v>1</v>
      </c>
      <c r="T39" s="1" t="s">
        <v>437</v>
      </c>
      <c r="U39" s="1"/>
      <c r="V39" s="1"/>
      <c r="W39" s="1"/>
      <c r="X39" s="1"/>
      <c r="Y39" s="1">
        <v>0</v>
      </c>
      <c r="Z39" s="1">
        <v>0</v>
      </c>
      <c r="AA39" s="1"/>
      <c r="AB39" s="1">
        <v>0</v>
      </c>
      <c r="AC39" s="98">
        <v>1</v>
      </c>
      <c r="AD39" s="172">
        <v>50</v>
      </c>
      <c r="AE39" s="1" t="s">
        <v>417</v>
      </c>
      <c r="AF39" s="98">
        <v>2.5</v>
      </c>
      <c r="AG39" s="98">
        <v>0.35</v>
      </c>
      <c r="AH39" s="1">
        <v>2.5</v>
      </c>
      <c r="AI39" s="1">
        <v>0.35</v>
      </c>
      <c r="AJ39" s="1"/>
      <c r="AK39" s="1"/>
      <c r="AL39" s="1">
        <v>0</v>
      </c>
    </row>
    <row r="40" spans="1:38" x14ac:dyDescent="0.25">
      <c r="A40" s="199" t="s">
        <v>423</v>
      </c>
      <c r="B40" s="1">
        <v>2</v>
      </c>
      <c r="C40" s="1" t="s">
        <v>418</v>
      </c>
      <c r="D40" s="13">
        <v>39045</v>
      </c>
      <c r="E40" s="1">
        <f t="shared" si="0"/>
        <v>3043</v>
      </c>
      <c r="F40" s="1"/>
      <c r="G40" s="13">
        <v>41093</v>
      </c>
      <c r="H40" s="13">
        <f t="shared" ref="H40:H48" si="20">G39</f>
        <v>40708</v>
      </c>
      <c r="I40" s="13">
        <v>42088</v>
      </c>
      <c r="J40" s="13"/>
      <c r="K40" s="1">
        <f t="shared" si="1"/>
        <v>2048</v>
      </c>
      <c r="L40" s="1">
        <f t="shared" si="2"/>
        <v>385</v>
      </c>
      <c r="M40" s="1">
        <f t="shared" si="3"/>
        <v>995</v>
      </c>
      <c r="N40" s="1" t="s">
        <v>417</v>
      </c>
      <c r="O40" s="1">
        <v>5.18</v>
      </c>
      <c r="P40" s="1">
        <f t="shared" si="16"/>
        <v>1</v>
      </c>
      <c r="Q40" s="1">
        <f t="shared" si="17"/>
        <v>1</v>
      </c>
      <c r="R40" s="1">
        <f t="shared" si="18"/>
        <v>1</v>
      </c>
      <c r="S40" s="1">
        <f t="shared" si="19"/>
        <v>1</v>
      </c>
      <c r="T40" s="1" t="s">
        <v>437</v>
      </c>
      <c r="U40" s="1"/>
      <c r="V40" s="1"/>
      <c r="W40" s="1"/>
      <c r="X40" s="1"/>
      <c r="Y40" s="1">
        <v>1</v>
      </c>
      <c r="Z40" s="1">
        <v>0</v>
      </c>
      <c r="AA40" s="1"/>
      <c r="AB40" s="1">
        <v>0</v>
      </c>
      <c r="AC40" s="98">
        <v>1</v>
      </c>
      <c r="AD40" s="172">
        <v>50</v>
      </c>
      <c r="AE40" s="1" t="s">
        <v>417</v>
      </c>
      <c r="AF40" s="98">
        <v>2.5</v>
      </c>
      <c r="AG40" s="98">
        <v>0.35</v>
      </c>
      <c r="AH40" s="1">
        <v>2.5</v>
      </c>
      <c r="AI40" s="1">
        <v>0.35</v>
      </c>
      <c r="AJ40" s="1"/>
      <c r="AK40" s="1"/>
      <c r="AL40" s="1">
        <v>0</v>
      </c>
    </row>
    <row r="41" spans="1:38" x14ac:dyDescent="0.25">
      <c r="A41" s="199" t="s">
        <v>423</v>
      </c>
      <c r="B41" s="1">
        <v>2</v>
      </c>
      <c r="C41" s="1" t="s">
        <v>418</v>
      </c>
      <c r="D41" s="13">
        <v>39045</v>
      </c>
      <c r="E41" s="1">
        <f t="shared" si="0"/>
        <v>3043</v>
      </c>
      <c r="F41" s="1"/>
      <c r="G41" s="13">
        <v>41311</v>
      </c>
      <c r="H41" s="13">
        <f t="shared" si="20"/>
        <v>41093</v>
      </c>
      <c r="I41" s="13">
        <v>42088</v>
      </c>
      <c r="J41" s="13"/>
      <c r="K41" s="1">
        <f t="shared" si="1"/>
        <v>2266</v>
      </c>
      <c r="L41" s="1">
        <f t="shared" si="2"/>
        <v>218</v>
      </c>
      <c r="M41" s="1">
        <f t="shared" si="3"/>
        <v>777</v>
      </c>
      <c r="N41" s="1" t="s">
        <v>417</v>
      </c>
      <c r="O41" s="1">
        <v>5.15</v>
      </c>
      <c r="P41" s="1">
        <f t="shared" si="16"/>
        <v>1</v>
      </c>
      <c r="Q41" s="1">
        <f t="shared" si="17"/>
        <v>1</v>
      </c>
      <c r="R41" s="1">
        <f t="shared" si="18"/>
        <v>1</v>
      </c>
      <c r="S41" s="1">
        <f t="shared" si="19"/>
        <v>1</v>
      </c>
      <c r="T41" s="1" t="s">
        <v>437</v>
      </c>
      <c r="U41" s="1"/>
      <c r="V41" s="1"/>
      <c r="W41" s="1"/>
      <c r="X41" s="1"/>
      <c r="Y41" s="1">
        <v>1</v>
      </c>
      <c r="Z41" s="1">
        <v>0</v>
      </c>
      <c r="AA41" s="1"/>
      <c r="AB41" s="1">
        <v>0</v>
      </c>
      <c r="AC41" s="98">
        <v>0</v>
      </c>
      <c r="AD41" s="172">
        <v>50</v>
      </c>
      <c r="AE41" s="1" t="s">
        <v>417</v>
      </c>
      <c r="AF41" s="98">
        <v>2.5</v>
      </c>
      <c r="AG41" s="98">
        <v>0.35</v>
      </c>
      <c r="AH41" s="1">
        <v>2.5</v>
      </c>
      <c r="AI41" s="1">
        <v>0.35</v>
      </c>
      <c r="AJ41" s="1"/>
      <c r="AK41" s="1"/>
      <c r="AL41" s="1">
        <v>0</v>
      </c>
    </row>
    <row r="42" spans="1:38" x14ac:dyDescent="0.25">
      <c r="A42" s="199" t="s">
        <v>423</v>
      </c>
      <c r="B42" s="1">
        <v>2</v>
      </c>
      <c r="C42" s="1" t="s">
        <v>418</v>
      </c>
      <c r="D42" s="13">
        <v>39045</v>
      </c>
      <c r="E42" s="1">
        <f t="shared" si="0"/>
        <v>3043</v>
      </c>
      <c r="F42" s="1"/>
      <c r="G42" s="13">
        <v>41422</v>
      </c>
      <c r="H42" s="13">
        <f t="shared" si="20"/>
        <v>41311</v>
      </c>
      <c r="I42" s="13">
        <v>42088</v>
      </c>
      <c r="J42" s="13"/>
      <c r="K42" s="1">
        <f t="shared" si="1"/>
        <v>2377</v>
      </c>
      <c r="L42" s="1">
        <f t="shared" si="2"/>
        <v>111</v>
      </c>
      <c r="M42" s="1">
        <f t="shared" si="3"/>
        <v>666</v>
      </c>
      <c r="N42" s="1" t="s">
        <v>417</v>
      </c>
      <c r="O42" s="1">
        <v>5.15</v>
      </c>
      <c r="P42" s="1">
        <f t="shared" si="16"/>
        <v>1</v>
      </c>
      <c r="Q42" s="1">
        <f t="shared" si="17"/>
        <v>1</v>
      </c>
      <c r="R42" s="1">
        <f t="shared" si="18"/>
        <v>1</v>
      </c>
      <c r="S42" s="1">
        <f t="shared" si="19"/>
        <v>1</v>
      </c>
      <c r="T42" s="1" t="s">
        <v>437</v>
      </c>
      <c r="U42" s="1"/>
      <c r="V42" s="1"/>
      <c r="W42" s="1"/>
      <c r="X42" s="1"/>
      <c r="Y42" s="1">
        <v>1</v>
      </c>
      <c r="Z42" s="1">
        <v>0</v>
      </c>
      <c r="AA42" s="1"/>
      <c r="AB42" s="1">
        <v>0</v>
      </c>
      <c r="AC42" s="98">
        <v>0</v>
      </c>
      <c r="AD42" s="172">
        <v>50</v>
      </c>
      <c r="AE42" s="1" t="s">
        <v>417</v>
      </c>
      <c r="AF42" s="98">
        <v>2.5</v>
      </c>
      <c r="AG42" s="98">
        <v>0.35</v>
      </c>
      <c r="AH42" s="1">
        <v>2.5</v>
      </c>
      <c r="AI42" s="1">
        <v>0.35</v>
      </c>
      <c r="AJ42" s="1"/>
      <c r="AK42" s="1"/>
      <c r="AL42" s="1">
        <v>0</v>
      </c>
    </row>
    <row r="43" spans="1:38" x14ac:dyDescent="0.25">
      <c r="A43" s="199" t="s">
        <v>423</v>
      </c>
      <c r="B43" s="1">
        <v>2</v>
      </c>
      <c r="C43" s="1" t="s">
        <v>418</v>
      </c>
      <c r="D43" s="13">
        <v>39045</v>
      </c>
      <c r="E43" s="1">
        <f t="shared" si="0"/>
        <v>3043</v>
      </c>
      <c r="F43" s="1"/>
      <c r="G43" s="13">
        <v>41528</v>
      </c>
      <c r="H43" s="13">
        <f t="shared" si="20"/>
        <v>41422</v>
      </c>
      <c r="I43" s="13">
        <v>42088</v>
      </c>
      <c r="J43" s="13"/>
      <c r="K43" s="1">
        <f t="shared" si="1"/>
        <v>2483</v>
      </c>
      <c r="L43" s="1">
        <f t="shared" si="2"/>
        <v>106</v>
      </c>
      <c r="M43" s="1">
        <f t="shared" si="3"/>
        <v>560</v>
      </c>
      <c r="N43" s="1" t="s">
        <v>417</v>
      </c>
      <c r="O43" s="1">
        <v>5.14</v>
      </c>
      <c r="P43" s="1">
        <f t="shared" si="16"/>
        <v>1</v>
      </c>
      <c r="Q43" s="1">
        <f t="shared" si="17"/>
        <v>1</v>
      </c>
      <c r="R43" s="1">
        <f t="shared" si="18"/>
        <v>1</v>
      </c>
      <c r="S43" s="1">
        <f t="shared" si="19"/>
        <v>1</v>
      </c>
      <c r="T43" s="1" t="s">
        <v>437</v>
      </c>
      <c r="U43" s="1"/>
      <c r="V43" s="1"/>
      <c r="W43" s="1"/>
      <c r="X43" s="1"/>
      <c r="Y43" s="1">
        <v>1</v>
      </c>
      <c r="Z43" s="1">
        <v>0</v>
      </c>
      <c r="AA43" s="1"/>
      <c r="AB43" s="1">
        <v>0</v>
      </c>
      <c r="AC43" s="98">
        <v>0</v>
      </c>
      <c r="AD43" s="172">
        <v>50</v>
      </c>
      <c r="AE43" s="1" t="s">
        <v>417</v>
      </c>
      <c r="AF43" s="98">
        <v>2.5</v>
      </c>
      <c r="AG43" s="98">
        <v>0.35</v>
      </c>
      <c r="AH43" s="1">
        <v>2.5</v>
      </c>
      <c r="AI43" s="1">
        <v>0.35</v>
      </c>
      <c r="AJ43" s="1"/>
      <c r="AK43" s="1"/>
      <c r="AL43" s="1">
        <v>0</v>
      </c>
    </row>
    <row r="44" spans="1:38" x14ac:dyDescent="0.25">
      <c r="A44" s="199" t="s">
        <v>423</v>
      </c>
      <c r="B44" s="1">
        <v>2</v>
      </c>
      <c r="C44" s="1" t="s">
        <v>418</v>
      </c>
      <c r="D44" s="13">
        <v>39045</v>
      </c>
      <c r="E44" s="1">
        <f t="shared" si="0"/>
        <v>3043</v>
      </c>
      <c r="F44" s="1"/>
      <c r="G44" s="13">
        <v>41709</v>
      </c>
      <c r="H44" s="13">
        <f t="shared" si="20"/>
        <v>41528</v>
      </c>
      <c r="I44" s="13">
        <v>42088</v>
      </c>
      <c r="J44" s="13"/>
      <c r="K44" s="1">
        <f t="shared" si="1"/>
        <v>2664</v>
      </c>
      <c r="L44" s="1">
        <f t="shared" si="2"/>
        <v>181</v>
      </c>
      <c r="M44" s="1">
        <f t="shared" si="3"/>
        <v>379</v>
      </c>
      <c r="N44" s="1" t="s">
        <v>417</v>
      </c>
      <c r="O44" s="1">
        <v>5.13</v>
      </c>
      <c r="P44" s="1"/>
      <c r="Q44" s="1">
        <f t="shared" si="17"/>
        <v>1</v>
      </c>
      <c r="R44" s="1">
        <f t="shared" si="18"/>
        <v>1</v>
      </c>
      <c r="S44" s="1">
        <f t="shared" si="19"/>
        <v>1</v>
      </c>
      <c r="T44" s="1" t="s">
        <v>442</v>
      </c>
      <c r="U44" s="1"/>
      <c r="V44" s="1"/>
      <c r="W44" s="1"/>
      <c r="X44" s="1"/>
      <c r="Y44" s="1">
        <v>1</v>
      </c>
      <c r="Z44" s="1">
        <v>0</v>
      </c>
      <c r="AA44" s="1"/>
      <c r="AB44" s="1">
        <v>1</v>
      </c>
      <c r="AC44" s="98">
        <v>0</v>
      </c>
      <c r="AD44" s="172">
        <v>50</v>
      </c>
      <c r="AE44" s="1" t="s">
        <v>417</v>
      </c>
      <c r="AF44" s="98">
        <v>2.5</v>
      </c>
      <c r="AG44" s="98">
        <v>0.35</v>
      </c>
      <c r="AH44" s="1">
        <v>2.5</v>
      </c>
      <c r="AI44" s="1">
        <v>0.35</v>
      </c>
      <c r="AJ44" s="1"/>
      <c r="AK44" s="1"/>
      <c r="AL44" s="1">
        <v>0</v>
      </c>
    </row>
    <row r="45" spans="1:38" x14ac:dyDescent="0.25">
      <c r="A45" s="199" t="s">
        <v>423</v>
      </c>
      <c r="B45" s="1">
        <v>2</v>
      </c>
      <c r="C45" s="1" t="s">
        <v>418</v>
      </c>
      <c r="D45" s="13">
        <v>39045</v>
      </c>
      <c r="E45" s="1">
        <f t="shared" si="0"/>
        <v>3043</v>
      </c>
      <c r="F45" s="1"/>
      <c r="G45" s="13">
        <v>41857</v>
      </c>
      <c r="H45" s="13">
        <f t="shared" si="20"/>
        <v>41709</v>
      </c>
      <c r="I45" s="13">
        <v>42088</v>
      </c>
      <c r="J45" s="13"/>
      <c r="K45" s="1">
        <f t="shared" si="1"/>
        <v>2812</v>
      </c>
      <c r="L45" s="1">
        <f t="shared" si="2"/>
        <v>148</v>
      </c>
      <c r="M45" s="1">
        <f t="shared" si="3"/>
        <v>231</v>
      </c>
      <c r="N45" s="1" t="s">
        <v>417</v>
      </c>
      <c r="O45" s="1">
        <v>5.07</v>
      </c>
      <c r="P45" s="1"/>
      <c r="Q45" s="1"/>
      <c r="R45" s="1">
        <f t="shared" si="18"/>
        <v>1</v>
      </c>
      <c r="S45" s="1">
        <f t="shared" si="19"/>
        <v>1</v>
      </c>
      <c r="T45" s="1" t="s">
        <v>442</v>
      </c>
      <c r="U45" s="1"/>
      <c r="V45" s="1"/>
      <c r="W45" s="1"/>
      <c r="X45" s="1"/>
      <c r="Y45" s="1">
        <v>3</v>
      </c>
      <c r="Z45" s="1">
        <v>0</v>
      </c>
      <c r="AA45" s="1"/>
      <c r="AB45" s="1">
        <v>1</v>
      </c>
      <c r="AC45" s="98">
        <v>0</v>
      </c>
      <c r="AD45" s="172">
        <v>50</v>
      </c>
      <c r="AE45" s="1" t="s">
        <v>417</v>
      </c>
      <c r="AF45" s="98">
        <v>2.5</v>
      </c>
      <c r="AG45" s="98">
        <v>0.35</v>
      </c>
      <c r="AH45" s="1">
        <v>2.5</v>
      </c>
      <c r="AI45" s="1">
        <v>0.35</v>
      </c>
      <c r="AJ45" s="1"/>
      <c r="AK45" s="1"/>
      <c r="AL45" s="1">
        <v>0</v>
      </c>
    </row>
    <row r="46" spans="1:38" x14ac:dyDescent="0.25">
      <c r="A46" s="199" t="s">
        <v>423</v>
      </c>
      <c r="B46" s="1">
        <v>2</v>
      </c>
      <c r="C46" s="1" t="s">
        <v>418</v>
      </c>
      <c r="D46" s="13">
        <v>39045</v>
      </c>
      <c r="E46" s="1">
        <f t="shared" si="0"/>
        <v>3043</v>
      </c>
      <c r="F46" s="1"/>
      <c r="G46" s="13">
        <v>41897</v>
      </c>
      <c r="H46" s="13">
        <f t="shared" si="20"/>
        <v>41857</v>
      </c>
      <c r="I46" s="13">
        <v>42088</v>
      </c>
      <c r="J46" s="13"/>
      <c r="K46" s="1">
        <f t="shared" si="1"/>
        <v>2852</v>
      </c>
      <c r="L46" s="1">
        <f t="shared" si="2"/>
        <v>40</v>
      </c>
      <c r="M46" s="1">
        <f t="shared" si="3"/>
        <v>191</v>
      </c>
      <c r="N46" s="1" t="s">
        <v>417</v>
      </c>
      <c r="O46" s="1">
        <v>5.05</v>
      </c>
      <c r="P46" s="1"/>
      <c r="Q46" s="1"/>
      <c r="R46" s="1">
        <f t="shared" si="18"/>
        <v>1</v>
      </c>
      <c r="S46" s="1">
        <f t="shared" si="19"/>
        <v>1</v>
      </c>
      <c r="T46" s="1" t="s">
        <v>442</v>
      </c>
      <c r="U46" s="1"/>
      <c r="V46" s="1"/>
      <c r="W46" s="1"/>
      <c r="X46" s="1"/>
      <c r="Y46" s="1">
        <v>4</v>
      </c>
      <c r="Z46" s="1">
        <v>0</v>
      </c>
      <c r="AA46" s="1"/>
      <c r="AB46" s="1">
        <v>2</v>
      </c>
      <c r="AC46" s="98">
        <v>0</v>
      </c>
      <c r="AD46" s="172">
        <v>50</v>
      </c>
      <c r="AE46" s="1" t="s">
        <v>417</v>
      </c>
      <c r="AF46" s="98">
        <v>2.5</v>
      </c>
      <c r="AG46" s="98">
        <v>0.35</v>
      </c>
      <c r="AH46" s="1">
        <v>2.5</v>
      </c>
      <c r="AI46" s="1">
        <v>0.35</v>
      </c>
      <c r="AJ46" s="1"/>
      <c r="AK46" s="1"/>
      <c r="AL46" s="1">
        <v>0</v>
      </c>
    </row>
    <row r="47" spans="1:38" x14ac:dyDescent="0.25">
      <c r="A47" s="199" t="s">
        <v>423</v>
      </c>
      <c r="B47" s="1">
        <v>2</v>
      </c>
      <c r="C47" s="1" t="s">
        <v>418</v>
      </c>
      <c r="D47" s="13">
        <v>39045</v>
      </c>
      <c r="E47" s="1">
        <f t="shared" si="0"/>
        <v>3043</v>
      </c>
      <c r="F47" s="1"/>
      <c r="G47" s="13">
        <v>41982</v>
      </c>
      <c r="H47" s="13">
        <f t="shared" si="20"/>
        <v>41897</v>
      </c>
      <c r="I47" s="13">
        <v>42088</v>
      </c>
      <c r="J47" s="13"/>
      <c r="K47" s="1">
        <f t="shared" si="1"/>
        <v>2937</v>
      </c>
      <c r="L47" s="1">
        <f t="shared" si="2"/>
        <v>85</v>
      </c>
      <c r="M47" s="1">
        <f t="shared" si="3"/>
        <v>106</v>
      </c>
      <c r="N47" s="1" t="s">
        <v>417</v>
      </c>
      <c r="O47" s="1">
        <v>4.9400000000000004</v>
      </c>
      <c r="P47" s="1"/>
      <c r="Q47" s="1"/>
      <c r="R47" s="1"/>
      <c r="S47" s="1">
        <f t="shared" si="19"/>
        <v>1</v>
      </c>
      <c r="T47" s="1" t="s">
        <v>442</v>
      </c>
      <c r="U47" s="1"/>
      <c r="V47" s="1"/>
      <c r="W47" s="1"/>
      <c r="X47" s="1"/>
      <c r="Y47" s="1">
        <v>3</v>
      </c>
      <c r="Z47" s="1">
        <v>0</v>
      </c>
      <c r="AA47" s="1"/>
      <c r="AB47" s="1">
        <v>0</v>
      </c>
      <c r="AC47" s="98">
        <v>0</v>
      </c>
      <c r="AD47" s="172">
        <v>50</v>
      </c>
      <c r="AE47" s="1" t="s">
        <v>417</v>
      </c>
      <c r="AF47" s="98">
        <v>2.5</v>
      </c>
      <c r="AG47" s="98">
        <v>0.35</v>
      </c>
      <c r="AH47" s="1">
        <v>2.5</v>
      </c>
      <c r="AI47" s="1">
        <v>0.35</v>
      </c>
      <c r="AJ47" s="1"/>
      <c r="AK47" s="1"/>
      <c r="AL47" s="1">
        <v>0</v>
      </c>
    </row>
    <row r="48" spans="1:38" x14ac:dyDescent="0.25">
      <c r="A48" s="199" t="s">
        <v>423</v>
      </c>
      <c r="B48" s="1">
        <v>2</v>
      </c>
      <c r="C48" s="1" t="s">
        <v>418</v>
      </c>
      <c r="D48" s="13">
        <v>39045</v>
      </c>
      <c r="E48" s="1">
        <f t="shared" si="0"/>
        <v>3043</v>
      </c>
      <c r="F48" s="1"/>
      <c r="G48" s="13">
        <v>42088</v>
      </c>
      <c r="H48" s="13">
        <f t="shared" si="20"/>
        <v>41982</v>
      </c>
      <c r="I48" s="13">
        <v>42088</v>
      </c>
      <c r="J48" s="13"/>
      <c r="K48" s="1">
        <f t="shared" si="1"/>
        <v>3043</v>
      </c>
      <c r="L48" s="1">
        <f t="shared" si="2"/>
        <v>106</v>
      </c>
      <c r="M48" s="1">
        <f t="shared" si="3"/>
        <v>0</v>
      </c>
      <c r="N48" s="1" t="s">
        <v>434</v>
      </c>
      <c r="O48" s="1">
        <v>4.7</v>
      </c>
      <c r="P48" s="1"/>
      <c r="Q48" s="1"/>
      <c r="R48" s="1"/>
      <c r="S48" s="1"/>
      <c r="T48" s="1"/>
      <c r="U48" s="1">
        <v>0</v>
      </c>
      <c r="V48" s="1">
        <v>0</v>
      </c>
      <c r="W48" s="1">
        <v>0</v>
      </c>
      <c r="X48" s="1">
        <v>1</v>
      </c>
      <c r="Y48" s="1">
        <v>2</v>
      </c>
      <c r="Z48" s="1">
        <v>0</v>
      </c>
      <c r="AA48" s="1"/>
      <c r="AB48" s="1">
        <v>1</v>
      </c>
      <c r="AC48" s="98">
        <v>0</v>
      </c>
      <c r="AD48" s="172">
        <v>50</v>
      </c>
      <c r="AE48" s="1" t="s">
        <v>417</v>
      </c>
      <c r="AF48" s="98">
        <v>2.5</v>
      </c>
      <c r="AG48" s="98">
        <v>0.35</v>
      </c>
      <c r="AH48" s="1">
        <v>2.5</v>
      </c>
      <c r="AI48" s="1">
        <v>0.35</v>
      </c>
      <c r="AJ48" s="1"/>
      <c r="AK48" s="1"/>
      <c r="AL48" s="1">
        <v>0</v>
      </c>
    </row>
    <row r="49" spans="1:38" x14ac:dyDescent="0.25">
      <c r="A49" s="200" t="s">
        <v>173</v>
      </c>
      <c r="B49" s="1">
        <v>2</v>
      </c>
      <c r="C49" s="1" t="s">
        <v>418</v>
      </c>
      <c r="D49" s="13">
        <v>39161</v>
      </c>
      <c r="E49" s="1">
        <f t="shared" si="0"/>
        <v>3040</v>
      </c>
      <c r="F49" s="1"/>
      <c r="G49" s="13">
        <v>40834</v>
      </c>
      <c r="H49" s="13">
        <v>39161</v>
      </c>
      <c r="I49" s="13">
        <v>42201</v>
      </c>
      <c r="J49" s="13"/>
      <c r="K49" s="1">
        <f t="shared" si="1"/>
        <v>1673</v>
      </c>
      <c r="L49" s="1">
        <f t="shared" si="2"/>
        <v>1673</v>
      </c>
      <c r="M49" s="1">
        <f t="shared" si="3"/>
        <v>1367</v>
      </c>
      <c r="N49" s="1" t="s">
        <v>417</v>
      </c>
      <c r="O49" s="1">
        <v>5.47</v>
      </c>
      <c r="P49" s="1">
        <f t="shared" si="16"/>
        <v>1</v>
      </c>
      <c r="Q49" s="1">
        <f t="shared" si="17"/>
        <v>1</v>
      </c>
      <c r="R49" s="1">
        <f t="shared" si="18"/>
        <v>1</v>
      </c>
      <c r="S49" s="1">
        <f t="shared" si="19"/>
        <v>1</v>
      </c>
      <c r="T49" s="1" t="s">
        <v>437</v>
      </c>
      <c r="U49" s="1"/>
      <c r="V49" s="1"/>
      <c r="W49" s="1"/>
      <c r="X49" s="1"/>
      <c r="Y49" s="1">
        <v>1</v>
      </c>
      <c r="Z49" s="1">
        <v>0</v>
      </c>
      <c r="AA49" s="1"/>
      <c r="AB49" s="1">
        <v>0</v>
      </c>
      <c r="AC49" s="98">
        <v>0</v>
      </c>
      <c r="AD49" s="172">
        <v>50</v>
      </c>
      <c r="AE49" s="1" t="s">
        <v>417</v>
      </c>
      <c r="AF49" s="98">
        <v>2.5</v>
      </c>
      <c r="AG49" s="98">
        <v>0.35</v>
      </c>
      <c r="AH49" s="1">
        <v>3</v>
      </c>
      <c r="AI49" s="1">
        <v>0.35</v>
      </c>
      <c r="AJ49" s="1"/>
      <c r="AK49" s="1"/>
      <c r="AL49" s="1">
        <v>0</v>
      </c>
    </row>
    <row r="50" spans="1:38" x14ac:dyDescent="0.25">
      <c r="A50" s="200" t="s">
        <v>173</v>
      </c>
      <c r="B50" s="1">
        <v>2</v>
      </c>
      <c r="C50" s="1" t="s">
        <v>418</v>
      </c>
      <c r="D50" s="13">
        <v>39161</v>
      </c>
      <c r="E50" s="1">
        <f t="shared" si="0"/>
        <v>3040</v>
      </c>
      <c r="F50" s="1"/>
      <c r="G50" s="13">
        <v>41016</v>
      </c>
      <c r="H50" s="13">
        <f>G49</f>
        <v>40834</v>
      </c>
      <c r="I50" s="13">
        <v>42201</v>
      </c>
      <c r="J50" s="13"/>
      <c r="K50" s="1">
        <f t="shared" si="1"/>
        <v>1855</v>
      </c>
      <c r="L50" s="1">
        <f t="shared" si="2"/>
        <v>182</v>
      </c>
      <c r="M50" s="1">
        <f t="shared" si="3"/>
        <v>1185</v>
      </c>
      <c r="N50" s="1" t="s">
        <v>417</v>
      </c>
      <c r="O50" s="1">
        <v>5.29</v>
      </c>
      <c r="P50" s="1">
        <f t="shared" si="16"/>
        <v>1</v>
      </c>
      <c r="Q50" s="1">
        <f t="shared" si="17"/>
        <v>1</v>
      </c>
      <c r="R50" s="1">
        <f t="shared" si="18"/>
        <v>1</v>
      </c>
      <c r="S50" s="1">
        <f t="shared" si="19"/>
        <v>1</v>
      </c>
      <c r="T50" s="1" t="s">
        <v>437</v>
      </c>
      <c r="U50" s="1"/>
      <c r="V50" s="1"/>
      <c r="W50" s="1"/>
      <c r="X50" s="1"/>
      <c r="Y50" s="1">
        <v>0</v>
      </c>
      <c r="Z50" s="1">
        <v>0</v>
      </c>
      <c r="AA50" s="1"/>
      <c r="AB50" s="1">
        <v>0</v>
      </c>
      <c r="AC50" s="98">
        <v>1</v>
      </c>
      <c r="AD50" s="172">
        <v>50</v>
      </c>
      <c r="AE50" s="1" t="s">
        <v>417</v>
      </c>
      <c r="AF50" s="98">
        <v>2.5</v>
      </c>
      <c r="AG50" s="98">
        <v>0.35</v>
      </c>
      <c r="AH50" s="1">
        <v>3</v>
      </c>
      <c r="AI50" s="1">
        <v>0.35</v>
      </c>
      <c r="AJ50" s="1"/>
      <c r="AK50" s="1"/>
      <c r="AL50" s="1">
        <v>0</v>
      </c>
    </row>
    <row r="51" spans="1:38" x14ac:dyDescent="0.25">
      <c r="A51" s="200" t="s">
        <v>173</v>
      </c>
      <c r="B51" s="1">
        <v>2</v>
      </c>
      <c r="C51" s="1" t="s">
        <v>418</v>
      </c>
      <c r="D51" s="13">
        <v>39161</v>
      </c>
      <c r="E51" s="1">
        <f t="shared" si="0"/>
        <v>3040</v>
      </c>
      <c r="F51" s="1"/>
      <c r="G51" s="13">
        <v>41128</v>
      </c>
      <c r="H51" s="13">
        <f t="shared" ref="H51:H57" si="21">G50</f>
        <v>41016</v>
      </c>
      <c r="I51" s="13">
        <v>42201</v>
      </c>
      <c r="J51" s="13"/>
      <c r="K51" s="1">
        <f t="shared" si="1"/>
        <v>1967</v>
      </c>
      <c r="L51" s="1">
        <f t="shared" si="2"/>
        <v>112</v>
      </c>
      <c r="M51" s="1">
        <f t="shared" si="3"/>
        <v>1073</v>
      </c>
      <c r="N51" s="1" t="s">
        <v>417</v>
      </c>
      <c r="O51" s="1">
        <v>5.23</v>
      </c>
      <c r="P51" s="1">
        <f t="shared" si="16"/>
        <v>1</v>
      </c>
      <c r="Q51" s="1">
        <f t="shared" si="17"/>
        <v>1</v>
      </c>
      <c r="R51" s="1">
        <f t="shared" si="18"/>
        <v>1</v>
      </c>
      <c r="S51" s="1">
        <f t="shared" si="19"/>
        <v>1</v>
      </c>
      <c r="T51" s="1" t="s">
        <v>437</v>
      </c>
      <c r="U51" s="1"/>
      <c r="V51" s="1"/>
      <c r="W51" s="1"/>
      <c r="X51" s="1"/>
      <c r="Y51" s="1">
        <v>0</v>
      </c>
      <c r="Z51" s="1">
        <v>0</v>
      </c>
      <c r="AA51" s="1"/>
      <c r="AB51" s="1">
        <v>0</v>
      </c>
      <c r="AC51" s="98">
        <v>0</v>
      </c>
      <c r="AD51" s="172">
        <v>50</v>
      </c>
      <c r="AE51" s="1" t="s">
        <v>417</v>
      </c>
      <c r="AF51" s="98">
        <v>2.5</v>
      </c>
      <c r="AG51" s="98">
        <v>0.35</v>
      </c>
      <c r="AH51" s="1">
        <v>3</v>
      </c>
      <c r="AI51" s="1">
        <v>0.35</v>
      </c>
      <c r="AJ51" s="1"/>
      <c r="AK51" s="1"/>
      <c r="AL51" s="1">
        <v>0</v>
      </c>
    </row>
    <row r="52" spans="1:38" x14ac:dyDescent="0.25">
      <c r="A52" s="200" t="s">
        <v>173</v>
      </c>
      <c r="B52" s="1">
        <v>2</v>
      </c>
      <c r="C52" s="1" t="s">
        <v>418</v>
      </c>
      <c r="D52" s="13">
        <v>39161</v>
      </c>
      <c r="E52" s="1">
        <f t="shared" si="0"/>
        <v>3040</v>
      </c>
      <c r="F52" s="1"/>
      <c r="G52" s="13">
        <v>41331</v>
      </c>
      <c r="H52" s="13">
        <f t="shared" si="21"/>
        <v>41128</v>
      </c>
      <c r="I52" s="13">
        <v>42201</v>
      </c>
      <c r="J52" s="13"/>
      <c r="K52" s="1">
        <f t="shared" si="1"/>
        <v>2170</v>
      </c>
      <c r="L52" s="1">
        <f t="shared" si="2"/>
        <v>203</v>
      </c>
      <c r="M52" s="1">
        <f t="shared" si="3"/>
        <v>870</v>
      </c>
      <c r="N52" s="1" t="s">
        <v>417</v>
      </c>
      <c r="O52" s="1">
        <v>5.17</v>
      </c>
      <c r="P52" s="1">
        <f t="shared" si="16"/>
        <v>1</v>
      </c>
      <c r="Q52" s="1">
        <f t="shared" si="17"/>
        <v>1</v>
      </c>
      <c r="R52" s="1">
        <f t="shared" si="18"/>
        <v>1</v>
      </c>
      <c r="S52" s="1">
        <f t="shared" si="19"/>
        <v>1</v>
      </c>
      <c r="T52" s="1" t="s">
        <v>437</v>
      </c>
      <c r="U52" s="1"/>
      <c r="V52" s="1"/>
      <c r="W52" s="1"/>
      <c r="X52" s="1"/>
      <c r="Y52" s="1">
        <v>0</v>
      </c>
      <c r="Z52" s="1">
        <v>0</v>
      </c>
      <c r="AA52" s="1"/>
      <c r="AB52" s="1">
        <v>0</v>
      </c>
      <c r="AC52" s="98">
        <v>0</v>
      </c>
      <c r="AD52" s="172">
        <v>50</v>
      </c>
      <c r="AE52" s="1" t="s">
        <v>417</v>
      </c>
      <c r="AF52" s="98">
        <v>2.5</v>
      </c>
      <c r="AG52" s="98">
        <v>0.35</v>
      </c>
      <c r="AH52" s="1">
        <v>3</v>
      </c>
      <c r="AI52" s="1">
        <v>0.35</v>
      </c>
      <c r="AJ52" s="1"/>
      <c r="AK52" s="1"/>
      <c r="AL52" s="1">
        <v>0</v>
      </c>
    </row>
    <row r="53" spans="1:38" x14ac:dyDescent="0.25">
      <c r="A53" s="200" t="s">
        <v>173</v>
      </c>
      <c r="B53" s="1">
        <v>2</v>
      </c>
      <c r="C53" s="1" t="s">
        <v>418</v>
      </c>
      <c r="D53" s="13">
        <v>39161</v>
      </c>
      <c r="E53" s="1">
        <f t="shared" si="0"/>
        <v>3040</v>
      </c>
      <c r="F53" s="1"/>
      <c r="G53" s="13">
        <v>41528</v>
      </c>
      <c r="H53" s="13">
        <f t="shared" si="21"/>
        <v>41331</v>
      </c>
      <c r="I53" s="13">
        <v>42201</v>
      </c>
      <c r="J53" s="13"/>
      <c r="K53" s="1">
        <f t="shared" si="1"/>
        <v>2367</v>
      </c>
      <c r="L53" s="1">
        <f t="shared" si="2"/>
        <v>197</v>
      </c>
      <c r="M53" s="1">
        <f t="shared" si="3"/>
        <v>673</v>
      </c>
      <c r="N53" s="1" t="s">
        <v>417</v>
      </c>
      <c r="O53" s="1">
        <v>5.16</v>
      </c>
      <c r="P53" s="1">
        <f t="shared" si="16"/>
        <v>1</v>
      </c>
      <c r="Q53" s="1">
        <f t="shared" si="17"/>
        <v>1</v>
      </c>
      <c r="R53" s="1">
        <f t="shared" si="18"/>
        <v>1</v>
      </c>
      <c r="S53" s="1">
        <f t="shared" si="19"/>
        <v>1</v>
      </c>
      <c r="T53" s="1" t="s">
        <v>437</v>
      </c>
      <c r="U53" s="1"/>
      <c r="V53" s="1"/>
      <c r="W53" s="1"/>
      <c r="X53" s="1"/>
      <c r="Y53" s="1">
        <v>0</v>
      </c>
      <c r="Z53" s="1">
        <v>0</v>
      </c>
      <c r="AA53" s="1"/>
      <c r="AB53" s="1">
        <v>0</v>
      </c>
      <c r="AC53" s="98">
        <v>0</v>
      </c>
      <c r="AD53" s="172">
        <v>40</v>
      </c>
      <c r="AE53" s="1" t="s">
        <v>417</v>
      </c>
      <c r="AF53" s="98">
        <v>2.5</v>
      </c>
      <c r="AG53" s="98">
        <v>0.35</v>
      </c>
      <c r="AH53" s="1">
        <v>3</v>
      </c>
      <c r="AI53" s="1">
        <v>0.35</v>
      </c>
      <c r="AJ53" s="1"/>
      <c r="AK53" s="1"/>
      <c r="AL53" s="1">
        <v>0</v>
      </c>
    </row>
    <row r="54" spans="1:38" x14ac:dyDescent="0.25">
      <c r="A54" s="200" t="s">
        <v>173</v>
      </c>
      <c r="B54" s="1">
        <v>2</v>
      </c>
      <c r="C54" s="1" t="s">
        <v>418</v>
      </c>
      <c r="D54" s="13">
        <v>39161</v>
      </c>
      <c r="E54" s="1">
        <f t="shared" si="0"/>
        <v>3040</v>
      </c>
      <c r="F54" s="1"/>
      <c r="G54" s="13">
        <v>41532</v>
      </c>
      <c r="H54" s="13">
        <f t="shared" si="21"/>
        <v>41528</v>
      </c>
      <c r="I54" s="13">
        <v>42201</v>
      </c>
      <c r="J54" s="13"/>
      <c r="K54" s="1">
        <f t="shared" si="1"/>
        <v>2371</v>
      </c>
      <c r="L54" s="1">
        <f t="shared" si="2"/>
        <v>4</v>
      </c>
      <c r="M54" s="1">
        <f t="shared" si="3"/>
        <v>669</v>
      </c>
      <c r="N54" s="1" t="s">
        <v>417</v>
      </c>
      <c r="O54" s="1">
        <v>5.15</v>
      </c>
      <c r="P54" s="1">
        <f t="shared" si="16"/>
        <v>1</v>
      </c>
      <c r="Q54" s="1">
        <f t="shared" si="17"/>
        <v>1</v>
      </c>
      <c r="R54" s="1">
        <f t="shared" si="18"/>
        <v>1</v>
      </c>
      <c r="S54" s="1">
        <f t="shared" si="19"/>
        <v>1</v>
      </c>
      <c r="T54" s="1" t="s">
        <v>437</v>
      </c>
      <c r="U54" s="1"/>
      <c r="V54" s="1"/>
      <c r="W54" s="1"/>
      <c r="X54" s="1"/>
      <c r="Y54" s="1">
        <v>0</v>
      </c>
      <c r="Z54" s="1">
        <v>0</v>
      </c>
      <c r="AA54" s="1"/>
      <c r="AB54" s="1">
        <v>0</v>
      </c>
      <c r="AC54" s="98">
        <v>0</v>
      </c>
      <c r="AD54" s="172">
        <v>40</v>
      </c>
      <c r="AE54" s="1" t="s">
        <v>417</v>
      </c>
      <c r="AF54" s="98">
        <v>2.5</v>
      </c>
      <c r="AG54" s="98">
        <v>0.35</v>
      </c>
      <c r="AH54" s="1">
        <v>3</v>
      </c>
      <c r="AI54" s="1">
        <v>0.35</v>
      </c>
      <c r="AJ54" s="1"/>
      <c r="AK54" s="1"/>
      <c r="AL54" s="1">
        <v>0</v>
      </c>
    </row>
    <row r="55" spans="1:38" x14ac:dyDescent="0.25">
      <c r="A55" s="200" t="s">
        <v>173</v>
      </c>
      <c r="B55" s="1">
        <v>2</v>
      </c>
      <c r="C55" s="1" t="s">
        <v>418</v>
      </c>
      <c r="D55" s="13">
        <v>39161</v>
      </c>
      <c r="E55" s="1">
        <f t="shared" si="0"/>
        <v>3040</v>
      </c>
      <c r="F55" s="1"/>
      <c r="G55" s="13">
        <v>41709</v>
      </c>
      <c r="H55" s="13">
        <f t="shared" si="21"/>
        <v>41532</v>
      </c>
      <c r="I55" s="13">
        <v>42201</v>
      </c>
      <c r="J55" s="13"/>
      <c r="K55" s="1">
        <f t="shared" si="1"/>
        <v>2548</v>
      </c>
      <c r="L55" s="1">
        <f t="shared" si="2"/>
        <v>177</v>
      </c>
      <c r="M55" s="1">
        <f t="shared" si="3"/>
        <v>492</v>
      </c>
      <c r="N55" s="1" t="s">
        <v>417</v>
      </c>
      <c r="O55" s="1">
        <v>5.14</v>
      </c>
      <c r="P55" s="1"/>
      <c r="Q55" s="1">
        <f t="shared" si="17"/>
        <v>1</v>
      </c>
      <c r="R55" s="1">
        <f t="shared" si="18"/>
        <v>1</v>
      </c>
      <c r="S55" s="1">
        <f t="shared" si="19"/>
        <v>1</v>
      </c>
      <c r="T55" s="1" t="s">
        <v>442</v>
      </c>
      <c r="U55" s="1"/>
      <c r="V55" s="1"/>
      <c r="W55" s="1"/>
      <c r="X55" s="1"/>
      <c r="Y55" s="1">
        <v>0</v>
      </c>
      <c r="Z55" s="1">
        <v>0</v>
      </c>
      <c r="AA55" s="1"/>
      <c r="AB55" s="1">
        <v>0</v>
      </c>
      <c r="AC55" s="98">
        <v>0</v>
      </c>
      <c r="AD55" s="172">
        <v>40</v>
      </c>
      <c r="AE55" s="1" t="s">
        <v>417</v>
      </c>
      <c r="AF55" s="98">
        <v>2.5</v>
      </c>
      <c r="AG55" s="98">
        <v>0.35</v>
      </c>
      <c r="AH55" s="1">
        <v>3</v>
      </c>
      <c r="AI55" s="1">
        <v>0.35</v>
      </c>
      <c r="AJ55" s="1"/>
      <c r="AK55" s="1"/>
      <c r="AL55" s="1">
        <v>0</v>
      </c>
    </row>
    <row r="56" spans="1:38" x14ac:dyDescent="0.25">
      <c r="A56" s="200" t="s">
        <v>173</v>
      </c>
      <c r="B56" s="1">
        <v>2</v>
      </c>
      <c r="C56" s="1" t="s">
        <v>418</v>
      </c>
      <c r="D56" s="13">
        <v>39161</v>
      </c>
      <c r="E56" s="1">
        <f t="shared" si="0"/>
        <v>3040</v>
      </c>
      <c r="F56" s="1"/>
      <c r="G56" s="13">
        <v>42131</v>
      </c>
      <c r="H56" s="13">
        <f t="shared" si="21"/>
        <v>41709</v>
      </c>
      <c r="I56" s="13">
        <v>42201</v>
      </c>
      <c r="J56" s="13"/>
      <c r="K56" s="1">
        <f t="shared" si="1"/>
        <v>2970</v>
      </c>
      <c r="L56" s="1">
        <f t="shared" si="2"/>
        <v>422</v>
      </c>
      <c r="M56" s="1">
        <f t="shared" si="3"/>
        <v>70</v>
      </c>
      <c r="N56" s="1" t="s">
        <v>417</v>
      </c>
      <c r="O56" s="1">
        <v>4.8099999999999996</v>
      </c>
      <c r="P56" s="1"/>
      <c r="Q56" s="1"/>
      <c r="R56" s="1"/>
      <c r="S56" s="1"/>
      <c r="T56" s="1" t="s">
        <v>442</v>
      </c>
      <c r="U56" s="1"/>
      <c r="V56" s="1"/>
      <c r="W56" s="1"/>
      <c r="X56" s="1"/>
      <c r="Y56" s="1">
        <v>0</v>
      </c>
      <c r="Z56" s="1">
        <v>0</v>
      </c>
      <c r="AA56" s="1"/>
      <c r="AB56" s="1">
        <v>0</v>
      </c>
      <c r="AC56" s="98">
        <v>2</v>
      </c>
      <c r="AD56" s="172">
        <v>40</v>
      </c>
      <c r="AE56" s="1" t="s">
        <v>417</v>
      </c>
      <c r="AF56" s="98">
        <v>2.5</v>
      </c>
      <c r="AG56" s="98">
        <v>0.35</v>
      </c>
      <c r="AH56" s="1">
        <v>3</v>
      </c>
      <c r="AI56" s="1">
        <v>0.35</v>
      </c>
      <c r="AJ56" s="1"/>
      <c r="AK56" s="1"/>
      <c r="AL56" s="1">
        <v>0</v>
      </c>
    </row>
    <row r="57" spans="1:38" x14ac:dyDescent="0.25">
      <c r="A57" s="200" t="s">
        <v>173</v>
      </c>
      <c r="B57" s="1">
        <v>2</v>
      </c>
      <c r="C57" s="1" t="s">
        <v>418</v>
      </c>
      <c r="D57" s="13">
        <v>39161</v>
      </c>
      <c r="E57" s="1">
        <f t="shared" si="0"/>
        <v>3040</v>
      </c>
      <c r="F57" s="1"/>
      <c r="G57" s="13">
        <v>42201</v>
      </c>
      <c r="H57" s="13">
        <f t="shared" si="21"/>
        <v>42131</v>
      </c>
      <c r="I57" s="13">
        <v>42201</v>
      </c>
      <c r="J57" s="13"/>
      <c r="K57" s="1">
        <f t="shared" si="1"/>
        <v>3040</v>
      </c>
      <c r="L57" s="1">
        <f t="shared" si="2"/>
        <v>70</v>
      </c>
      <c r="M57" s="1">
        <f t="shared" si="3"/>
        <v>0</v>
      </c>
      <c r="N57" s="1" t="s">
        <v>434</v>
      </c>
      <c r="O57" s="1">
        <v>4.66</v>
      </c>
      <c r="P57" s="1"/>
      <c r="Q57" s="1"/>
      <c r="R57" s="1"/>
      <c r="S57" s="1"/>
      <c r="T57" s="1"/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v>0</v>
      </c>
      <c r="AC57" s="98">
        <v>2</v>
      </c>
      <c r="AD57" s="172">
        <v>40</v>
      </c>
      <c r="AE57" s="1" t="s">
        <v>417</v>
      </c>
      <c r="AF57" s="98">
        <v>2.5</v>
      </c>
      <c r="AG57" s="98">
        <v>0.35</v>
      </c>
      <c r="AH57" s="1">
        <v>3</v>
      </c>
      <c r="AI57" s="1">
        <v>0.35</v>
      </c>
      <c r="AJ57" s="1"/>
      <c r="AK57" s="1"/>
      <c r="AL57" s="1">
        <v>0</v>
      </c>
    </row>
    <row r="58" spans="1:38" x14ac:dyDescent="0.25">
      <c r="A58" s="202" t="s">
        <v>174</v>
      </c>
      <c r="B58" s="1">
        <v>2</v>
      </c>
      <c r="C58" s="1" t="s">
        <v>418</v>
      </c>
      <c r="D58" s="13">
        <v>39730</v>
      </c>
      <c r="E58" s="1">
        <f t="shared" si="0"/>
        <v>2378</v>
      </c>
      <c r="F58" s="1"/>
      <c r="G58" s="13">
        <v>40744</v>
      </c>
      <c r="H58" s="13">
        <v>39730</v>
      </c>
      <c r="I58" s="13">
        <v>42108</v>
      </c>
      <c r="J58" s="13"/>
      <c r="K58" s="1">
        <f t="shared" si="1"/>
        <v>1014</v>
      </c>
      <c r="L58" s="1">
        <f t="shared" si="2"/>
        <v>1014</v>
      </c>
      <c r="M58" s="1">
        <f t="shared" si="3"/>
        <v>1364</v>
      </c>
      <c r="N58" s="1" t="s">
        <v>417</v>
      </c>
      <c r="O58" s="1">
        <v>6.09</v>
      </c>
      <c r="P58" s="1">
        <f t="shared" si="16"/>
        <v>1</v>
      </c>
      <c r="Q58" s="1">
        <f t="shared" si="17"/>
        <v>1</v>
      </c>
      <c r="R58" s="1">
        <f t="shared" si="18"/>
        <v>1</v>
      </c>
      <c r="S58" s="1">
        <f t="shared" si="19"/>
        <v>1</v>
      </c>
      <c r="T58" s="1" t="s">
        <v>437</v>
      </c>
      <c r="U58" s="1"/>
      <c r="V58" s="1"/>
      <c r="W58" s="1"/>
      <c r="X58" s="1"/>
      <c r="Y58" s="1">
        <v>5</v>
      </c>
      <c r="Z58" s="1">
        <v>0</v>
      </c>
      <c r="AA58" s="1"/>
      <c r="AB58" s="1">
        <v>0</v>
      </c>
      <c r="AC58" s="98">
        <v>0</v>
      </c>
      <c r="AD58" s="172">
        <v>50</v>
      </c>
      <c r="AE58" s="1" t="s">
        <v>417</v>
      </c>
      <c r="AF58" s="98">
        <v>2.5</v>
      </c>
      <c r="AG58" s="98">
        <v>0.35</v>
      </c>
      <c r="AH58" s="1">
        <v>2.5</v>
      </c>
      <c r="AI58" s="1">
        <v>0.35</v>
      </c>
      <c r="AJ58" s="1"/>
      <c r="AK58" s="1"/>
      <c r="AL58" s="1">
        <v>0</v>
      </c>
    </row>
    <row r="59" spans="1:38" x14ac:dyDescent="0.25">
      <c r="A59" s="202" t="s">
        <v>174</v>
      </c>
      <c r="B59" s="1">
        <v>2</v>
      </c>
      <c r="C59" s="1" t="s">
        <v>418</v>
      </c>
      <c r="D59" s="13">
        <v>39730</v>
      </c>
      <c r="E59" s="1">
        <f t="shared" si="0"/>
        <v>2378</v>
      </c>
      <c r="F59" s="1"/>
      <c r="G59" s="13">
        <v>40952</v>
      </c>
      <c r="H59" s="13">
        <f>G58</f>
        <v>40744</v>
      </c>
      <c r="I59" s="13">
        <v>42108</v>
      </c>
      <c r="J59" s="13"/>
      <c r="K59" s="1">
        <f t="shared" si="1"/>
        <v>1222</v>
      </c>
      <c r="L59" s="1">
        <f t="shared" si="2"/>
        <v>208</v>
      </c>
      <c r="M59" s="1">
        <f t="shared" si="3"/>
        <v>1156</v>
      </c>
      <c r="N59" s="1" t="s">
        <v>417</v>
      </c>
      <c r="O59" s="1">
        <v>5.89</v>
      </c>
      <c r="P59" s="1">
        <f t="shared" si="16"/>
        <v>1</v>
      </c>
      <c r="Q59" s="1">
        <f t="shared" si="17"/>
        <v>1</v>
      </c>
      <c r="R59" s="1">
        <f t="shared" si="18"/>
        <v>1</v>
      </c>
      <c r="S59" s="1">
        <f t="shared" si="19"/>
        <v>1</v>
      </c>
      <c r="T59" s="1" t="s">
        <v>437</v>
      </c>
      <c r="U59" s="1"/>
      <c r="V59" s="1"/>
      <c r="W59" s="1"/>
      <c r="X59" s="1"/>
      <c r="Y59" s="1">
        <v>5</v>
      </c>
      <c r="Z59" s="1">
        <v>0</v>
      </c>
      <c r="AA59" s="1"/>
      <c r="AB59" s="1">
        <v>0</v>
      </c>
      <c r="AC59" s="98">
        <v>0</v>
      </c>
      <c r="AD59" s="172">
        <v>50</v>
      </c>
      <c r="AE59" s="1" t="s">
        <v>417</v>
      </c>
      <c r="AF59" s="98">
        <v>2.5</v>
      </c>
      <c r="AG59" s="98">
        <v>0.35</v>
      </c>
      <c r="AH59" s="1">
        <v>2.5</v>
      </c>
      <c r="AI59" s="1">
        <v>0.35</v>
      </c>
      <c r="AJ59" s="1"/>
      <c r="AK59" s="1"/>
      <c r="AL59" s="1">
        <v>0</v>
      </c>
    </row>
    <row r="60" spans="1:38" x14ac:dyDescent="0.25">
      <c r="A60" s="202" t="s">
        <v>174</v>
      </c>
      <c r="B60" s="1">
        <v>2</v>
      </c>
      <c r="C60" s="1" t="s">
        <v>418</v>
      </c>
      <c r="D60" s="13">
        <v>39730</v>
      </c>
      <c r="E60" s="1">
        <f t="shared" si="0"/>
        <v>2378</v>
      </c>
      <c r="F60" s="1"/>
      <c r="G60" s="13">
        <v>41345</v>
      </c>
      <c r="H60" s="13">
        <f t="shared" ref="H60:H65" si="22">G59</f>
        <v>40952</v>
      </c>
      <c r="I60" s="13">
        <v>42108</v>
      </c>
      <c r="J60" s="13"/>
      <c r="K60" s="1">
        <f t="shared" si="1"/>
        <v>1615</v>
      </c>
      <c r="L60" s="1">
        <f t="shared" si="2"/>
        <v>393</v>
      </c>
      <c r="M60" s="1">
        <f t="shared" si="3"/>
        <v>763</v>
      </c>
      <c r="N60" s="1" t="s">
        <v>417</v>
      </c>
      <c r="O60" s="1">
        <v>5.3</v>
      </c>
      <c r="P60" s="1">
        <f t="shared" si="16"/>
        <v>1</v>
      </c>
      <c r="Q60" s="1">
        <f t="shared" si="17"/>
        <v>1</v>
      </c>
      <c r="R60" s="1">
        <f t="shared" si="18"/>
        <v>1</v>
      </c>
      <c r="S60" s="1">
        <f t="shared" si="19"/>
        <v>1</v>
      </c>
      <c r="T60" s="1" t="s">
        <v>437</v>
      </c>
      <c r="U60" s="1"/>
      <c r="V60" s="1"/>
      <c r="W60" s="1"/>
      <c r="X60" s="1"/>
      <c r="Y60" s="1">
        <v>0</v>
      </c>
      <c r="Z60" s="1">
        <v>0</v>
      </c>
      <c r="AA60" s="1"/>
      <c r="AB60" s="1">
        <v>0</v>
      </c>
      <c r="AC60" s="98">
        <v>0</v>
      </c>
      <c r="AD60" s="172">
        <v>50</v>
      </c>
      <c r="AE60" s="1" t="s">
        <v>417</v>
      </c>
      <c r="AF60" s="98">
        <v>2.5</v>
      </c>
      <c r="AG60" s="98">
        <v>0.35</v>
      </c>
      <c r="AH60" s="1">
        <v>2.5</v>
      </c>
      <c r="AI60" s="1">
        <v>0.35</v>
      </c>
      <c r="AJ60" s="1"/>
      <c r="AK60" s="1"/>
      <c r="AL60" s="1">
        <v>0</v>
      </c>
    </row>
    <row r="61" spans="1:38" x14ac:dyDescent="0.25">
      <c r="A61" s="202" t="s">
        <v>174</v>
      </c>
      <c r="B61" s="1">
        <v>2</v>
      </c>
      <c r="C61" s="1" t="s">
        <v>418</v>
      </c>
      <c r="D61" s="13">
        <v>39730</v>
      </c>
      <c r="E61" s="1">
        <f t="shared" si="0"/>
        <v>2378</v>
      </c>
      <c r="F61" s="1"/>
      <c r="G61" s="13">
        <v>41541</v>
      </c>
      <c r="H61" s="13">
        <f t="shared" si="22"/>
        <v>41345</v>
      </c>
      <c r="I61" s="13">
        <v>42108</v>
      </c>
      <c r="J61" s="13"/>
      <c r="K61" s="1">
        <f t="shared" si="1"/>
        <v>1811</v>
      </c>
      <c r="L61" s="1">
        <f t="shared" si="2"/>
        <v>196</v>
      </c>
      <c r="M61" s="1">
        <f t="shared" si="3"/>
        <v>567</v>
      </c>
      <c r="N61" s="1" t="s">
        <v>417</v>
      </c>
      <c r="O61" s="1">
        <v>5.2</v>
      </c>
      <c r="P61" s="1">
        <f t="shared" si="16"/>
        <v>1</v>
      </c>
      <c r="Q61" s="1">
        <f t="shared" si="17"/>
        <v>1</v>
      </c>
      <c r="R61" s="1">
        <f t="shared" si="18"/>
        <v>1</v>
      </c>
      <c r="S61" s="1">
        <f t="shared" si="19"/>
        <v>1</v>
      </c>
      <c r="T61" s="1" t="s">
        <v>437</v>
      </c>
      <c r="U61" s="1"/>
      <c r="V61" s="1"/>
      <c r="W61" s="1"/>
      <c r="X61" s="1"/>
      <c r="Y61" s="1">
        <v>0</v>
      </c>
      <c r="Z61" s="1">
        <v>0</v>
      </c>
      <c r="AA61" s="1"/>
      <c r="AB61" s="1">
        <v>0</v>
      </c>
      <c r="AC61" s="98">
        <v>0</v>
      </c>
      <c r="AD61" s="172">
        <v>50</v>
      </c>
      <c r="AE61" s="1" t="s">
        <v>417</v>
      </c>
      <c r="AF61" s="98">
        <v>2.5</v>
      </c>
      <c r="AG61" s="98">
        <v>0.35</v>
      </c>
      <c r="AH61" s="1">
        <v>2.5</v>
      </c>
      <c r="AI61" s="1">
        <v>0.35</v>
      </c>
      <c r="AJ61" s="1"/>
      <c r="AK61" s="1"/>
      <c r="AL61" s="1">
        <v>0</v>
      </c>
    </row>
    <row r="62" spans="1:38" x14ac:dyDescent="0.25">
      <c r="A62" s="202"/>
      <c r="B62" s="1">
        <v>2</v>
      </c>
      <c r="C62" s="1" t="s">
        <v>418</v>
      </c>
      <c r="D62" s="13">
        <v>39730</v>
      </c>
      <c r="E62" s="1">
        <f t="shared" si="0"/>
        <v>2378</v>
      </c>
      <c r="F62" s="1"/>
      <c r="G62" s="13">
        <v>41659</v>
      </c>
      <c r="H62" s="13">
        <f t="shared" si="22"/>
        <v>41541</v>
      </c>
      <c r="I62" s="13">
        <v>42108</v>
      </c>
      <c r="J62" s="13"/>
      <c r="K62" s="1">
        <f t="shared" si="1"/>
        <v>1929</v>
      </c>
      <c r="L62" s="1">
        <f t="shared" si="2"/>
        <v>118</v>
      </c>
      <c r="M62" s="1">
        <f t="shared" si="3"/>
        <v>449</v>
      </c>
      <c r="N62" s="1" t="s">
        <v>417</v>
      </c>
      <c r="O62" s="1">
        <v>5.17</v>
      </c>
      <c r="P62" s="1"/>
      <c r="Q62" s="1">
        <f t="shared" si="17"/>
        <v>1</v>
      </c>
      <c r="R62" s="1">
        <f t="shared" si="18"/>
        <v>1</v>
      </c>
      <c r="S62" s="1">
        <f t="shared" si="19"/>
        <v>1</v>
      </c>
      <c r="T62" s="1" t="s">
        <v>442</v>
      </c>
      <c r="U62" s="1"/>
      <c r="V62" s="1"/>
      <c r="W62" s="1"/>
      <c r="X62" s="1"/>
      <c r="Y62" s="1">
        <v>2</v>
      </c>
      <c r="Z62" s="1">
        <v>0</v>
      </c>
      <c r="AA62" s="1"/>
      <c r="AB62" s="1">
        <v>0</v>
      </c>
      <c r="AC62" s="98">
        <v>0</v>
      </c>
      <c r="AD62" s="172">
        <v>50</v>
      </c>
      <c r="AE62" s="1" t="s">
        <v>417</v>
      </c>
      <c r="AF62" s="98">
        <v>2.5</v>
      </c>
      <c r="AG62" s="98">
        <v>0.35</v>
      </c>
      <c r="AH62" s="1">
        <v>2.5</v>
      </c>
      <c r="AI62" s="1">
        <v>0.35</v>
      </c>
      <c r="AJ62" s="1"/>
      <c r="AK62" s="1"/>
      <c r="AL62" s="1">
        <v>0</v>
      </c>
    </row>
    <row r="63" spans="1:38" x14ac:dyDescent="0.25">
      <c r="A63" s="202" t="s">
        <v>174</v>
      </c>
      <c r="B63" s="1">
        <v>2</v>
      </c>
      <c r="C63" s="1" t="s">
        <v>418</v>
      </c>
      <c r="D63" s="13">
        <v>39730</v>
      </c>
      <c r="E63" s="1">
        <f t="shared" si="0"/>
        <v>2378</v>
      </c>
      <c r="F63" s="1"/>
      <c r="G63" s="13">
        <v>41799</v>
      </c>
      <c r="H63" s="13">
        <f t="shared" si="22"/>
        <v>41659</v>
      </c>
      <c r="I63" s="13">
        <v>42108</v>
      </c>
      <c r="J63" s="13"/>
      <c r="K63" s="1">
        <f t="shared" si="1"/>
        <v>2069</v>
      </c>
      <c r="L63" s="1">
        <f t="shared" si="2"/>
        <v>140</v>
      </c>
      <c r="M63" s="1">
        <f t="shared" si="3"/>
        <v>309</v>
      </c>
      <c r="N63" s="1" t="s">
        <v>417</v>
      </c>
      <c r="O63" s="1">
        <v>5.15</v>
      </c>
      <c r="P63" s="1"/>
      <c r="Q63" s="1"/>
      <c r="R63" s="1">
        <f t="shared" si="18"/>
        <v>1</v>
      </c>
      <c r="S63" s="1">
        <f t="shared" si="19"/>
        <v>1</v>
      </c>
      <c r="T63" s="1" t="s">
        <v>442</v>
      </c>
      <c r="U63" s="1"/>
      <c r="V63" s="1"/>
      <c r="W63" s="1"/>
      <c r="X63" s="1"/>
      <c r="Y63" s="1">
        <v>0</v>
      </c>
      <c r="Z63" s="1">
        <v>0</v>
      </c>
      <c r="AA63" s="1"/>
      <c r="AB63" s="1">
        <v>0</v>
      </c>
      <c r="AC63" s="98">
        <v>0</v>
      </c>
      <c r="AD63" s="172">
        <v>50</v>
      </c>
      <c r="AE63" s="1" t="s">
        <v>417</v>
      </c>
      <c r="AF63" s="98">
        <v>2.5</v>
      </c>
      <c r="AG63" s="98">
        <v>0.35</v>
      </c>
      <c r="AH63" s="1">
        <v>2.5</v>
      </c>
      <c r="AI63" s="1">
        <v>0.35</v>
      </c>
      <c r="AJ63" s="1"/>
      <c r="AK63" s="1"/>
      <c r="AL63" s="1">
        <v>0</v>
      </c>
    </row>
    <row r="64" spans="1:38" x14ac:dyDescent="0.25">
      <c r="A64" s="202" t="s">
        <v>174</v>
      </c>
      <c r="B64" s="1">
        <v>2</v>
      </c>
      <c r="C64" s="1" t="s">
        <v>418</v>
      </c>
      <c r="D64" s="13">
        <v>39730</v>
      </c>
      <c r="E64" s="1">
        <f t="shared" si="0"/>
        <v>2378</v>
      </c>
      <c r="F64" s="1"/>
      <c r="G64" s="13">
        <v>41925</v>
      </c>
      <c r="H64" s="13">
        <f t="shared" si="22"/>
        <v>41799</v>
      </c>
      <c r="I64" s="13">
        <v>42108</v>
      </c>
      <c r="J64" s="13"/>
      <c r="K64" s="1">
        <f t="shared" si="1"/>
        <v>2195</v>
      </c>
      <c r="L64" s="1">
        <f t="shared" si="2"/>
        <v>126</v>
      </c>
      <c r="M64" s="1">
        <f t="shared" si="3"/>
        <v>183</v>
      </c>
      <c r="N64" s="1" t="s">
        <v>417</v>
      </c>
      <c r="O64" s="1">
        <v>5.14</v>
      </c>
      <c r="P64" s="1"/>
      <c r="Q64" s="1"/>
      <c r="R64" s="1">
        <f t="shared" si="18"/>
        <v>1</v>
      </c>
      <c r="S64" s="1">
        <f t="shared" si="19"/>
        <v>1</v>
      </c>
      <c r="T64" s="1" t="s">
        <v>442</v>
      </c>
      <c r="U64" s="1"/>
      <c r="V64" s="1"/>
      <c r="W64" s="1"/>
      <c r="X64" s="1"/>
      <c r="Y64" s="1">
        <v>0</v>
      </c>
      <c r="Z64" s="1">
        <v>0</v>
      </c>
      <c r="AA64" s="1"/>
      <c r="AB64" s="1">
        <v>0</v>
      </c>
      <c r="AC64" s="98">
        <v>0</v>
      </c>
      <c r="AD64" s="172">
        <v>50</v>
      </c>
      <c r="AE64" s="1" t="s">
        <v>417</v>
      </c>
      <c r="AF64" s="98">
        <v>2.5</v>
      </c>
      <c r="AG64" s="98">
        <v>0.35</v>
      </c>
      <c r="AH64" s="1">
        <v>2.5</v>
      </c>
      <c r="AI64" s="1">
        <v>0.35</v>
      </c>
      <c r="AJ64" s="1"/>
      <c r="AK64" s="1"/>
      <c r="AL64" s="1">
        <v>0</v>
      </c>
    </row>
    <row r="65" spans="1:38" x14ac:dyDescent="0.25">
      <c r="A65" s="202" t="s">
        <v>174</v>
      </c>
      <c r="B65" s="1">
        <v>2</v>
      </c>
      <c r="C65" s="1" t="s">
        <v>418</v>
      </c>
      <c r="D65" s="13">
        <v>39730</v>
      </c>
      <c r="E65" s="1">
        <f t="shared" si="0"/>
        <v>2378</v>
      </c>
      <c r="F65" s="1"/>
      <c r="G65" s="13">
        <v>42108</v>
      </c>
      <c r="H65" s="13">
        <f t="shared" si="22"/>
        <v>41925</v>
      </c>
      <c r="I65" s="13">
        <v>42108</v>
      </c>
      <c r="J65" s="13"/>
      <c r="K65" s="1">
        <f t="shared" si="1"/>
        <v>2378</v>
      </c>
      <c r="L65" s="1">
        <f t="shared" si="2"/>
        <v>183</v>
      </c>
      <c r="M65" s="1">
        <f t="shared" si="3"/>
        <v>0</v>
      </c>
      <c r="N65" s="1" t="s">
        <v>417</v>
      </c>
      <c r="O65" s="1">
        <v>5.13</v>
      </c>
      <c r="P65" s="1"/>
      <c r="Q65" s="1"/>
      <c r="R65" s="1"/>
      <c r="S65" s="1"/>
      <c r="T65" s="1"/>
      <c r="U65" s="1"/>
      <c r="V65" s="1"/>
      <c r="W65" s="1"/>
      <c r="X65" s="1"/>
      <c r="Y65" s="1">
        <v>0</v>
      </c>
      <c r="Z65" s="1">
        <v>0</v>
      </c>
      <c r="AA65" s="1"/>
      <c r="AB65" s="1">
        <v>0</v>
      </c>
      <c r="AC65" s="98">
        <v>0</v>
      </c>
      <c r="AD65" s="172">
        <v>50</v>
      </c>
      <c r="AE65" s="1" t="s">
        <v>417</v>
      </c>
      <c r="AF65" s="98">
        <v>2.5</v>
      </c>
      <c r="AG65" s="98">
        <v>0.35</v>
      </c>
      <c r="AH65" s="1">
        <v>2.5</v>
      </c>
      <c r="AI65" s="1">
        <v>0.35</v>
      </c>
      <c r="AJ65" s="1"/>
      <c r="AK65" s="1"/>
      <c r="AL65" s="1">
        <v>0</v>
      </c>
    </row>
    <row r="66" spans="1:38" x14ac:dyDescent="0.25">
      <c r="A66" s="203" t="s">
        <v>175</v>
      </c>
      <c r="B66" s="1">
        <v>2</v>
      </c>
      <c r="C66" s="1" t="s">
        <v>418</v>
      </c>
      <c r="D66" s="13">
        <v>39399</v>
      </c>
      <c r="E66" s="1">
        <f>I66-D66</f>
        <v>2766</v>
      </c>
      <c r="F66" s="1"/>
      <c r="G66" s="13">
        <v>40701</v>
      </c>
      <c r="H66" s="13">
        <v>39399</v>
      </c>
      <c r="I66" s="13">
        <v>42165</v>
      </c>
      <c r="J66" s="13"/>
      <c r="K66" s="1">
        <f t="shared" ref="K66:K129" si="23">G66-D66</f>
        <v>1302</v>
      </c>
      <c r="L66" s="1">
        <f t="shared" ref="L66:L129" si="24">G66-H66</f>
        <v>1302</v>
      </c>
      <c r="M66" s="1">
        <f t="shared" ref="M66:M129" si="25">I66-G66</f>
        <v>1464</v>
      </c>
      <c r="N66" s="1" t="s">
        <v>417</v>
      </c>
      <c r="O66" s="1">
        <v>5.88</v>
      </c>
      <c r="P66" s="1">
        <f t="shared" si="16"/>
        <v>1</v>
      </c>
      <c r="Q66" s="1">
        <f t="shared" si="17"/>
        <v>1</v>
      </c>
      <c r="R66" s="1">
        <f t="shared" si="18"/>
        <v>1</v>
      </c>
      <c r="S66" s="1">
        <f t="shared" si="19"/>
        <v>1</v>
      </c>
      <c r="T66" s="1" t="s">
        <v>437</v>
      </c>
      <c r="U66" s="1"/>
      <c r="V66" s="1"/>
      <c r="W66" s="1"/>
      <c r="X66" s="1"/>
      <c r="Y66" s="1">
        <v>39</v>
      </c>
      <c r="Z66" s="1">
        <v>0</v>
      </c>
      <c r="AA66" s="1"/>
      <c r="AB66" s="1">
        <v>0</v>
      </c>
      <c r="AC66" s="98">
        <v>0</v>
      </c>
      <c r="AD66" s="172">
        <v>60</v>
      </c>
      <c r="AE66" s="1" t="s">
        <v>417</v>
      </c>
      <c r="AF66" s="98">
        <v>2.5</v>
      </c>
      <c r="AG66" s="98">
        <v>0.35</v>
      </c>
      <c r="AH66" s="1">
        <v>2.5</v>
      </c>
      <c r="AI66" s="1">
        <v>0.35</v>
      </c>
      <c r="AJ66" s="1"/>
      <c r="AK66" s="1"/>
      <c r="AL66" s="1">
        <v>0</v>
      </c>
    </row>
    <row r="67" spans="1:38" x14ac:dyDescent="0.25">
      <c r="A67" s="203" t="s">
        <v>175</v>
      </c>
      <c r="B67" s="1">
        <v>2</v>
      </c>
      <c r="C67" s="1" t="s">
        <v>418</v>
      </c>
      <c r="D67" s="13">
        <v>39399</v>
      </c>
      <c r="E67" s="1">
        <f t="shared" ref="E67:E130" si="26">I67-D67</f>
        <v>2766</v>
      </c>
      <c r="F67" s="1"/>
      <c r="G67" s="13">
        <v>40925</v>
      </c>
      <c r="H67" s="13">
        <f>G66</f>
        <v>40701</v>
      </c>
      <c r="I67" s="13">
        <v>42165</v>
      </c>
      <c r="J67" s="13"/>
      <c r="K67" s="1">
        <f t="shared" si="23"/>
        <v>1526</v>
      </c>
      <c r="L67" s="1">
        <f t="shared" si="24"/>
        <v>224</v>
      </c>
      <c r="M67" s="1">
        <f t="shared" si="25"/>
        <v>1240</v>
      </c>
      <c r="N67" s="1" t="s">
        <v>417</v>
      </c>
      <c r="O67" s="1">
        <v>5.47</v>
      </c>
      <c r="P67" s="1">
        <f t="shared" si="16"/>
        <v>1</v>
      </c>
      <c r="Q67" s="1">
        <f t="shared" si="17"/>
        <v>1</v>
      </c>
      <c r="R67" s="1">
        <f t="shared" si="18"/>
        <v>1</v>
      </c>
      <c r="S67" s="1">
        <f t="shared" si="19"/>
        <v>1</v>
      </c>
      <c r="T67" s="1" t="s">
        <v>437</v>
      </c>
      <c r="U67" s="1"/>
      <c r="V67" s="1"/>
      <c r="W67" s="1"/>
      <c r="X67" s="1"/>
      <c r="Y67" s="1">
        <v>41</v>
      </c>
      <c r="Z67" s="1">
        <v>0</v>
      </c>
      <c r="AA67" s="1"/>
      <c r="AB67" s="1">
        <v>0</v>
      </c>
      <c r="AC67" s="98">
        <v>1</v>
      </c>
      <c r="AD67" s="172">
        <v>60</v>
      </c>
      <c r="AE67" s="1" t="s">
        <v>417</v>
      </c>
      <c r="AF67" s="98">
        <v>2.5</v>
      </c>
      <c r="AG67" s="98">
        <v>0.35</v>
      </c>
      <c r="AH67" s="1">
        <v>2.5</v>
      </c>
      <c r="AI67" s="1">
        <v>0.35</v>
      </c>
      <c r="AJ67" s="1"/>
      <c r="AK67" s="1"/>
      <c r="AL67" s="1">
        <v>0</v>
      </c>
    </row>
    <row r="68" spans="1:38" x14ac:dyDescent="0.25">
      <c r="A68" s="203" t="s">
        <v>175</v>
      </c>
      <c r="B68" s="1">
        <v>2</v>
      </c>
      <c r="C68" s="1" t="s">
        <v>418</v>
      </c>
      <c r="D68" s="13">
        <v>39399</v>
      </c>
      <c r="E68" s="1">
        <f t="shared" si="26"/>
        <v>2766</v>
      </c>
      <c r="F68" s="1"/>
      <c r="G68" s="13">
        <v>41058</v>
      </c>
      <c r="H68" s="13">
        <f t="shared" ref="H68:H77" si="27">G67</f>
        <v>40925</v>
      </c>
      <c r="I68" s="13">
        <v>42165</v>
      </c>
      <c r="J68" s="13"/>
      <c r="K68" s="1">
        <f t="shared" si="23"/>
        <v>1659</v>
      </c>
      <c r="L68" s="1">
        <f t="shared" si="24"/>
        <v>133</v>
      </c>
      <c r="M68" s="1">
        <f t="shared" si="25"/>
        <v>1107</v>
      </c>
      <c r="N68" s="1" t="s">
        <v>417</v>
      </c>
      <c r="O68" s="1">
        <v>5.3</v>
      </c>
      <c r="P68" s="1">
        <f t="shared" si="16"/>
        <v>1</v>
      </c>
      <c r="Q68" s="1">
        <f t="shared" si="17"/>
        <v>1</v>
      </c>
      <c r="R68" s="1">
        <f t="shared" si="18"/>
        <v>1</v>
      </c>
      <c r="S68" s="1">
        <f t="shared" si="19"/>
        <v>1</v>
      </c>
      <c r="T68" s="1" t="s">
        <v>437</v>
      </c>
      <c r="U68" s="1"/>
      <c r="V68" s="1"/>
      <c r="W68" s="1"/>
      <c r="X68" s="1"/>
      <c r="Y68" s="1">
        <v>35</v>
      </c>
      <c r="Z68" s="1">
        <v>0</v>
      </c>
      <c r="AA68" s="1"/>
      <c r="AB68" s="1">
        <v>0</v>
      </c>
      <c r="AC68" s="98">
        <v>0</v>
      </c>
      <c r="AD68" s="172">
        <v>60</v>
      </c>
      <c r="AE68" s="1" t="s">
        <v>417</v>
      </c>
      <c r="AF68" s="98">
        <v>2.5</v>
      </c>
      <c r="AG68" s="98">
        <v>0.35</v>
      </c>
      <c r="AH68" s="1">
        <v>2.5</v>
      </c>
      <c r="AI68" s="1">
        <v>0.35</v>
      </c>
      <c r="AJ68" s="1"/>
      <c r="AK68" s="1"/>
      <c r="AL68" s="1">
        <v>0</v>
      </c>
    </row>
    <row r="69" spans="1:38" x14ac:dyDescent="0.25">
      <c r="A69" s="203" t="s">
        <v>175</v>
      </c>
      <c r="B69" s="1">
        <v>2</v>
      </c>
      <c r="C69" s="1" t="s">
        <v>418</v>
      </c>
      <c r="D69" s="13">
        <v>39399</v>
      </c>
      <c r="E69" s="1">
        <f t="shared" si="26"/>
        <v>2766</v>
      </c>
      <c r="F69" s="1"/>
      <c r="G69" s="13">
        <v>41162</v>
      </c>
      <c r="H69" s="13">
        <f t="shared" si="27"/>
        <v>41058</v>
      </c>
      <c r="I69" s="13">
        <v>42165</v>
      </c>
      <c r="J69" s="13"/>
      <c r="K69" s="1">
        <f t="shared" si="23"/>
        <v>1763</v>
      </c>
      <c r="L69" s="1">
        <f t="shared" si="24"/>
        <v>104</v>
      </c>
      <c r="M69" s="1">
        <f t="shared" si="25"/>
        <v>1003</v>
      </c>
      <c r="N69" s="1" t="s">
        <v>417</v>
      </c>
      <c r="O69" s="1">
        <v>5.2</v>
      </c>
      <c r="P69" s="1">
        <f t="shared" si="16"/>
        <v>1</v>
      </c>
      <c r="Q69" s="1">
        <f t="shared" si="17"/>
        <v>1</v>
      </c>
      <c r="R69" s="1">
        <f t="shared" si="18"/>
        <v>1</v>
      </c>
      <c r="S69" s="1">
        <f t="shared" si="19"/>
        <v>1</v>
      </c>
      <c r="T69" s="1" t="s">
        <v>437</v>
      </c>
      <c r="U69" s="1"/>
      <c r="V69" s="1"/>
      <c r="W69" s="1"/>
      <c r="X69" s="1"/>
      <c r="Y69" s="1">
        <v>46</v>
      </c>
      <c r="Z69" s="1">
        <v>0</v>
      </c>
      <c r="AA69" s="1"/>
      <c r="AB69" s="1">
        <v>0</v>
      </c>
      <c r="AC69" s="98">
        <v>0</v>
      </c>
      <c r="AD69" s="172">
        <v>60</v>
      </c>
      <c r="AE69" s="1" t="s">
        <v>417</v>
      </c>
      <c r="AF69" s="98">
        <v>2.5</v>
      </c>
      <c r="AG69" s="98">
        <v>0.35</v>
      </c>
      <c r="AH69" s="1">
        <v>2.5</v>
      </c>
      <c r="AI69" s="1">
        <v>0.35</v>
      </c>
      <c r="AJ69" s="1"/>
      <c r="AK69" s="1"/>
      <c r="AL69" s="1">
        <v>0</v>
      </c>
    </row>
    <row r="70" spans="1:38" x14ac:dyDescent="0.25">
      <c r="A70" s="203" t="s">
        <v>175</v>
      </c>
      <c r="B70" s="1">
        <v>2</v>
      </c>
      <c r="C70" s="1" t="s">
        <v>418</v>
      </c>
      <c r="D70" s="13">
        <v>39399</v>
      </c>
      <c r="E70" s="1">
        <f t="shared" si="26"/>
        <v>2766</v>
      </c>
      <c r="F70" s="1"/>
      <c r="G70" s="13">
        <v>41345</v>
      </c>
      <c r="H70" s="13">
        <f t="shared" si="27"/>
        <v>41162</v>
      </c>
      <c r="I70" s="13">
        <v>42165</v>
      </c>
      <c r="J70" s="13"/>
      <c r="K70" s="1">
        <f t="shared" si="23"/>
        <v>1946</v>
      </c>
      <c r="L70" s="1">
        <f t="shared" si="24"/>
        <v>183</v>
      </c>
      <c r="M70" s="1">
        <f t="shared" si="25"/>
        <v>820</v>
      </c>
      <c r="N70" s="1" t="s">
        <v>417</v>
      </c>
      <c r="O70" s="1">
        <v>5.17</v>
      </c>
      <c r="P70" s="1">
        <f t="shared" si="16"/>
        <v>1</v>
      </c>
      <c r="Q70" s="1">
        <f t="shared" si="17"/>
        <v>1</v>
      </c>
      <c r="R70" s="1">
        <f t="shared" si="18"/>
        <v>1</v>
      </c>
      <c r="S70" s="1">
        <f t="shared" si="19"/>
        <v>1</v>
      </c>
      <c r="T70" s="1" t="s">
        <v>437</v>
      </c>
      <c r="U70" s="1"/>
      <c r="V70" s="1"/>
      <c r="W70" s="1"/>
      <c r="X70" s="1"/>
      <c r="Y70" s="1">
        <v>44</v>
      </c>
      <c r="Z70" s="1">
        <v>0</v>
      </c>
      <c r="AA70" s="1"/>
      <c r="AB70" s="1">
        <v>0</v>
      </c>
      <c r="AC70" s="98">
        <v>1</v>
      </c>
      <c r="AD70" s="172">
        <v>60</v>
      </c>
      <c r="AE70" s="1" t="s">
        <v>417</v>
      </c>
      <c r="AF70" s="98">
        <v>2.5</v>
      </c>
      <c r="AG70" s="98">
        <v>0.35</v>
      </c>
      <c r="AH70" s="1">
        <v>2.5</v>
      </c>
      <c r="AI70" s="1">
        <v>0.35</v>
      </c>
      <c r="AJ70" s="1"/>
      <c r="AK70" s="1"/>
      <c r="AL70" s="1">
        <v>0</v>
      </c>
    </row>
    <row r="71" spans="1:38" x14ac:dyDescent="0.25">
      <c r="A71" s="203" t="s">
        <v>175</v>
      </c>
      <c r="B71" s="1">
        <v>2</v>
      </c>
      <c r="C71" s="1" t="s">
        <v>418</v>
      </c>
      <c r="D71" s="13">
        <v>39399</v>
      </c>
      <c r="E71" s="1">
        <f t="shared" si="26"/>
        <v>2766</v>
      </c>
      <c r="F71" s="1"/>
      <c r="G71" s="13">
        <v>41457</v>
      </c>
      <c r="H71" s="13">
        <f t="shared" si="27"/>
        <v>41345</v>
      </c>
      <c r="I71" s="13">
        <v>42165</v>
      </c>
      <c r="J71" s="13"/>
      <c r="K71" s="1">
        <f t="shared" si="23"/>
        <v>2058</v>
      </c>
      <c r="L71" s="1">
        <f t="shared" si="24"/>
        <v>112</v>
      </c>
      <c r="M71" s="1">
        <f t="shared" si="25"/>
        <v>708</v>
      </c>
      <c r="N71" s="1" t="s">
        <v>417</v>
      </c>
      <c r="O71" s="1">
        <v>5.15</v>
      </c>
      <c r="P71" s="1">
        <f t="shared" si="16"/>
        <v>1</v>
      </c>
      <c r="Q71" s="1">
        <f t="shared" si="17"/>
        <v>1</v>
      </c>
      <c r="R71" s="1">
        <f t="shared" si="18"/>
        <v>1</v>
      </c>
      <c r="S71" s="1">
        <f t="shared" si="19"/>
        <v>1</v>
      </c>
      <c r="T71" s="1" t="s">
        <v>437</v>
      </c>
      <c r="U71" s="1"/>
      <c r="V71" s="1"/>
      <c r="W71" s="1"/>
      <c r="X71" s="1"/>
      <c r="Y71" s="1">
        <v>39</v>
      </c>
      <c r="Z71" s="1">
        <v>0</v>
      </c>
      <c r="AA71" s="1"/>
      <c r="AB71" s="1">
        <v>0</v>
      </c>
      <c r="AC71" s="98">
        <v>0</v>
      </c>
      <c r="AD71" s="172">
        <v>60</v>
      </c>
      <c r="AE71" s="1" t="s">
        <v>417</v>
      </c>
      <c r="AF71" s="98">
        <v>2.5</v>
      </c>
      <c r="AG71" s="98">
        <v>0.35</v>
      </c>
      <c r="AH71" s="1">
        <v>2.5</v>
      </c>
      <c r="AI71" s="1">
        <v>0.35</v>
      </c>
      <c r="AJ71" s="1"/>
      <c r="AK71" s="1"/>
      <c r="AL71" s="1">
        <v>0</v>
      </c>
    </row>
    <row r="72" spans="1:38" x14ac:dyDescent="0.25">
      <c r="A72" s="203" t="s">
        <v>175</v>
      </c>
      <c r="B72" s="1">
        <v>2</v>
      </c>
      <c r="C72" s="1" t="s">
        <v>418</v>
      </c>
      <c r="D72" s="13">
        <v>39399</v>
      </c>
      <c r="E72" s="1">
        <f t="shared" si="26"/>
        <v>2766</v>
      </c>
      <c r="F72" s="1"/>
      <c r="G72" s="13">
        <v>41554</v>
      </c>
      <c r="H72" s="13">
        <f t="shared" si="27"/>
        <v>41457</v>
      </c>
      <c r="I72" s="13">
        <v>42165</v>
      </c>
      <c r="J72" s="13"/>
      <c r="K72" s="1">
        <f t="shared" si="23"/>
        <v>2155</v>
      </c>
      <c r="L72" s="1">
        <f t="shared" si="24"/>
        <v>97</v>
      </c>
      <c r="M72" s="1">
        <f t="shared" si="25"/>
        <v>611</v>
      </c>
      <c r="N72" s="1" t="s">
        <v>417</v>
      </c>
      <c r="O72" s="1">
        <v>5.15</v>
      </c>
      <c r="P72" s="1">
        <f t="shared" si="16"/>
        <v>1</v>
      </c>
      <c r="Q72" s="1">
        <f t="shared" si="17"/>
        <v>1</v>
      </c>
      <c r="R72" s="1">
        <f t="shared" si="18"/>
        <v>1</v>
      </c>
      <c r="S72" s="1">
        <f t="shared" si="19"/>
        <v>1</v>
      </c>
      <c r="T72" s="1" t="s">
        <v>437</v>
      </c>
      <c r="U72" s="1"/>
      <c r="V72" s="1"/>
      <c r="W72" s="1"/>
      <c r="X72" s="1"/>
      <c r="Y72" s="1">
        <v>45</v>
      </c>
      <c r="Z72" s="1">
        <v>0</v>
      </c>
      <c r="AA72" s="1"/>
      <c r="AB72" s="1">
        <v>0</v>
      </c>
      <c r="AC72" s="98">
        <v>0</v>
      </c>
      <c r="AD72" s="172">
        <v>60</v>
      </c>
      <c r="AE72" s="1" t="s">
        <v>417</v>
      </c>
      <c r="AF72" s="98">
        <v>2.5</v>
      </c>
      <c r="AG72" s="98">
        <v>0.35</v>
      </c>
      <c r="AH72" s="1">
        <v>3</v>
      </c>
      <c r="AI72" s="1">
        <v>0.35</v>
      </c>
      <c r="AJ72" s="1"/>
      <c r="AK72" s="1"/>
      <c r="AL72" s="1">
        <v>0</v>
      </c>
    </row>
    <row r="73" spans="1:38" x14ac:dyDescent="0.25">
      <c r="A73" s="203" t="s">
        <v>175</v>
      </c>
      <c r="B73" s="1">
        <v>2</v>
      </c>
      <c r="C73" s="1" t="s">
        <v>418</v>
      </c>
      <c r="D73" s="13">
        <v>39399</v>
      </c>
      <c r="E73" s="1">
        <f t="shared" si="26"/>
        <v>2766</v>
      </c>
      <c r="F73" s="1"/>
      <c r="G73" s="13">
        <v>41736</v>
      </c>
      <c r="H73" s="13">
        <f t="shared" si="27"/>
        <v>41554</v>
      </c>
      <c r="I73" s="13">
        <v>42165</v>
      </c>
      <c r="J73" s="13"/>
      <c r="K73" s="1">
        <f t="shared" si="23"/>
        <v>2337</v>
      </c>
      <c r="L73" s="1">
        <f t="shared" si="24"/>
        <v>182</v>
      </c>
      <c r="M73" s="1">
        <f t="shared" si="25"/>
        <v>429</v>
      </c>
      <c r="N73" s="1" t="s">
        <v>417</v>
      </c>
      <c r="O73" s="1">
        <v>5.14</v>
      </c>
      <c r="P73" s="1"/>
      <c r="Q73" s="1">
        <f t="shared" si="17"/>
        <v>1</v>
      </c>
      <c r="R73" s="1">
        <f t="shared" si="18"/>
        <v>1</v>
      </c>
      <c r="S73" s="1">
        <f t="shared" si="19"/>
        <v>1</v>
      </c>
      <c r="T73" s="1" t="s">
        <v>442</v>
      </c>
      <c r="U73" s="1"/>
      <c r="V73" s="1"/>
      <c r="W73" s="1"/>
      <c r="X73" s="1"/>
      <c r="Y73" s="1">
        <v>33</v>
      </c>
      <c r="Z73" s="1">
        <v>0</v>
      </c>
      <c r="AA73" s="1"/>
      <c r="AB73" s="1">
        <v>1</v>
      </c>
      <c r="AC73" s="98">
        <v>1</v>
      </c>
      <c r="AD73" s="172">
        <v>60</v>
      </c>
      <c r="AE73" s="1" t="s">
        <v>417</v>
      </c>
      <c r="AF73" s="98">
        <v>2.5</v>
      </c>
      <c r="AG73" s="98">
        <v>0.35</v>
      </c>
      <c r="AH73" s="1">
        <v>3</v>
      </c>
      <c r="AI73" s="1">
        <v>0.35</v>
      </c>
      <c r="AJ73" s="1"/>
      <c r="AK73" s="1"/>
      <c r="AL73" s="1">
        <v>0</v>
      </c>
    </row>
    <row r="74" spans="1:38" x14ac:dyDescent="0.25">
      <c r="A74" s="203" t="s">
        <v>175</v>
      </c>
      <c r="B74" s="1">
        <v>2</v>
      </c>
      <c r="C74" s="1" t="s">
        <v>418</v>
      </c>
      <c r="D74" s="13">
        <v>39399</v>
      </c>
      <c r="E74" s="1">
        <f t="shared" si="26"/>
        <v>2766</v>
      </c>
      <c r="F74" s="1"/>
      <c r="G74" s="13">
        <v>41947</v>
      </c>
      <c r="H74" s="13">
        <f t="shared" si="27"/>
        <v>41736</v>
      </c>
      <c r="I74" s="13">
        <v>42165</v>
      </c>
      <c r="J74" s="13"/>
      <c r="K74" s="1">
        <f t="shared" si="23"/>
        <v>2548</v>
      </c>
      <c r="L74" s="1">
        <f t="shared" si="24"/>
        <v>211</v>
      </c>
      <c r="M74" s="1">
        <f t="shared" si="25"/>
        <v>218</v>
      </c>
      <c r="N74" s="1" t="s">
        <v>417</v>
      </c>
      <c r="O74" s="1">
        <v>5.0999999999999996</v>
      </c>
      <c r="P74" s="1"/>
      <c r="Q74" s="1"/>
      <c r="R74" s="1">
        <f t="shared" si="18"/>
        <v>1</v>
      </c>
      <c r="S74" s="1">
        <f t="shared" si="19"/>
        <v>1</v>
      </c>
      <c r="T74" s="1" t="s">
        <v>442</v>
      </c>
      <c r="U74" s="1"/>
      <c r="V74" s="1"/>
      <c r="W74" s="1"/>
      <c r="X74" s="1"/>
      <c r="Y74" s="1">
        <v>44</v>
      </c>
      <c r="Z74" s="1">
        <v>0</v>
      </c>
      <c r="AA74" s="1"/>
      <c r="AB74" s="1">
        <v>0</v>
      </c>
      <c r="AC74" s="98">
        <v>0</v>
      </c>
      <c r="AD74" s="172">
        <v>60</v>
      </c>
      <c r="AE74" s="1" t="s">
        <v>417</v>
      </c>
      <c r="AF74" s="98">
        <v>2.5</v>
      </c>
      <c r="AG74" s="98">
        <v>0.35</v>
      </c>
      <c r="AH74" s="1">
        <v>3</v>
      </c>
      <c r="AI74" s="1">
        <v>0.35</v>
      </c>
      <c r="AJ74" s="1"/>
      <c r="AK74" s="1"/>
      <c r="AL74" s="1">
        <v>0</v>
      </c>
    </row>
    <row r="75" spans="1:38" x14ac:dyDescent="0.25">
      <c r="A75" s="203" t="s">
        <v>175</v>
      </c>
      <c r="B75" s="1">
        <v>2</v>
      </c>
      <c r="C75" s="1" t="s">
        <v>418</v>
      </c>
      <c r="D75" s="13">
        <v>39399</v>
      </c>
      <c r="E75" s="1">
        <f t="shared" si="26"/>
        <v>2766</v>
      </c>
      <c r="F75" s="1"/>
      <c r="G75" s="13">
        <v>42059</v>
      </c>
      <c r="H75" s="13">
        <f t="shared" si="27"/>
        <v>41947</v>
      </c>
      <c r="I75" s="13">
        <v>42165</v>
      </c>
      <c r="J75" s="13"/>
      <c r="K75" s="1">
        <f t="shared" si="23"/>
        <v>2660</v>
      </c>
      <c r="L75" s="1">
        <f t="shared" si="24"/>
        <v>112</v>
      </c>
      <c r="M75" s="1">
        <f t="shared" si="25"/>
        <v>106</v>
      </c>
      <c r="N75" s="1" t="s">
        <v>417</v>
      </c>
      <c r="O75" s="1">
        <v>5.04</v>
      </c>
      <c r="P75" s="1"/>
      <c r="Q75" s="1"/>
      <c r="R75" s="1"/>
      <c r="S75" s="1">
        <f t="shared" si="19"/>
        <v>1</v>
      </c>
      <c r="T75" s="1" t="s">
        <v>442</v>
      </c>
      <c r="U75" s="1"/>
      <c r="V75" s="1"/>
      <c r="W75" s="1"/>
      <c r="X75" s="1"/>
      <c r="Y75" s="1">
        <v>39</v>
      </c>
      <c r="Z75" s="1">
        <v>1</v>
      </c>
      <c r="AA75" s="1"/>
      <c r="AB75" s="1">
        <v>0</v>
      </c>
      <c r="AC75" s="98">
        <v>1</v>
      </c>
      <c r="AD75" s="172">
        <v>60</v>
      </c>
      <c r="AE75" s="1" t="s">
        <v>417</v>
      </c>
      <c r="AF75" s="98">
        <v>2.5</v>
      </c>
      <c r="AG75" s="98">
        <v>0.35</v>
      </c>
      <c r="AH75" s="1">
        <v>3</v>
      </c>
      <c r="AI75" s="1">
        <v>0.35</v>
      </c>
      <c r="AJ75" s="1"/>
      <c r="AK75" s="1"/>
      <c r="AL75" s="1">
        <v>0</v>
      </c>
    </row>
    <row r="76" spans="1:38" x14ac:dyDescent="0.25">
      <c r="A76" s="203" t="s">
        <v>175</v>
      </c>
      <c r="B76" s="1">
        <v>2</v>
      </c>
      <c r="C76" s="1" t="s">
        <v>418</v>
      </c>
      <c r="D76" s="13">
        <v>39399</v>
      </c>
      <c r="E76" s="1">
        <f t="shared" si="26"/>
        <v>2766</v>
      </c>
      <c r="F76" s="1"/>
      <c r="G76" s="13">
        <v>42122</v>
      </c>
      <c r="H76" s="13">
        <f t="shared" si="27"/>
        <v>42059</v>
      </c>
      <c r="I76" s="13">
        <v>42165</v>
      </c>
      <c r="J76" s="13"/>
      <c r="K76" s="1">
        <f t="shared" si="23"/>
        <v>2723</v>
      </c>
      <c r="L76" s="1">
        <f t="shared" si="24"/>
        <v>63</v>
      </c>
      <c r="M76" s="1">
        <f t="shared" si="25"/>
        <v>43</v>
      </c>
      <c r="N76" s="1" t="s">
        <v>417</v>
      </c>
      <c r="O76" s="1">
        <v>4.9800000000000004</v>
      </c>
      <c r="P76" s="1"/>
      <c r="Q76" s="1"/>
      <c r="R76" s="1"/>
      <c r="S76" s="1"/>
      <c r="T76" s="1" t="s">
        <v>442</v>
      </c>
      <c r="U76" s="1"/>
      <c r="V76" s="1"/>
      <c r="W76" s="1"/>
      <c r="X76" s="1"/>
      <c r="Y76" s="1">
        <v>41</v>
      </c>
      <c r="Z76" s="1">
        <v>0</v>
      </c>
      <c r="AA76" s="1"/>
      <c r="AB76" s="1">
        <v>0</v>
      </c>
      <c r="AC76" s="98">
        <v>1</v>
      </c>
      <c r="AD76" s="172">
        <v>60</v>
      </c>
      <c r="AE76" s="1" t="s">
        <v>417</v>
      </c>
      <c r="AF76" s="98">
        <v>2.5</v>
      </c>
      <c r="AG76" s="98">
        <v>0.35</v>
      </c>
      <c r="AH76" s="1">
        <v>3</v>
      </c>
      <c r="AI76" s="1">
        <v>0.35</v>
      </c>
      <c r="AJ76" s="1"/>
      <c r="AK76" s="1"/>
      <c r="AL76" s="1">
        <v>0</v>
      </c>
    </row>
    <row r="77" spans="1:38" x14ac:dyDescent="0.25">
      <c r="A77" s="203" t="s">
        <v>175</v>
      </c>
      <c r="B77" s="1">
        <v>2</v>
      </c>
      <c r="C77" s="1" t="s">
        <v>418</v>
      </c>
      <c r="D77" s="13">
        <v>39399</v>
      </c>
      <c r="E77" s="1">
        <f t="shared" si="26"/>
        <v>2766</v>
      </c>
      <c r="F77" s="1"/>
      <c r="G77" s="13">
        <v>42165</v>
      </c>
      <c r="H77" s="13">
        <f t="shared" si="27"/>
        <v>42122</v>
      </c>
      <c r="I77" s="13">
        <v>42165</v>
      </c>
      <c r="J77" s="13"/>
      <c r="K77" s="1">
        <f t="shared" si="23"/>
        <v>2766</v>
      </c>
      <c r="L77" s="1">
        <f t="shared" si="24"/>
        <v>43</v>
      </c>
      <c r="M77" s="1">
        <f t="shared" si="25"/>
        <v>0</v>
      </c>
      <c r="N77" s="1" t="s">
        <v>417</v>
      </c>
      <c r="O77" s="1">
        <v>4.9000000000000004</v>
      </c>
      <c r="P77" s="1"/>
      <c r="Q77" s="1"/>
      <c r="R77" s="1"/>
      <c r="S77" s="1"/>
      <c r="T77" s="1"/>
      <c r="U77" s="1"/>
      <c r="V77" s="1"/>
      <c r="W77" s="1"/>
      <c r="X77" s="1"/>
      <c r="Y77" s="1">
        <v>44</v>
      </c>
      <c r="Z77" s="1">
        <v>0</v>
      </c>
      <c r="AA77" s="1"/>
      <c r="AB77" s="1">
        <v>0</v>
      </c>
      <c r="AC77" s="98">
        <v>0</v>
      </c>
      <c r="AD77" s="172">
        <v>60</v>
      </c>
      <c r="AE77" s="1" t="s">
        <v>417</v>
      </c>
      <c r="AF77" s="98">
        <v>2.5</v>
      </c>
      <c r="AG77" s="98">
        <v>0.35</v>
      </c>
      <c r="AH77" s="1">
        <v>3</v>
      </c>
      <c r="AI77" s="1">
        <v>0.35</v>
      </c>
      <c r="AJ77" s="1"/>
      <c r="AK77" s="1"/>
      <c r="AL77" s="1">
        <v>0</v>
      </c>
    </row>
    <row r="78" spans="1:38" x14ac:dyDescent="0.25">
      <c r="A78" s="204" t="s">
        <v>176</v>
      </c>
      <c r="B78" s="1">
        <v>2</v>
      </c>
      <c r="C78" s="1" t="s">
        <v>418</v>
      </c>
      <c r="D78" s="13">
        <v>40100</v>
      </c>
      <c r="E78" s="1">
        <f t="shared" si="26"/>
        <v>1857</v>
      </c>
      <c r="F78" s="1"/>
      <c r="G78" s="13">
        <v>40673</v>
      </c>
      <c r="H78" s="13">
        <v>40100</v>
      </c>
      <c r="I78" s="13">
        <v>41957</v>
      </c>
      <c r="J78" s="13"/>
      <c r="K78" s="1">
        <f t="shared" si="23"/>
        <v>573</v>
      </c>
      <c r="L78" s="1">
        <f t="shared" si="24"/>
        <v>573</v>
      </c>
      <c r="M78" s="1">
        <f t="shared" si="25"/>
        <v>1284</v>
      </c>
      <c r="N78" s="1" t="s">
        <v>417</v>
      </c>
      <c r="O78" s="1">
        <v>6.33</v>
      </c>
      <c r="P78" s="1">
        <f t="shared" si="16"/>
        <v>1</v>
      </c>
      <c r="Q78" s="1">
        <f t="shared" si="17"/>
        <v>1</v>
      </c>
      <c r="R78" s="1">
        <f t="shared" si="18"/>
        <v>1</v>
      </c>
      <c r="S78" s="1">
        <f t="shared" si="19"/>
        <v>1</v>
      </c>
      <c r="T78" s="1" t="s">
        <v>437</v>
      </c>
      <c r="Y78" s="1">
        <v>100</v>
      </c>
      <c r="Z78" s="1">
        <v>97</v>
      </c>
      <c r="AA78" s="1"/>
      <c r="AB78" s="1">
        <v>0</v>
      </c>
      <c r="AC78" s="98">
        <v>0</v>
      </c>
      <c r="AD78" s="172">
        <v>60</v>
      </c>
      <c r="AE78" s="1" t="s">
        <v>434</v>
      </c>
      <c r="AF78" s="98">
        <v>2</v>
      </c>
      <c r="AG78" s="98">
        <v>0.35</v>
      </c>
      <c r="AH78" s="1">
        <v>2.5</v>
      </c>
      <c r="AI78" s="1">
        <v>0.35</v>
      </c>
      <c r="AJ78" s="1"/>
      <c r="AK78" s="1"/>
      <c r="AL78" s="1">
        <v>0</v>
      </c>
    </row>
    <row r="79" spans="1:38" x14ac:dyDescent="0.25">
      <c r="A79" s="204" t="s">
        <v>176</v>
      </c>
      <c r="B79" s="1">
        <v>2</v>
      </c>
      <c r="C79" s="1" t="s">
        <v>418</v>
      </c>
      <c r="D79" s="13">
        <v>40100</v>
      </c>
      <c r="E79" s="1">
        <f t="shared" si="26"/>
        <v>1857</v>
      </c>
      <c r="F79" s="1"/>
      <c r="G79" s="13">
        <v>40876</v>
      </c>
      <c r="H79" s="13">
        <f>G78</f>
        <v>40673</v>
      </c>
      <c r="I79" s="13">
        <v>41957</v>
      </c>
      <c r="J79" s="13"/>
      <c r="K79" s="1">
        <f t="shared" si="23"/>
        <v>776</v>
      </c>
      <c r="L79" s="1">
        <f t="shared" si="24"/>
        <v>203</v>
      </c>
      <c r="M79" s="1">
        <f t="shared" si="25"/>
        <v>1081</v>
      </c>
      <c r="N79" s="1" t="s">
        <v>417</v>
      </c>
      <c r="O79" s="1">
        <v>6.17</v>
      </c>
      <c r="P79" s="1">
        <f t="shared" si="16"/>
        <v>1</v>
      </c>
      <c r="Q79" s="1">
        <f t="shared" si="17"/>
        <v>1</v>
      </c>
      <c r="R79" s="1">
        <f t="shared" si="18"/>
        <v>1</v>
      </c>
      <c r="S79" s="1">
        <f t="shared" si="19"/>
        <v>1</v>
      </c>
      <c r="T79" s="1" t="s">
        <v>437</v>
      </c>
      <c r="Y79" s="1">
        <v>100</v>
      </c>
      <c r="Z79" s="1">
        <v>97</v>
      </c>
      <c r="AA79" s="1"/>
      <c r="AB79" s="1">
        <v>0</v>
      </c>
      <c r="AC79" s="98">
        <v>1</v>
      </c>
      <c r="AD79" s="172">
        <v>60</v>
      </c>
      <c r="AE79" s="1" t="s">
        <v>434</v>
      </c>
      <c r="AF79" s="98">
        <v>2</v>
      </c>
      <c r="AG79" s="98">
        <v>0.35</v>
      </c>
      <c r="AH79" s="1">
        <v>2.5</v>
      </c>
      <c r="AI79" s="1">
        <v>0.35</v>
      </c>
      <c r="AJ79" s="1"/>
      <c r="AK79" s="1"/>
      <c r="AL79" s="1">
        <v>0</v>
      </c>
    </row>
    <row r="80" spans="1:38" x14ac:dyDescent="0.25">
      <c r="A80" s="204" t="s">
        <v>176</v>
      </c>
      <c r="B80" s="1">
        <v>2</v>
      </c>
      <c r="C80" s="1" t="s">
        <v>418</v>
      </c>
      <c r="D80" s="13">
        <v>40100</v>
      </c>
      <c r="E80" s="1">
        <f t="shared" si="26"/>
        <v>1857</v>
      </c>
      <c r="F80" s="1"/>
      <c r="G80" s="13">
        <v>41072</v>
      </c>
      <c r="H80" s="13">
        <f t="shared" ref="H80:H88" si="28">G79</f>
        <v>40876</v>
      </c>
      <c r="I80" s="13">
        <v>41957</v>
      </c>
      <c r="J80" s="13"/>
      <c r="K80" s="1">
        <f t="shared" si="23"/>
        <v>972</v>
      </c>
      <c r="L80" s="1">
        <f t="shared" si="24"/>
        <v>196</v>
      </c>
      <c r="M80" s="1">
        <f t="shared" si="25"/>
        <v>885</v>
      </c>
      <c r="N80" s="1" t="s">
        <v>417</v>
      </c>
      <c r="O80" s="1">
        <v>5.9</v>
      </c>
      <c r="P80" s="1">
        <f t="shared" si="16"/>
        <v>1</v>
      </c>
      <c r="Q80" s="1">
        <f t="shared" si="17"/>
        <v>1</v>
      </c>
      <c r="R80" s="1">
        <f t="shared" si="18"/>
        <v>1</v>
      </c>
      <c r="S80" s="1">
        <f t="shared" si="19"/>
        <v>1</v>
      </c>
      <c r="T80" s="1" t="s">
        <v>437</v>
      </c>
      <c r="Y80" s="1">
        <v>99</v>
      </c>
      <c r="Z80" s="1">
        <v>98</v>
      </c>
      <c r="AA80" s="1"/>
      <c r="AB80" s="1">
        <v>0</v>
      </c>
      <c r="AC80" s="98">
        <v>0</v>
      </c>
      <c r="AD80" s="172">
        <v>60</v>
      </c>
      <c r="AE80" s="1" t="s">
        <v>434</v>
      </c>
      <c r="AF80" s="98">
        <v>2</v>
      </c>
      <c r="AG80" s="98">
        <v>0.35</v>
      </c>
      <c r="AH80" s="1">
        <v>2.5</v>
      </c>
      <c r="AI80" s="1">
        <v>0.35</v>
      </c>
      <c r="AJ80" s="1"/>
      <c r="AK80" s="1"/>
      <c r="AL80" s="1">
        <v>0</v>
      </c>
    </row>
    <row r="81" spans="1:38" x14ac:dyDescent="0.25">
      <c r="A81" s="204" t="s">
        <v>176</v>
      </c>
      <c r="B81" s="1">
        <v>2</v>
      </c>
      <c r="C81" s="1" t="s">
        <v>418</v>
      </c>
      <c r="D81" s="13">
        <v>40100</v>
      </c>
      <c r="E81" s="1">
        <f t="shared" si="26"/>
        <v>1857</v>
      </c>
      <c r="F81" s="1"/>
      <c r="G81" s="13">
        <v>41247</v>
      </c>
      <c r="H81" s="13">
        <f t="shared" si="28"/>
        <v>41072</v>
      </c>
      <c r="I81" s="13">
        <v>41957</v>
      </c>
      <c r="J81" s="13"/>
      <c r="K81" s="1">
        <f t="shared" si="23"/>
        <v>1147</v>
      </c>
      <c r="L81" s="1">
        <f t="shared" si="24"/>
        <v>175</v>
      </c>
      <c r="M81" s="1">
        <f t="shared" si="25"/>
        <v>710</v>
      </c>
      <c r="N81" s="1" t="s">
        <v>417</v>
      </c>
      <c r="O81" s="1">
        <v>5.59</v>
      </c>
      <c r="P81" s="1">
        <f t="shared" si="16"/>
        <v>1</v>
      </c>
      <c r="Q81" s="1">
        <f t="shared" si="17"/>
        <v>1</v>
      </c>
      <c r="R81" s="1">
        <f t="shared" si="18"/>
        <v>1</v>
      </c>
      <c r="S81" s="1">
        <f t="shared" si="19"/>
        <v>1</v>
      </c>
      <c r="T81" s="1" t="s">
        <v>437</v>
      </c>
      <c r="Y81" s="1">
        <v>100</v>
      </c>
      <c r="Z81" s="1">
        <v>97</v>
      </c>
      <c r="AA81" s="1"/>
      <c r="AB81" s="1">
        <v>0</v>
      </c>
      <c r="AC81" s="98">
        <v>0</v>
      </c>
      <c r="AD81" s="172">
        <v>60</v>
      </c>
      <c r="AE81" s="1" t="s">
        <v>434</v>
      </c>
      <c r="AF81" s="98">
        <v>2</v>
      </c>
      <c r="AG81" s="98">
        <v>0.35</v>
      </c>
      <c r="AH81" s="1">
        <v>2.5</v>
      </c>
      <c r="AI81" s="1">
        <v>0.35</v>
      </c>
      <c r="AJ81" s="1"/>
      <c r="AK81" s="1"/>
      <c r="AL81" s="1">
        <v>0</v>
      </c>
    </row>
    <row r="82" spans="1:38" x14ac:dyDescent="0.25">
      <c r="A82" s="204" t="s">
        <v>176</v>
      </c>
      <c r="B82" s="1">
        <v>2</v>
      </c>
      <c r="C82" s="1" t="s">
        <v>418</v>
      </c>
      <c r="D82" s="13">
        <v>40100</v>
      </c>
      <c r="E82" s="1">
        <f t="shared" si="26"/>
        <v>1857</v>
      </c>
      <c r="F82" s="1"/>
      <c r="G82" s="13">
        <v>41436</v>
      </c>
      <c r="H82" s="13">
        <f t="shared" si="28"/>
        <v>41247</v>
      </c>
      <c r="I82" s="13">
        <v>41957</v>
      </c>
      <c r="J82" s="13"/>
      <c r="K82" s="1">
        <f t="shared" si="23"/>
        <v>1336</v>
      </c>
      <c r="L82" s="1">
        <f t="shared" si="24"/>
        <v>189</v>
      </c>
      <c r="M82" s="1">
        <f t="shared" si="25"/>
        <v>521</v>
      </c>
      <c r="N82" s="1" t="s">
        <v>417</v>
      </c>
      <c r="O82" s="1">
        <v>5.26</v>
      </c>
      <c r="P82" s="1"/>
      <c r="Q82" s="1">
        <f t="shared" si="17"/>
        <v>1</v>
      </c>
      <c r="R82" s="1">
        <f t="shared" si="18"/>
        <v>1</v>
      </c>
      <c r="S82" s="1">
        <f t="shared" si="19"/>
        <v>1</v>
      </c>
      <c r="T82" s="1" t="s">
        <v>442</v>
      </c>
      <c r="Y82" s="1">
        <v>100</v>
      </c>
      <c r="Z82" s="1">
        <v>96</v>
      </c>
      <c r="AA82" s="1"/>
      <c r="AB82" s="1">
        <v>0</v>
      </c>
      <c r="AC82" s="98">
        <v>0</v>
      </c>
      <c r="AD82" s="172">
        <v>60</v>
      </c>
      <c r="AE82" s="1" t="s">
        <v>434</v>
      </c>
      <c r="AF82" s="98">
        <v>2</v>
      </c>
      <c r="AG82" s="98">
        <v>0.35</v>
      </c>
      <c r="AH82" s="1">
        <v>2.5</v>
      </c>
      <c r="AI82" s="1">
        <v>0.35</v>
      </c>
      <c r="AJ82" s="1"/>
      <c r="AK82" s="1"/>
      <c r="AL82" s="1">
        <v>0</v>
      </c>
    </row>
    <row r="83" spans="1:38" x14ac:dyDescent="0.25">
      <c r="A83" s="204" t="s">
        <v>176</v>
      </c>
      <c r="B83" s="1">
        <v>2</v>
      </c>
      <c r="C83" s="1" t="s">
        <v>418</v>
      </c>
      <c r="D83" s="13">
        <v>40100</v>
      </c>
      <c r="E83" s="1">
        <f t="shared" si="26"/>
        <v>1857</v>
      </c>
      <c r="F83" s="1"/>
      <c r="G83" s="13">
        <v>41554</v>
      </c>
      <c r="H83" s="13">
        <f t="shared" si="28"/>
        <v>41436</v>
      </c>
      <c r="I83" s="13">
        <v>41957</v>
      </c>
      <c r="J83" s="13"/>
      <c r="K83" s="1">
        <f t="shared" si="23"/>
        <v>1454</v>
      </c>
      <c r="L83" s="1">
        <f t="shared" si="24"/>
        <v>118</v>
      </c>
      <c r="M83" s="1">
        <f t="shared" si="25"/>
        <v>403</v>
      </c>
      <c r="N83" s="1" t="s">
        <v>417</v>
      </c>
      <c r="O83" s="1">
        <v>5.19</v>
      </c>
      <c r="P83" s="1"/>
      <c r="Q83" s="1">
        <f t="shared" si="17"/>
        <v>1</v>
      </c>
      <c r="R83" s="1">
        <f t="shared" si="18"/>
        <v>1</v>
      </c>
      <c r="S83" s="1">
        <f t="shared" si="19"/>
        <v>1</v>
      </c>
      <c r="T83" s="1" t="s">
        <v>442</v>
      </c>
      <c r="Y83" s="1">
        <v>99</v>
      </c>
      <c r="Z83" s="1">
        <v>0</v>
      </c>
      <c r="AA83" s="1"/>
      <c r="AB83" s="1">
        <v>0</v>
      </c>
      <c r="AC83" s="98">
        <v>61</v>
      </c>
      <c r="AD83" s="172">
        <v>60</v>
      </c>
      <c r="AE83" s="1" t="s">
        <v>434</v>
      </c>
      <c r="AF83" s="98">
        <v>2</v>
      </c>
      <c r="AG83" s="98">
        <v>0.35</v>
      </c>
      <c r="AH83" s="1">
        <v>2.5</v>
      </c>
      <c r="AI83" s="1">
        <v>0.35</v>
      </c>
      <c r="AJ83" s="1"/>
      <c r="AK83" s="1"/>
      <c r="AL83" s="1">
        <v>0</v>
      </c>
    </row>
    <row r="84" spans="1:38" x14ac:dyDescent="0.25">
      <c r="A84" s="204" t="s">
        <v>176</v>
      </c>
      <c r="B84" s="1">
        <v>2</v>
      </c>
      <c r="C84" s="1" t="s">
        <v>418</v>
      </c>
      <c r="D84" s="13">
        <v>40100</v>
      </c>
      <c r="E84" s="1">
        <f t="shared" si="26"/>
        <v>1857</v>
      </c>
      <c r="F84" s="1"/>
      <c r="G84" s="13">
        <v>41578</v>
      </c>
      <c r="H84" s="13">
        <f t="shared" si="28"/>
        <v>41554</v>
      </c>
      <c r="I84" s="13">
        <v>41957</v>
      </c>
      <c r="J84" s="13"/>
      <c r="K84" s="1">
        <f t="shared" si="23"/>
        <v>1478</v>
      </c>
      <c r="L84" s="1">
        <f t="shared" si="24"/>
        <v>24</v>
      </c>
      <c r="M84" s="1">
        <f t="shared" si="25"/>
        <v>379</v>
      </c>
      <c r="N84" s="1" t="s">
        <v>417</v>
      </c>
      <c r="O84" s="1">
        <v>5.19</v>
      </c>
      <c r="P84" s="1"/>
      <c r="Q84" s="1">
        <f t="shared" si="17"/>
        <v>1</v>
      </c>
      <c r="R84" s="1">
        <f t="shared" si="18"/>
        <v>1</v>
      </c>
      <c r="S84" s="1">
        <f t="shared" si="19"/>
        <v>1</v>
      </c>
      <c r="T84" s="1" t="s">
        <v>442</v>
      </c>
      <c r="Y84" s="1">
        <v>97</v>
      </c>
      <c r="Z84" s="1">
        <v>0</v>
      </c>
      <c r="AA84" s="1"/>
      <c r="AB84" s="1">
        <v>2</v>
      </c>
      <c r="AC84" s="98">
        <v>244</v>
      </c>
      <c r="AD84" s="172">
        <v>60</v>
      </c>
      <c r="AE84" s="1" t="s">
        <v>434</v>
      </c>
      <c r="AF84" s="98">
        <v>2</v>
      </c>
      <c r="AG84" s="98">
        <v>0.35</v>
      </c>
      <c r="AH84" s="1">
        <v>2.5</v>
      </c>
      <c r="AI84" s="1">
        <v>0.35</v>
      </c>
      <c r="AJ84" s="1"/>
      <c r="AK84" s="1"/>
      <c r="AL84" s="1">
        <v>0</v>
      </c>
    </row>
    <row r="85" spans="1:38" x14ac:dyDescent="0.25">
      <c r="A85" s="204" t="s">
        <v>176</v>
      </c>
      <c r="B85" s="1">
        <v>2</v>
      </c>
      <c r="C85" s="1" t="s">
        <v>418</v>
      </c>
      <c r="D85" s="13">
        <v>40100</v>
      </c>
      <c r="E85" s="1">
        <f t="shared" si="26"/>
        <v>1857</v>
      </c>
      <c r="F85" s="1"/>
      <c r="G85" s="13">
        <v>41589</v>
      </c>
      <c r="H85" s="13">
        <f t="shared" si="28"/>
        <v>41578</v>
      </c>
      <c r="I85" s="13">
        <v>41957</v>
      </c>
      <c r="J85" s="13"/>
      <c r="K85" s="1">
        <f t="shared" si="23"/>
        <v>1489</v>
      </c>
      <c r="L85" s="1">
        <f t="shared" si="24"/>
        <v>11</v>
      </c>
      <c r="M85" s="1">
        <f t="shared" si="25"/>
        <v>368</v>
      </c>
      <c r="N85" s="1" t="s">
        <v>417</v>
      </c>
      <c r="O85" s="1">
        <v>5.17</v>
      </c>
      <c r="P85" s="1"/>
      <c r="Q85" s="1">
        <f t="shared" si="17"/>
        <v>1</v>
      </c>
      <c r="R85" s="1">
        <f t="shared" si="18"/>
        <v>1</v>
      </c>
      <c r="S85" s="1">
        <f t="shared" si="19"/>
        <v>1</v>
      </c>
      <c r="T85" s="1" t="s">
        <v>442</v>
      </c>
      <c r="Y85" s="1">
        <v>97</v>
      </c>
      <c r="Z85" s="1">
        <v>0</v>
      </c>
      <c r="AA85" s="1"/>
      <c r="AB85" s="1">
        <v>0</v>
      </c>
      <c r="AC85" s="98">
        <v>0</v>
      </c>
      <c r="AD85" s="172">
        <v>60</v>
      </c>
      <c r="AE85" s="1" t="s">
        <v>434</v>
      </c>
      <c r="AF85" s="98">
        <v>2</v>
      </c>
      <c r="AG85" s="98">
        <v>0.35</v>
      </c>
      <c r="AH85" s="1">
        <v>2.5</v>
      </c>
      <c r="AI85" s="1">
        <v>0.35</v>
      </c>
      <c r="AJ85" s="1"/>
      <c r="AK85" s="1"/>
      <c r="AL85" s="1">
        <v>0</v>
      </c>
    </row>
    <row r="86" spans="1:38" x14ac:dyDescent="0.25">
      <c r="A86" s="204" t="s">
        <v>176</v>
      </c>
      <c r="B86" s="1">
        <v>2</v>
      </c>
      <c r="C86" s="1" t="s">
        <v>418</v>
      </c>
      <c r="D86" s="13">
        <v>40100</v>
      </c>
      <c r="E86" s="1">
        <f t="shared" si="26"/>
        <v>1857</v>
      </c>
      <c r="F86" s="1"/>
      <c r="G86" s="13">
        <v>41772</v>
      </c>
      <c r="H86" s="13">
        <f t="shared" si="28"/>
        <v>41589</v>
      </c>
      <c r="I86" s="13">
        <v>41957</v>
      </c>
      <c r="J86" s="13"/>
      <c r="K86" s="1">
        <f t="shared" si="23"/>
        <v>1672</v>
      </c>
      <c r="L86" s="1">
        <f t="shared" si="24"/>
        <v>183</v>
      </c>
      <c r="M86" s="1">
        <f t="shared" si="25"/>
        <v>185</v>
      </c>
      <c r="N86" s="1" t="s">
        <v>417</v>
      </c>
      <c r="O86" s="1">
        <v>5.14</v>
      </c>
      <c r="P86" s="1"/>
      <c r="Q86" s="1"/>
      <c r="R86" s="1">
        <f t="shared" si="18"/>
        <v>1</v>
      </c>
      <c r="S86" s="1">
        <f t="shared" si="19"/>
        <v>1</v>
      </c>
      <c r="T86" s="1" t="s">
        <v>442</v>
      </c>
      <c r="Y86" s="1">
        <v>99</v>
      </c>
      <c r="Z86" s="1">
        <v>0</v>
      </c>
      <c r="AA86" s="1"/>
      <c r="AB86" s="1">
        <v>0</v>
      </c>
      <c r="AC86" s="98">
        <v>1</v>
      </c>
      <c r="AD86" s="172">
        <v>60</v>
      </c>
      <c r="AE86" s="1" t="s">
        <v>434</v>
      </c>
      <c r="AF86" s="98">
        <v>2</v>
      </c>
      <c r="AG86" s="98">
        <v>0.35</v>
      </c>
      <c r="AH86" s="1">
        <v>2.5</v>
      </c>
      <c r="AI86" s="1">
        <v>0.35</v>
      </c>
      <c r="AJ86" s="1"/>
      <c r="AK86" s="1"/>
      <c r="AL86" s="1">
        <v>0</v>
      </c>
    </row>
    <row r="87" spans="1:38" x14ac:dyDescent="0.25">
      <c r="A87" s="204" t="s">
        <v>176</v>
      </c>
      <c r="B87" s="1">
        <v>2</v>
      </c>
      <c r="C87" s="1" t="s">
        <v>418</v>
      </c>
      <c r="D87" s="13">
        <v>40100</v>
      </c>
      <c r="E87" s="1">
        <f t="shared" si="26"/>
        <v>1857</v>
      </c>
      <c r="F87" s="1"/>
      <c r="G87" s="13">
        <v>41877</v>
      </c>
      <c r="H87" s="13">
        <f t="shared" si="28"/>
        <v>41772</v>
      </c>
      <c r="I87" s="13">
        <v>41957</v>
      </c>
      <c r="J87" s="13"/>
      <c r="K87" s="1">
        <f t="shared" si="23"/>
        <v>1777</v>
      </c>
      <c r="L87" s="1">
        <f t="shared" si="24"/>
        <v>105</v>
      </c>
      <c r="M87" s="1">
        <f t="shared" si="25"/>
        <v>80</v>
      </c>
      <c r="N87" s="1" t="s">
        <v>417</v>
      </c>
      <c r="O87" s="1">
        <v>5.14</v>
      </c>
      <c r="P87" s="1"/>
      <c r="Q87" s="1"/>
      <c r="R87" s="1"/>
      <c r="S87" s="1"/>
      <c r="T87" s="1" t="s">
        <v>442</v>
      </c>
      <c r="Y87" s="1">
        <v>99</v>
      </c>
      <c r="Z87" s="1">
        <v>0</v>
      </c>
      <c r="AA87" s="1"/>
      <c r="AB87" s="1">
        <v>0</v>
      </c>
      <c r="AC87" s="98">
        <v>0</v>
      </c>
      <c r="AD87" s="172">
        <v>60</v>
      </c>
      <c r="AE87" s="1" t="s">
        <v>434</v>
      </c>
      <c r="AF87" s="98">
        <v>2</v>
      </c>
      <c r="AG87" s="98">
        <v>0.35</v>
      </c>
      <c r="AH87" s="1">
        <v>2.5</v>
      </c>
      <c r="AI87" s="1">
        <v>0.35</v>
      </c>
      <c r="AJ87" s="1"/>
      <c r="AK87" s="1"/>
      <c r="AL87" s="1">
        <v>0</v>
      </c>
    </row>
    <row r="88" spans="1:38" x14ac:dyDescent="0.25">
      <c r="A88" s="204" t="s">
        <v>176</v>
      </c>
      <c r="B88" s="1">
        <v>2</v>
      </c>
      <c r="C88" s="1" t="s">
        <v>418</v>
      </c>
      <c r="D88" s="13">
        <v>40100</v>
      </c>
      <c r="E88" s="1">
        <f t="shared" si="26"/>
        <v>1857</v>
      </c>
      <c r="F88" s="1"/>
      <c r="G88" s="13">
        <v>41957</v>
      </c>
      <c r="H88" s="13">
        <f t="shared" si="28"/>
        <v>41877</v>
      </c>
      <c r="I88" s="13">
        <v>41957</v>
      </c>
      <c r="J88" s="13"/>
      <c r="K88" s="1">
        <f t="shared" si="23"/>
        <v>1857</v>
      </c>
      <c r="L88" s="1">
        <f t="shared" si="24"/>
        <v>80</v>
      </c>
      <c r="M88" s="1">
        <f t="shared" si="25"/>
        <v>0</v>
      </c>
      <c r="N88" s="1" t="s">
        <v>417</v>
      </c>
      <c r="O88" s="1">
        <v>5.13</v>
      </c>
      <c r="P88" s="1"/>
      <c r="Q88" s="1"/>
      <c r="R88" s="1"/>
      <c r="S88" s="1"/>
      <c r="T88" s="1"/>
      <c r="Y88" s="1">
        <v>98</v>
      </c>
      <c r="Z88" s="1">
        <v>1</v>
      </c>
      <c r="AA88" s="1"/>
      <c r="AB88" s="1">
        <v>0</v>
      </c>
      <c r="AC88" s="98">
        <v>0</v>
      </c>
      <c r="AD88" s="172">
        <v>60</v>
      </c>
      <c r="AE88" s="1" t="s">
        <v>434</v>
      </c>
      <c r="AF88" s="98">
        <v>2</v>
      </c>
      <c r="AG88" s="98">
        <v>0.35</v>
      </c>
      <c r="AH88" s="1">
        <v>2.5</v>
      </c>
      <c r="AI88" s="1">
        <v>0.35</v>
      </c>
      <c r="AJ88" s="1"/>
      <c r="AK88" s="1"/>
      <c r="AL88" s="1">
        <v>0</v>
      </c>
    </row>
    <row r="89" spans="1:38" x14ac:dyDescent="0.25">
      <c r="A89" s="1" t="s">
        <v>192</v>
      </c>
      <c r="B89" s="1">
        <v>2</v>
      </c>
      <c r="C89" s="1" t="s">
        <v>418</v>
      </c>
      <c r="D89" s="13">
        <v>39749</v>
      </c>
      <c r="E89" s="1">
        <f t="shared" si="26"/>
        <v>2274</v>
      </c>
      <c r="F89" s="1"/>
      <c r="G89" s="13">
        <v>40813</v>
      </c>
      <c r="H89" s="13">
        <v>39749</v>
      </c>
      <c r="I89" s="13">
        <v>42023</v>
      </c>
      <c r="J89" s="13"/>
      <c r="K89" s="1">
        <f t="shared" si="23"/>
        <v>1064</v>
      </c>
      <c r="L89" s="1">
        <f t="shared" si="24"/>
        <v>1064</v>
      </c>
      <c r="M89" s="1">
        <f t="shared" si="25"/>
        <v>1210</v>
      </c>
      <c r="N89" s="1" t="s">
        <v>417</v>
      </c>
      <c r="O89" s="1">
        <v>6.12</v>
      </c>
      <c r="P89" s="1">
        <f t="shared" si="16"/>
        <v>1</v>
      </c>
      <c r="Q89" s="1">
        <f t="shared" si="17"/>
        <v>1</v>
      </c>
      <c r="R89" s="1">
        <f t="shared" si="18"/>
        <v>1</v>
      </c>
      <c r="S89" s="1">
        <f t="shared" si="19"/>
        <v>1</v>
      </c>
      <c r="T89" s="1" t="s">
        <v>437</v>
      </c>
      <c r="U89" s="1"/>
      <c r="V89" s="1"/>
      <c r="W89" s="1"/>
      <c r="X89" s="1"/>
      <c r="Y89" s="1">
        <v>35</v>
      </c>
      <c r="Z89" s="1">
        <v>0</v>
      </c>
      <c r="AA89" s="1"/>
      <c r="AB89" s="1">
        <v>0</v>
      </c>
      <c r="AC89" s="98">
        <v>11</v>
      </c>
      <c r="AD89" s="172">
        <v>60</v>
      </c>
      <c r="AE89" s="1" t="s">
        <v>417</v>
      </c>
      <c r="AF89" s="98">
        <v>1.5</v>
      </c>
      <c r="AG89" s="98">
        <v>0.35</v>
      </c>
      <c r="AH89" s="1">
        <v>2</v>
      </c>
      <c r="AI89" s="1">
        <v>0.35</v>
      </c>
      <c r="AJ89" s="1"/>
      <c r="AK89" s="1"/>
      <c r="AL89" s="1">
        <v>0</v>
      </c>
    </row>
    <row r="90" spans="1:38" x14ac:dyDescent="0.25">
      <c r="A90" s="1" t="s">
        <v>192</v>
      </c>
      <c r="B90" s="1">
        <v>2</v>
      </c>
      <c r="C90" s="1" t="s">
        <v>418</v>
      </c>
      <c r="D90" s="13">
        <v>39749</v>
      </c>
      <c r="E90" s="1">
        <f t="shared" si="26"/>
        <v>2274</v>
      </c>
      <c r="F90" s="1"/>
      <c r="G90" s="13">
        <v>40988</v>
      </c>
      <c r="H90" s="13">
        <f>G89</f>
        <v>40813</v>
      </c>
      <c r="I90" s="13">
        <v>42023</v>
      </c>
      <c r="J90" s="13"/>
      <c r="K90" s="1">
        <f t="shared" si="23"/>
        <v>1239</v>
      </c>
      <c r="L90" s="1">
        <f t="shared" si="24"/>
        <v>175</v>
      </c>
      <c r="M90" s="1">
        <f t="shared" si="25"/>
        <v>1035</v>
      </c>
      <c r="N90" s="1" t="s">
        <v>417</v>
      </c>
      <c r="O90" s="1">
        <v>5.89</v>
      </c>
      <c r="P90" s="1">
        <f t="shared" si="16"/>
        <v>1</v>
      </c>
      <c r="Q90" s="1">
        <f t="shared" si="17"/>
        <v>1</v>
      </c>
      <c r="R90" s="1">
        <f t="shared" si="18"/>
        <v>1</v>
      </c>
      <c r="S90" s="1">
        <f t="shared" si="19"/>
        <v>1</v>
      </c>
      <c r="T90" s="1" t="s">
        <v>437</v>
      </c>
      <c r="U90" s="1"/>
      <c r="V90" s="1"/>
      <c r="W90" s="1"/>
      <c r="X90" s="1"/>
      <c r="Y90" s="1">
        <v>40</v>
      </c>
      <c r="Z90" s="1">
        <v>0</v>
      </c>
      <c r="AA90" s="1"/>
      <c r="AB90" s="1">
        <v>0</v>
      </c>
      <c r="AC90" s="98">
        <v>0</v>
      </c>
      <c r="AD90" s="172">
        <v>60</v>
      </c>
      <c r="AE90" s="1" t="s">
        <v>417</v>
      </c>
      <c r="AF90" s="98">
        <v>1.5</v>
      </c>
      <c r="AG90" s="98">
        <v>0.35</v>
      </c>
      <c r="AH90" s="1">
        <v>2</v>
      </c>
      <c r="AI90" s="1">
        <v>0.35</v>
      </c>
      <c r="AJ90" s="1"/>
      <c r="AK90" s="1"/>
      <c r="AL90" s="1">
        <v>0</v>
      </c>
    </row>
    <row r="91" spans="1:38" x14ac:dyDescent="0.25">
      <c r="A91" s="1" t="s">
        <v>192</v>
      </c>
      <c r="B91" s="1">
        <v>2</v>
      </c>
      <c r="C91" s="1" t="s">
        <v>418</v>
      </c>
      <c r="D91" s="13">
        <v>39749</v>
      </c>
      <c r="E91" s="1">
        <f t="shared" si="26"/>
        <v>2274</v>
      </c>
      <c r="F91" s="1"/>
      <c r="G91" s="13">
        <v>41170</v>
      </c>
      <c r="H91" s="13">
        <f t="shared" ref="H91:H98" si="29">G90</f>
        <v>40988</v>
      </c>
      <c r="I91" s="13">
        <v>42023</v>
      </c>
      <c r="J91" s="13"/>
      <c r="K91" s="1">
        <f t="shared" si="23"/>
        <v>1421</v>
      </c>
      <c r="L91" s="1">
        <f t="shared" si="24"/>
        <v>182</v>
      </c>
      <c r="M91" s="1">
        <f t="shared" si="25"/>
        <v>853</v>
      </c>
      <c r="N91" s="1" t="s">
        <v>417</v>
      </c>
      <c r="O91" s="1">
        <v>5.51</v>
      </c>
      <c r="P91" s="1">
        <f t="shared" si="16"/>
        <v>1</v>
      </c>
      <c r="Q91" s="1">
        <f t="shared" si="17"/>
        <v>1</v>
      </c>
      <c r="R91" s="1">
        <f t="shared" si="18"/>
        <v>1</v>
      </c>
      <c r="S91" s="1">
        <f t="shared" si="19"/>
        <v>1</v>
      </c>
      <c r="T91" s="1" t="s">
        <v>437</v>
      </c>
      <c r="U91" s="1"/>
      <c r="V91" s="1"/>
      <c r="W91" s="1"/>
      <c r="X91" s="1"/>
      <c r="Y91" s="1">
        <v>39</v>
      </c>
      <c r="Z91" s="1">
        <v>0</v>
      </c>
      <c r="AA91" s="1"/>
      <c r="AB91" s="1">
        <v>0</v>
      </c>
      <c r="AC91" s="98">
        <v>0</v>
      </c>
      <c r="AD91" s="172">
        <v>60</v>
      </c>
      <c r="AE91" s="1" t="s">
        <v>417</v>
      </c>
      <c r="AF91" s="98">
        <v>1.5</v>
      </c>
      <c r="AG91" s="98">
        <v>0.35</v>
      </c>
      <c r="AH91" s="1">
        <v>2</v>
      </c>
      <c r="AI91" s="1">
        <v>0.35</v>
      </c>
      <c r="AJ91" s="1"/>
      <c r="AK91" s="1"/>
      <c r="AL91" s="1">
        <v>0</v>
      </c>
    </row>
    <row r="92" spans="1:38" x14ac:dyDescent="0.25">
      <c r="A92" s="1" t="s">
        <v>192</v>
      </c>
      <c r="B92" s="1">
        <v>2</v>
      </c>
      <c r="C92" s="1" t="s">
        <v>418</v>
      </c>
      <c r="D92" s="13">
        <v>39749</v>
      </c>
      <c r="E92" s="1">
        <f t="shared" si="26"/>
        <v>2274</v>
      </c>
      <c r="F92" s="1"/>
      <c r="G92" s="13">
        <v>41323</v>
      </c>
      <c r="H92" s="13">
        <f t="shared" si="29"/>
        <v>41170</v>
      </c>
      <c r="I92" s="13">
        <v>42023</v>
      </c>
      <c r="J92" s="13"/>
      <c r="K92" s="1">
        <f t="shared" si="23"/>
        <v>1574</v>
      </c>
      <c r="L92" s="1">
        <f t="shared" si="24"/>
        <v>153</v>
      </c>
      <c r="M92" s="1">
        <f t="shared" si="25"/>
        <v>700</v>
      </c>
      <c r="N92" s="1" t="s">
        <v>417</v>
      </c>
      <c r="O92" s="1">
        <v>5.3</v>
      </c>
      <c r="P92" s="1">
        <f t="shared" si="16"/>
        <v>1</v>
      </c>
      <c r="Q92" s="1">
        <f t="shared" si="17"/>
        <v>1</v>
      </c>
      <c r="R92" s="1">
        <f t="shared" si="18"/>
        <v>1</v>
      </c>
      <c r="S92" s="1">
        <f t="shared" si="19"/>
        <v>1</v>
      </c>
      <c r="T92" s="1" t="s">
        <v>437</v>
      </c>
      <c r="U92" s="1"/>
      <c r="V92" s="1"/>
      <c r="W92" s="1"/>
      <c r="X92" s="1"/>
      <c r="Y92" s="1">
        <v>45</v>
      </c>
      <c r="Z92" s="1">
        <v>0</v>
      </c>
      <c r="AA92" s="1"/>
      <c r="AB92" s="1">
        <v>0</v>
      </c>
      <c r="AC92" s="98">
        <v>0</v>
      </c>
      <c r="AD92" s="172">
        <v>60</v>
      </c>
      <c r="AE92" s="1" t="s">
        <v>417</v>
      </c>
      <c r="AF92" s="98">
        <v>1.5</v>
      </c>
      <c r="AG92" s="98">
        <v>0.35</v>
      </c>
      <c r="AH92" s="1">
        <v>2</v>
      </c>
      <c r="AI92" s="1">
        <v>0.35</v>
      </c>
      <c r="AJ92" s="1"/>
      <c r="AK92" s="1"/>
      <c r="AL92" s="1">
        <v>0</v>
      </c>
    </row>
    <row r="93" spans="1:38" x14ac:dyDescent="0.25">
      <c r="A93" s="1" t="s">
        <v>192</v>
      </c>
      <c r="B93" s="1">
        <v>2</v>
      </c>
      <c r="C93" s="1" t="s">
        <v>418</v>
      </c>
      <c r="D93" s="13">
        <v>39749</v>
      </c>
      <c r="E93" s="1">
        <f t="shared" si="26"/>
        <v>2274</v>
      </c>
      <c r="F93" s="1"/>
      <c r="G93" s="13">
        <v>41422</v>
      </c>
      <c r="H93" s="13">
        <f t="shared" si="29"/>
        <v>41323</v>
      </c>
      <c r="I93" s="13">
        <v>42023</v>
      </c>
      <c r="J93" s="13"/>
      <c r="K93" s="1">
        <f t="shared" si="23"/>
        <v>1673</v>
      </c>
      <c r="L93" s="1">
        <f t="shared" si="24"/>
        <v>99</v>
      </c>
      <c r="M93" s="1">
        <f t="shared" si="25"/>
        <v>601</v>
      </c>
      <c r="N93" s="1" t="s">
        <v>417</v>
      </c>
      <c r="O93" s="1">
        <v>5.22</v>
      </c>
      <c r="P93" s="1">
        <f t="shared" si="16"/>
        <v>1</v>
      </c>
      <c r="Q93" s="1">
        <f t="shared" si="17"/>
        <v>1</v>
      </c>
      <c r="R93" s="1">
        <f t="shared" si="18"/>
        <v>1</v>
      </c>
      <c r="S93" s="1">
        <f t="shared" si="19"/>
        <v>1</v>
      </c>
      <c r="T93" s="1" t="s">
        <v>437</v>
      </c>
      <c r="U93" s="1"/>
      <c r="V93" s="1"/>
      <c r="W93" s="1"/>
      <c r="X93" s="1"/>
      <c r="Y93" s="1">
        <v>39</v>
      </c>
      <c r="Z93" s="1">
        <v>0</v>
      </c>
      <c r="AA93" s="1"/>
      <c r="AB93" s="1">
        <v>0</v>
      </c>
      <c r="AC93" s="98">
        <v>0</v>
      </c>
      <c r="AD93" s="172">
        <v>60</v>
      </c>
      <c r="AE93" s="1" t="s">
        <v>417</v>
      </c>
      <c r="AF93" s="98">
        <v>1.5</v>
      </c>
      <c r="AG93" s="98">
        <v>0.35</v>
      </c>
      <c r="AH93" s="1">
        <v>2</v>
      </c>
      <c r="AI93" s="1">
        <v>0.35</v>
      </c>
      <c r="AJ93" s="1"/>
      <c r="AK93" s="1"/>
      <c r="AL93" s="1">
        <v>0</v>
      </c>
    </row>
    <row r="94" spans="1:38" x14ac:dyDescent="0.25">
      <c r="A94" s="1" t="s">
        <v>192</v>
      </c>
      <c r="B94" s="1">
        <v>2</v>
      </c>
      <c r="C94" s="1" t="s">
        <v>418</v>
      </c>
      <c r="D94" s="13">
        <v>39749</v>
      </c>
      <c r="E94" s="1">
        <f t="shared" si="26"/>
        <v>2274</v>
      </c>
      <c r="F94" s="1"/>
      <c r="G94" s="13">
        <v>41506</v>
      </c>
      <c r="H94" s="13">
        <f t="shared" si="29"/>
        <v>41422</v>
      </c>
      <c r="I94" s="13">
        <v>42023</v>
      </c>
      <c r="J94" s="13"/>
      <c r="K94" s="1">
        <f t="shared" si="23"/>
        <v>1757</v>
      </c>
      <c r="L94" s="1">
        <f t="shared" si="24"/>
        <v>84</v>
      </c>
      <c r="M94" s="1">
        <f t="shared" si="25"/>
        <v>517</v>
      </c>
      <c r="N94" s="1" t="s">
        <v>417</v>
      </c>
      <c r="O94" s="1">
        <v>5.18</v>
      </c>
      <c r="P94" s="1"/>
      <c r="Q94" s="1">
        <f t="shared" si="17"/>
        <v>1</v>
      </c>
      <c r="R94" s="1">
        <f t="shared" si="18"/>
        <v>1</v>
      </c>
      <c r="S94" s="1">
        <f t="shared" si="19"/>
        <v>1</v>
      </c>
      <c r="T94" s="1" t="s">
        <v>442</v>
      </c>
      <c r="U94" s="1"/>
      <c r="V94" s="1"/>
      <c r="W94" s="1"/>
      <c r="X94" s="1"/>
      <c r="Y94" s="1">
        <v>48</v>
      </c>
      <c r="Z94" s="1">
        <v>0</v>
      </c>
      <c r="AA94" s="1"/>
      <c r="AB94" s="1">
        <v>0</v>
      </c>
      <c r="AC94" s="98">
        <v>0</v>
      </c>
      <c r="AD94" s="172">
        <v>60</v>
      </c>
      <c r="AE94" s="1" t="s">
        <v>417</v>
      </c>
      <c r="AF94" s="98">
        <v>1.5</v>
      </c>
      <c r="AG94" s="98">
        <v>0.35</v>
      </c>
      <c r="AH94" s="1">
        <v>2</v>
      </c>
      <c r="AI94" s="1">
        <v>0.35</v>
      </c>
      <c r="AJ94" s="1"/>
      <c r="AK94" s="1"/>
      <c r="AL94" s="1">
        <v>0</v>
      </c>
    </row>
    <row r="95" spans="1:38" x14ac:dyDescent="0.25">
      <c r="A95" s="1" t="s">
        <v>192</v>
      </c>
      <c r="B95" s="1">
        <v>2</v>
      </c>
      <c r="C95" s="1" t="s">
        <v>418</v>
      </c>
      <c r="D95" s="13">
        <v>39749</v>
      </c>
      <c r="E95" s="1">
        <f t="shared" si="26"/>
        <v>2274</v>
      </c>
      <c r="F95" s="1"/>
      <c r="G95" s="13">
        <v>41596</v>
      </c>
      <c r="H95" s="13">
        <f t="shared" si="29"/>
        <v>41506</v>
      </c>
      <c r="I95" s="13">
        <v>42023</v>
      </c>
      <c r="J95" s="13"/>
      <c r="K95" s="1">
        <f t="shared" si="23"/>
        <v>1847</v>
      </c>
      <c r="L95" s="1">
        <f t="shared" si="24"/>
        <v>90</v>
      </c>
      <c r="M95" s="1">
        <f t="shared" si="25"/>
        <v>427</v>
      </c>
      <c r="N95" s="1" t="s">
        <v>417</v>
      </c>
      <c r="O95" s="1">
        <v>5.17</v>
      </c>
      <c r="P95" s="1"/>
      <c r="Q95" s="1">
        <f t="shared" si="17"/>
        <v>1</v>
      </c>
      <c r="R95" s="1">
        <f t="shared" si="18"/>
        <v>1</v>
      </c>
      <c r="S95" s="1">
        <f t="shared" si="19"/>
        <v>1</v>
      </c>
      <c r="T95" s="1" t="s">
        <v>442</v>
      </c>
      <c r="U95" s="1"/>
      <c r="V95" s="1"/>
      <c r="W95" s="1"/>
      <c r="X95" s="1"/>
      <c r="Y95" s="1">
        <v>50</v>
      </c>
      <c r="Z95" s="1">
        <v>0</v>
      </c>
      <c r="AA95" s="1"/>
      <c r="AB95" s="1">
        <v>0</v>
      </c>
      <c r="AC95" s="98">
        <v>0</v>
      </c>
      <c r="AD95" s="172">
        <v>60</v>
      </c>
      <c r="AE95" s="1" t="s">
        <v>417</v>
      </c>
      <c r="AF95" s="98">
        <v>1.5</v>
      </c>
      <c r="AG95" s="98">
        <v>0.35</v>
      </c>
      <c r="AH95" s="1">
        <v>2</v>
      </c>
      <c r="AI95" s="1">
        <v>0.35</v>
      </c>
      <c r="AJ95" s="1"/>
      <c r="AK95" s="1"/>
      <c r="AL95" s="1">
        <v>0</v>
      </c>
    </row>
    <row r="96" spans="1:38" x14ac:dyDescent="0.25">
      <c r="A96" s="1" t="s">
        <v>192</v>
      </c>
      <c r="B96" s="1">
        <v>2</v>
      </c>
      <c r="C96" s="1" t="s">
        <v>418</v>
      </c>
      <c r="D96" s="13">
        <v>39749</v>
      </c>
      <c r="E96" s="1">
        <f t="shared" si="26"/>
        <v>2274</v>
      </c>
      <c r="F96" s="1"/>
      <c r="G96" s="13">
        <v>41695</v>
      </c>
      <c r="H96" s="13">
        <f t="shared" si="29"/>
        <v>41596</v>
      </c>
      <c r="I96" s="13">
        <v>42023</v>
      </c>
      <c r="J96" s="13"/>
      <c r="K96" s="1">
        <f t="shared" si="23"/>
        <v>1946</v>
      </c>
      <c r="L96" s="1">
        <f t="shared" si="24"/>
        <v>99</v>
      </c>
      <c r="M96" s="1">
        <f t="shared" si="25"/>
        <v>328</v>
      </c>
      <c r="N96" s="1" t="s">
        <v>417</v>
      </c>
      <c r="O96" s="1">
        <v>5.15</v>
      </c>
      <c r="P96" s="1"/>
      <c r="Q96" s="1"/>
      <c r="R96" s="1">
        <f t="shared" si="18"/>
        <v>1</v>
      </c>
      <c r="S96" s="1">
        <f t="shared" si="19"/>
        <v>1</v>
      </c>
      <c r="T96" s="1" t="s">
        <v>442</v>
      </c>
      <c r="U96" s="1"/>
      <c r="V96" s="1"/>
      <c r="W96" s="1"/>
      <c r="X96" s="1"/>
      <c r="Y96" s="1">
        <v>47</v>
      </c>
      <c r="Z96" s="1">
        <v>0</v>
      </c>
      <c r="AA96" s="1"/>
      <c r="AB96" s="1">
        <v>0</v>
      </c>
      <c r="AC96" s="98">
        <v>0</v>
      </c>
      <c r="AD96" s="172">
        <v>60</v>
      </c>
      <c r="AE96" s="1" t="s">
        <v>417</v>
      </c>
      <c r="AF96" s="98">
        <v>1.5</v>
      </c>
      <c r="AG96" s="98">
        <v>0.35</v>
      </c>
      <c r="AH96" s="1">
        <v>2</v>
      </c>
      <c r="AI96" s="1">
        <v>0.35</v>
      </c>
      <c r="AJ96" s="1"/>
      <c r="AK96" s="1"/>
      <c r="AL96" s="1">
        <v>0</v>
      </c>
    </row>
    <row r="97" spans="1:38" x14ac:dyDescent="0.25">
      <c r="A97" s="1" t="s">
        <v>192</v>
      </c>
      <c r="B97" s="1">
        <v>2</v>
      </c>
      <c r="C97" s="1" t="s">
        <v>418</v>
      </c>
      <c r="D97" s="13">
        <v>39749</v>
      </c>
      <c r="E97" s="1">
        <f t="shared" si="26"/>
        <v>2274</v>
      </c>
      <c r="F97" s="1"/>
      <c r="G97" s="13">
        <v>41926</v>
      </c>
      <c r="H97" s="13">
        <f t="shared" si="29"/>
        <v>41695</v>
      </c>
      <c r="I97" s="13">
        <v>42023</v>
      </c>
      <c r="J97" s="13"/>
      <c r="K97" s="1">
        <f t="shared" si="23"/>
        <v>2177</v>
      </c>
      <c r="L97" s="1">
        <f t="shared" si="24"/>
        <v>231</v>
      </c>
      <c r="M97" s="1">
        <f t="shared" si="25"/>
        <v>97</v>
      </c>
      <c r="N97" s="1" t="s">
        <v>417</v>
      </c>
      <c r="O97" s="1">
        <v>5.14</v>
      </c>
      <c r="P97" s="1"/>
      <c r="Q97" s="1"/>
      <c r="R97" s="1"/>
      <c r="S97" s="1">
        <f t="shared" si="19"/>
        <v>1</v>
      </c>
      <c r="T97" s="1" t="s">
        <v>442</v>
      </c>
      <c r="U97" s="1"/>
      <c r="V97" s="1"/>
      <c r="W97" s="1"/>
      <c r="X97" s="1"/>
      <c r="Y97" s="1">
        <v>62</v>
      </c>
      <c r="Z97" s="1">
        <v>0</v>
      </c>
      <c r="AA97" s="1"/>
      <c r="AB97" s="1">
        <v>0</v>
      </c>
      <c r="AC97" s="98">
        <v>0</v>
      </c>
      <c r="AD97" s="172">
        <v>60</v>
      </c>
      <c r="AE97" s="1" t="s">
        <v>417</v>
      </c>
      <c r="AF97" s="98">
        <v>1.5</v>
      </c>
      <c r="AG97" s="98">
        <v>0.35</v>
      </c>
      <c r="AH97" s="1">
        <v>2</v>
      </c>
      <c r="AI97" s="1">
        <v>0.35</v>
      </c>
      <c r="AJ97" s="1"/>
      <c r="AK97" s="1"/>
      <c r="AL97" s="1">
        <v>0</v>
      </c>
    </row>
    <row r="98" spans="1:38" x14ac:dyDescent="0.25">
      <c r="A98" s="1" t="s">
        <v>192</v>
      </c>
      <c r="B98" s="1">
        <v>2</v>
      </c>
      <c r="C98" s="1" t="s">
        <v>418</v>
      </c>
      <c r="D98" s="13">
        <v>39749</v>
      </c>
      <c r="E98" s="1">
        <f t="shared" si="26"/>
        <v>2274</v>
      </c>
      <c r="F98" s="1"/>
      <c r="G98" s="13">
        <v>42023</v>
      </c>
      <c r="H98" s="13">
        <f t="shared" si="29"/>
        <v>41926</v>
      </c>
      <c r="I98" s="13">
        <v>42023</v>
      </c>
      <c r="J98" s="13"/>
      <c r="K98" s="1">
        <f t="shared" si="23"/>
        <v>2274</v>
      </c>
      <c r="L98" s="1">
        <f t="shared" si="24"/>
        <v>97</v>
      </c>
      <c r="M98" s="1">
        <f t="shared" si="25"/>
        <v>0</v>
      </c>
      <c r="N98" s="1" t="s">
        <v>417</v>
      </c>
      <c r="O98" s="1">
        <v>5.1100000000000003</v>
      </c>
      <c r="P98" s="1"/>
      <c r="Q98" s="1"/>
      <c r="R98" s="1"/>
      <c r="S98" s="1"/>
      <c r="T98" s="1"/>
      <c r="U98" s="1"/>
      <c r="V98" s="1"/>
      <c r="W98" s="1"/>
      <c r="X98" s="1"/>
      <c r="Y98" s="1">
        <v>62</v>
      </c>
      <c r="Z98" s="1">
        <v>0</v>
      </c>
      <c r="AA98" s="1"/>
      <c r="AB98" s="1">
        <v>0</v>
      </c>
      <c r="AC98" s="98">
        <v>0</v>
      </c>
      <c r="AD98" s="172">
        <v>60</v>
      </c>
      <c r="AE98" s="1" t="s">
        <v>417</v>
      </c>
      <c r="AF98" s="98">
        <v>1.5</v>
      </c>
      <c r="AG98" s="98">
        <v>0.35</v>
      </c>
      <c r="AH98" s="1">
        <v>2</v>
      </c>
      <c r="AI98" s="1">
        <v>0.35</v>
      </c>
      <c r="AJ98" s="1"/>
      <c r="AK98" s="1"/>
      <c r="AL98" s="1">
        <v>0</v>
      </c>
    </row>
    <row r="99" spans="1:38" x14ac:dyDescent="0.25">
      <c r="A99" s="206" t="s">
        <v>194</v>
      </c>
      <c r="B99" s="1">
        <v>2</v>
      </c>
      <c r="C99" s="1" t="s">
        <v>418</v>
      </c>
      <c r="D99" s="13">
        <v>39848</v>
      </c>
      <c r="E99" s="1">
        <f t="shared" si="26"/>
        <v>1937</v>
      </c>
      <c r="F99" s="1"/>
      <c r="G99" s="13">
        <v>40878</v>
      </c>
      <c r="H99" s="13">
        <v>39848</v>
      </c>
      <c r="I99" s="13">
        <v>41785</v>
      </c>
      <c r="J99" s="13"/>
      <c r="K99" s="1">
        <f t="shared" si="23"/>
        <v>1030</v>
      </c>
      <c r="L99" s="1">
        <f t="shared" si="24"/>
        <v>1030</v>
      </c>
      <c r="M99" s="1">
        <f t="shared" si="25"/>
        <v>907</v>
      </c>
      <c r="N99" s="1" t="s">
        <v>417</v>
      </c>
      <c r="O99" s="1">
        <v>6.13</v>
      </c>
      <c r="P99" s="1">
        <f t="shared" si="16"/>
        <v>1</v>
      </c>
      <c r="Q99" s="1">
        <f t="shared" si="17"/>
        <v>1</v>
      </c>
      <c r="R99" s="1">
        <f t="shared" si="18"/>
        <v>1</v>
      </c>
      <c r="S99" s="1">
        <f t="shared" si="19"/>
        <v>1</v>
      </c>
      <c r="T99" s="1" t="s">
        <v>437</v>
      </c>
      <c r="U99" s="1"/>
      <c r="V99" s="1"/>
      <c r="W99" s="1"/>
      <c r="X99" s="1"/>
      <c r="Y99" s="1">
        <v>56</v>
      </c>
      <c r="Z99" s="1">
        <v>2</v>
      </c>
      <c r="AA99" s="1"/>
      <c r="AB99" s="1">
        <v>0</v>
      </c>
      <c r="AC99" s="98">
        <v>0</v>
      </c>
      <c r="AD99" s="172">
        <v>60</v>
      </c>
      <c r="AE99" s="1" t="s">
        <v>417</v>
      </c>
      <c r="AF99" s="98">
        <v>2</v>
      </c>
      <c r="AG99" s="98">
        <v>0.35</v>
      </c>
      <c r="AH99" s="1">
        <v>4</v>
      </c>
      <c r="AI99" s="1">
        <v>0.35</v>
      </c>
      <c r="AJ99" s="1"/>
      <c r="AK99" s="1"/>
      <c r="AL99" s="1">
        <v>0</v>
      </c>
    </row>
    <row r="100" spans="1:38" x14ac:dyDescent="0.25">
      <c r="A100" s="206" t="s">
        <v>194</v>
      </c>
      <c r="B100" s="1">
        <v>2</v>
      </c>
      <c r="C100" s="1" t="s">
        <v>418</v>
      </c>
      <c r="D100" s="13">
        <v>39848</v>
      </c>
      <c r="E100" s="1">
        <f t="shared" si="26"/>
        <v>1937</v>
      </c>
      <c r="F100" s="1"/>
      <c r="G100" s="13">
        <v>41065</v>
      </c>
      <c r="H100" s="13">
        <f>G99</f>
        <v>40878</v>
      </c>
      <c r="I100" s="13">
        <v>41785</v>
      </c>
      <c r="J100" s="13"/>
      <c r="K100" s="1">
        <f t="shared" si="23"/>
        <v>1217</v>
      </c>
      <c r="L100" s="1">
        <f t="shared" si="24"/>
        <v>187</v>
      </c>
      <c r="M100" s="1">
        <f t="shared" si="25"/>
        <v>720</v>
      </c>
      <c r="N100" s="1" t="s">
        <v>417</v>
      </c>
      <c r="O100" s="1">
        <v>5.92</v>
      </c>
      <c r="P100" s="1">
        <f t="shared" si="16"/>
        <v>1</v>
      </c>
      <c r="Q100" s="1">
        <f t="shared" si="17"/>
        <v>1</v>
      </c>
      <c r="R100" s="1">
        <f t="shared" si="18"/>
        <v>1</v>
      </c>
      <c r="S100" s="1">
        <f t="shared" si="19"/>
        <v>1</v>
      </c>
      <c r="T100" s="1" t="s">
        <v>437</v>
      </c>
      <c r="U100" s="1"/>
      <c r="V100" s="1"/>
      <c r="W100" s="1"/>
      <c r="X100" s="1"/>
      <c r="Y100" s="1">
        <v>28</v>
      </c>
      <c r="Z100" s="1">
        <v>9</v>
      </c>
      <c r="AA100" s="1"/>
      <c r="AB100" s="1">
        <v>0</v>
      </c>
      <c r="AC100" s="98">
        <v>0</v>
      </c>
      <c r="AD100" s="172">
        <v>60</v>
      </c>
      <c r="AE100" s="1" t="s">
        <v>417</v>
      </c>
      <c r="AF100" s="98">
        <v>2</v>
      </c>
      <c r="AG100" s="98">
        <v>0.35</v>
      </c>
      <c r="AH100" s="1">
        <v>4</v>
      </c>
      <c r="AI100" s="1">
        <v>0.35</v>
      </c>
      <c r="AJ100" s="1"/>
      <c r="AK100" s="1"/>
      <c r="AL100" s="1">
        <v>0</v>
      </c>
    </row>
    <row r="101" spans="1:38" x14ac:dyDescent="0.25">
      <c r="A101" s="206" t="s">
        <v>194</v>
      </c>
      <c r="B101" s="1">
        <v>2</v>
      </c>
      <c r="C101" s="1" t="s">
        <v>418</v>
      </c>
      <c r="D101" s="13">
        <v>39848</v>
      </c>
      <c r="E101" s="1">
        <f t="shared" si="26"/>
        <v>1937</v>
      </c>
      <c r="F101" s="1"/>
      <c r="G101" s="13">
        <v>41296</v>
      </c>
      <c r="H101" s="13">
        <f t="shared" ref="H101:H103" si="30">G100</f>
        <v>41065</v>
      </c>
      <c r="I101" s="13">
        <v>41785</v>
      </c>
      <c r="J101" s="13"/>
      <c r="K101" s="1">
        <f t="shared" si="23"/>
        <v>1448</v>
      </c>
      <c r="L101" s="1">
        <f t="shared" si="24"/>
        <v>231</v>
      </c>
      <c r="M101" s="1">
        <f t="shared" si="25"/>
        <v>489</v>
      </c>
      <c r="N101" s="1" t="s">
        <v>417</v>
      </c>
      <c r="O101" s="1">
        <v>5.34</v>
      </c>
      <c r="P101" s="1"/>
      <c r="Q101" s="1">
        <f t="shared" si="17"/>
        <v>1</v>
      </c>
      <c r="R101" s="1">
        <f t="shared" si="18"/>
        <v>1</v>
      </c>
      <c r="S101" s="1">
        <f t="shared" si="19"/>
        <v>1</v>
      </c>
      <c r="T101" s="1" t="s">
        <v>442</v>
      </c>
      <c r="U101" s="1"/>
      <c r="V101" s="1"/>
      <c r="W101" s="1"/>
      <c r="X101" s="1"/>
      <c r="Y101" s="1">
        <v>0</v>
      </c>
      <c r="Z101" s="1">
        <v>14</v>
      </c>
      <c r="AA101" s="1"/>
      <c r="AB101" s="1">
        <v>0</v>
      </c>
      <c r="AC101" s="98">
        <v>0</v>
      </c>
      <c r="AD101" s="172">
        <v>60</v>
      </c>
      <c r="AE101" s="1" t="s">
        <v>434</v>
      </c>
      <c r="AF101" s="98">
        <v>2</v>
      </c>
      <c r="AG101" s="98">
        <v>0.35</v>
      </c>
      <c r="AH101" s="1">
        <v>4</v>
      </c>
      <c r="AI101" s="1">
        <v>0.35</v>
      </c>
      <c r="AJ101" s="1"/>
      <c r="AK101" s="1"/>
      <c r="AL101" s="1">
        <v>0</v>
      </c>
    </row>
    <row r="102" spans="1:38" x14ac:dyDescent="0.25">
      <c r="A102" s="206" t="s">
        <v>194</v>
      </c>
      <c r="B102" s="1">
        <v>2</v>
      </c>
      <c r="C102" s="1" t="s">
        <v>418</v>
      </c>
      <c r="D102" s="13">
        <v>39848</v>
      </c>
      <c r="E102" s="1">
        <f t="shared" si="26"/>
        <v>1937</v>
      </c>
      <c r="F102" s="1"/>
      <c r="G102" s="13">
        <v>41485</v>
      </c>
      <c r="H102" s="13">
        <f t="shared" si="30"/>
        <v>41296</v>
      </c>
      <c r="I102" s="13">
        <v>41785</v>
      </c>
      <c r="J102" s="13"/>
      <c r="K102" s="1">
        <f t="shared" si="23"/>
        <v>1637</v>
      </c>
      <c r="L102" s="1">
        <f t="shared" si="24"/>
        <v>189</v>
      </c>
      <c r="M102" s="1">
        <f t="shared" si="25"/>
        <v>300</v>
      </c>
      <c r="N102" s="1" t="s">
        <v>417</v>
      </c>
      <c r="O102" s="1">
        <v>5.21</v>
      </c>
      <c r="P102" s="1"/>
      <c r="Q102" s="1"/>
      <c r="R102" s="1">
        <f t="shared" ref="R102" si="31">IF(M102&gt;=180,1,"nulo")</f>
        <v>1</v>
      </c>
      <c r="S102" s="1">
        <f t="shared" ref="S102" si="32">IF(M102&gt;=90,1,"nulo")</f>
        <v>1</v>
      </c>
      <c r="T102" s="1" t="s">
        <v>442</v>
      </c>
      <c r="U102" s="1"/>
      <c r="V102" s="1"/>
      <c r="W102" s="1"/>
      <c r="X102" s="1"/>
      <c r="Y102" s="1">
        <v>0</v>
      </c>
      <c r="Z102" s="1">
        <v>16</v>
      </c>
      <c r="AA102" s="1"/>
      <c r="AB102" s="1">
        <v>0</v>
      </c>
      <c r="AC102" s="98">
        <v>0</v>
      </c>
      <c r="AD102" s="172">
        <v>60</v>
      </c>
      <c r="AE102" s="1" t="s">
        <v>434</v>
      </c>
      <c r="AF102" s="98">
        <v>2</v>
      </c>
      <c r="AG102" s="98">
        <v>0.35</v>
      </c>
      <c r="AH102" s="1">
        <v>4</v>
      </c>
      <c r="AI102" s="1">
        <v>0.35</v>
      </c>
      <c r="AJ102" s="1"/>
      <c r="AK102" s="1"/>
      <c r="AL102" s="1">
        <v>0</v>
      </c>
    </row>
    <row r="103" spans="1:38" x14ac:dyDescent="0.25">
      <c r="A103" s="206" t="s">
        <v>194</v>
      </c>
      <c r="B103" s="1">
        <v>2</v>
      </c>
      <c r="C103" s="1" t="s">
        <v>418</v>
      </c>
      <c r="D103" s="13">
        <v>39848</v>
      </c>
      <c r="E103" s="1">
        <f t="shared" si="26"/>
        <v>1937</v>
      </c>
      <c r="F103" s="1"/>
      <c r="G103" s="13">
        <v>41785</v>
      </c>
      <c r="H103" s="13">
        <f t="shared" si="30"/>
        <v>41485</v>
      </c>
      <c r="I103" s="13">
        <v>41785</v>
      </c>
      <c r="J103" s="13"/>
      <c r="K103" s="1">
        <f t="shared" si="23"/>
        <v>1937</v>
      </c>
      <c r="L103" s="1">
        <f t="shared" si="24"/>
        <v>300</v>
      </c>
      <c r="M103" s="1">
        <f t="shared" si="25"/>
        <v>0</v>
      </c>
      <c r="N103" s="1" t="s">
        <v>417</v>
      </c>
      <c r="O103" s="1">
        <v>5.17</v>
      </c>
      <c r="P103" s="1"/>
      <c r="Q103" s="1"/>
      <c r="R103" s="1"/>
      <c r="S103" s="1"/>
      <c r="T103" s="1"/>
      <c r="U103" s="1"/>
      <c r="V103" s="1"/>
      <c r="W103" s="1"/>
      <c r="X103" s="1"/>
      <c r="Y103" s="1">
        <v>0</v>
      </c>
      <c r="Z103" s="1">
        <v>16</v>
      </c>
      <c r="AA103" s="1"/>
      <c r="AB103" s="1">
        <v>2</v>
      </c>
      <c r="AC103" s="98">
        <v>21</v>
      </c>
      <c r="AD103" s="172">
        <v>60</v>
      </c>
      <c r="AE103" s="1" t="s">
        <v>417</v>
      </c>
      <c r="AF103" s="98">
        <v>2</v>
      </c>
      <c r="AG103" s="98">
        <v>0.35</v>
      </c>
      <c r="AH103" s="1">
        <v>4</v>
      </c>
      <c r="AI103" s="1">
        <v>0.35</v>
      </c>
      <c r="AJ103" s="1"/>
      <c r="AK103" s="1"/>
      <c r="AL103" s="1">
        <v>0</v>
      </c>
    </row>
    <row r="104" spans="1:38" x14ac:dyDescent="0.25">
      <c r="A104" s="209" t="s">
        <v>433</v>
      </c>
      <c r="B104" s="1">
        <v>2</v>
      </c>
      <c r="C104" s="1" t="s">
        <v>418</v>
      </c>
      <c r="D104" s="13">
        <v>39833</v>
      </c>
      <c r="E104" s="1">
        <f t="shared" si="26"/>
        <v>2079</v>
      </c>
      <c r="F104" s="1"/>
      <c r="G104" s="13">
        <v>40687</v>
      </c>
      <c r="H104" s="13">
        <v>39833</v>
      </c>
      <c r="I104" s="13">
        <v>41912</v>
      </c>
      <c r="J104" s="13"/>
      <c r="K104" s="1">
        <f t="shared" si="23"/>
        <v>854</v>
      </c>
      <c r="L104" s="1">
        <f t="shared" si="24"/>
        <v>854</v>
      </c>
      <c r="M104" s="1">
        <f t="shared" si="25"/>
        <v>1225</v>
      </c>
      <c r="N104" s="1" t="s">
        <v>417</v>
      </c>
      <c r="O104" s="1">
        <v>6.37</v>
      </c>
      <c r="P104" s="1">
        <f t="shared" ref="P104:P107" si="33">IF(M104&gt;=540,1,"nulo")</f>
        <v>1</v>
      </c>
      <c r="Q104" s="1">
        <f t="shared" ref="Q104:Q111" si="34">IF(M104&gt;=360,1,"nulo")</f>
        <v>1</v>
      </c>
      <c r="R104" s="1">
        <f t="shared" ref="R104:R112" si="35">IF(M104&gt;=180,1,"nulo")</f>
        <v>1</v>
      </c>
      <c r="S104" s="1">
        <f t="shared" ref="S104:S113" si="36">IF(M104&gt;=90,1,"nulo")</f>
        <v>1</v>
      </c>
      <c r="T104" s="1" t="s">
        <v>437</v>
      </c>
      <c r="U104" s="1"/>
      <c r="V104" s="1"/>
      <c r="W104" s="1"/>
      <c r="X104" s="1"/>
      <c r="Y104" s="1">
        <v>0</v>
      </c>
      <c r="Z104" s="1">
        <v>0</v>
      </c>
      <c r="AA104" s="1"/>
      <c r="AB104" s="1">
        <v>0</v>
      </c>
      <c r="AC104" s="1">
        <v>0</v>
      </c>
      <c r="AD104" s="1">
        <v>60</v>
      </c>
      <c r="AE104" s="1" t="s">
        <v>417</v>
      </c>
      <c r="AF104" s="1">
        <v>2.5</v>
      </c>
      <c r="AG104" s="1">
        <v>0.35</v>
      </c>
      <c r="AH104" s="1">
        <v>2.5</v>
      </c>
      <c r="AI104" s="1">
        <v>0.35</v>
      </c>
      <c r="AJ104" s="1"/>
      <c r="AK104" s="1"/>
      <c r="AL104" s="1">
        <v>0</v>
      </c>
    </row>
    <row r="105" spans="1:38" x14ac:dyDescent="0.25">
      <c r="A105" s="209" t="s">
        <v>433</v>
      </c>
      <c r="B105" s="1">
        <v>2</v>
      </c>
      <c r="C105" s="1" t="s">
        <v>418</v>
      </c>
      <c r="D105" s="13">
        <v>39833</v>
      </c>
      <c r="E105" s="1">
        <f t="shared" si="26"/>
        <v>2079</v>
      </c>
      <c r="F105" s="1"/>
      <c r="G105" s="13">
        <v>40890</v>
      </c>
      <c r="H105" s="13">
        <f>G104</f>
        <v>40687</v>
      </c>
      <c r="I105" s="13">
        <v>41912</v>
      </c>
      <c r="J105" s="13"/>
      <c r="K105" s="1">
        <f t="shared" si="23"/>
        <v>1057</v>
      </c>
      <c r="L105" s="1">
        <f t="shared" si="24"/>
        <v>203</v>
      </c>
      <c r="M105" s="1">
        <f t="shared" si="25"/>
        <v>1022</v>
      </c>
      <c r="N105" s="1" t="s">
        <v>417</v>
      </c>
      <c r="O105" s="1">
        <v>6.29</v>
      </c>
      <c r="P105" s="1">
        <f t="shared" si="33"/>
        <v>1</v>
      </c>
      <c r="Q105" s="1">
        <f t="shared" si="34"/>
        <v>1</v>
      </c>
      <c r="R105" s="1">
        <f t="shared" si="35"/>
        <v>1</v>
      </c>
      <c r="S105" s="1">
        <f t="shared" si="36"/>
        <v>1</v>
      </c>
      <c r="T105" s="1" t="s">
        <v>437</v>
      </c>
      <c r="U105" s="1"/>
      <c r="V105" s="1"/>
      <c r="W105" s="1"/>
      <c r="X105" s="1"/>
      <c r="Y105" s="1">
        <v>0</v>
      </c>
      <c r="Z105" s="1">
        <v>0</v>
      </c>
      <c r="AA105" s="1"/>
      <c r="AB105" s="1">
        <v>0</v>
      </c>
      <c r="AC105" s="1">
        <v>0</v>
      </c>
      <c r="AD105" s="1">
        <v>60</v>
      </c>
      <c r="AE105" s="1" t="s">
        <v>417</v>
      </c>
      <c r="AF105" s="1">
        <v>2.5</v>
      </c>
      <c r="AG105" s="1">
        <v>0.35</v>
      </c>
      <c r="AH105" s="1">
        <v>2.5</v>
      </c>
      <c r="AI105" s="1">
        <v>0.35</v>
      </c>
      <c r="AJ105" s="1"/>
      <c r="AK105" s="1"/>
      <c r="AL105" s="1">
        <v>0</v>
      </c>
    </row>
    <row r="106" spans="1:38" x14ac:dyDescent="0.25">
      <c r="A106" s="209" t="s">
        <v>433</v>
      </c>
      <c r="B106" s="1">
        <v>2</v>
      </c>
      <c r="C106" s="1" t="s">
        <v>418</v>
      </c>
      <c r="D106" s="13">
        <v>39833</v>
      </c>
      <c r="E106" s="1">
        <f t="shared" si="26"/>
        <v>2079</v>
      </c>
      <c r="F106" s="1"/>
      <c r="G106" s="13">
        <v>41168</v>
      </c>
      <c r="H106" s="13">
        <f t="shared" ref="H106:H110" si="37">G105</f>
        <v>40890</v>
      </c>
      <c r="I106" s="13">
        <v>41912</v>
      </c>
      <c r="J106" s="13"/>
      <c r="K106" s="1">
        <f t="shared" si="23"/>
        <v>1335</v>
      </c>
      <c r="L106" s="1">
        <f t="shared" si="24"/>
        <v>278</v>
      </c>
      <c r="M106" s="1">
        <f t="shared" si="25"/>
        <v>744</v>
      </c>
      <c r="N106" s="1" t="s">
        <v>417</v>
      </c>
      <c r="O106" s="1">
        <v>6.13</v>
      </c>
      <c r="P106" s="1">
        <f t="shared" si="33"/>
        <v>1</v>
      </c>
      <c r="Q106" s="1">
        <f t="shared" si="34"/>
        <v>1</v>
      </c>
      <c r="R106" s="1">
        <f t="shared" si="35"/>
        <v>1</v>
      </c>
      <c r="S106" s="1">
        <f t="shared" si="36"/>
        <v>1</v>
      </c>
      <c r="T106" s="1" t="s">
        <v>437</v>
      </c>
      <c r="U106" s="1"/>
      <c r="V106" s="1"/>
      <c r="W106" s="1"/>
      <c r="X106" s="1"/>
      <c r="Y106" s="1">
        <v>0</v>
      </c>
      <c r="Z106" s="1">
        <v>0</v>
      </c>
      <c r="AA106" s="1"/>
      <c r="AB106" s="1">
        <v>0</v>
      </c>
      <c r="AC106" s="1">
        <v>0</v>
      </c>
      <c r="AD106" s="1">
        <v>60</v>
      </c>
      <c r="AE106" s="1" t="s">
        <v>417</v>
      </c>
      <c r="AF106" s="1">
        <v>2.5</v>
      </c>
      <c r="AG106" s="1">
        <v>0.35</v>
      </c>
      <c r="AH106" s="1">
        <v>2.5</v>
      </c>
      <c r="AI106" s="1">
        <v>0.35</v>
      </c>
      <c r="AJ106" s="1"/>
      <c r="AK106" s="1"/>
      <c r="AL106" s="1">
        <v>0</v>
      </c>
    </row>
    <row r="107" spans="1:38" x14ac:dyDescent="0.25">
      <c r="A107" s="209" t="s">
        <v>433</v>
      </c>
      <c r="B107" s="1">
        <v>2</v>
      </c>
      <c r="C107" s="1" t="s">
        <v>418</v>
      </c>
      <c r="D107" s="13">
        <v>39833</v>
      </c>
      <c r="E107" s="1">
        <f t="shared" si="26"/>
        <v>2079</v>
      </c>
      <c r="F107" s="1"/>
      <c r="G107" s="13">
        <v>41324</v>
      </c>
      <c r="H107" s="13">
        <f t="shared" si="37"/>
        <v>41168</v>
      </c>
      <c r="I107" s="13">
        <v>41912</v>
      </c>
      <c r="J107" s="13"/>
      <c r="K107" s="1">
        <f t="shared" si="23"/>
        <v>1491</v>
      </c>
      <c r="L107" s="1">
        <f t="shared" si="24"/>
        <v>156</v>
      </c>
      <c r="M107" s="1">
        <f t="shared" si="25"/>
        <v>588</v>
      </c>
      <c r="N107" s="1" t="s">
        <v>417</v>
      </c>
      <c r="O107" s="1">
        <v>5.85</v>
      </c>
      <c r="P107" s="1">
        <f t="shared" si="33"/>
        <v>1</v>
      </c>
      <c r="Q107" s="1">
        <f t="shared" si="34"/>
        <v>1</v>
      </c>
      <c r="R107" s="1">
        <f t="shared" si="35"/>
        <v>1</v>
      </c>
      <c r="S107" s="1">
        <f t="shared" si="36"/>
        <v>1</v>
      </c>
      <c r="T107" s="1" t="s">
        <v>437</v>
      </c>
      <c r="U107" s="1"/>
      <c r="V107" s="1"/>
      <c r="W107" s="1"/>
      <c r="X107" s="1"/>
      <c r="Y107" s="1">
        <v>0</v>
      </c>
      <c r="Z107" s="1">
        <v>0</v>
      </c>
      <c r="AA107" s="1"/>
      <c r="AB107" s="1">
        <v>0</v>
      </c>
      <c r="AC107" s="1">
        <v>0</v>
      </c>
      <c r="AD107" s="1">
        <v>60</v>
      </c>
      <c r="AE107" s="1" t="s">
        <v>417</v>
      </c>
      <c r="AF107" s="1">
        <v>2.5</v>
      </c>
      <c r="AG107" s="1">
        <v>0.35</v>
      </c>
      <c r="AH107" s="1">
        <v>2.5</v>
      </c>
      <c r="AI107" s="1">
        <v>0.35</v>
      </c>
      <c r="AJ107" s="1"/>
      <c r="AK107" s="1"/>
      <c r="AL107" s="1">
        <v>0</v>
      </c>
    </row>
    <row r="108" spans="1:38" x14ac:dyDescent="0.25">
      <c r="A108" s="209" t="s">
        <v>433</v>
      </c>
      <c r="B108" s="1">
        <v>2</v>
      </c>
      <c r="C108" s="1" t="s">
        <v>418</v>
      </c>
      <c r="D108" s="13">
        <v>39833</v>
      </c>
      <c r="E108" s="1">
        <f t="shared" si="26"/>
        <v>2079</v>
      </c>
      <c r="F108" s="1"/>
      <c r="G108" s="13">
        <v>41478</v>
      </c>
      <c r="H108" s="13">
        <f t="shared" si="37"/>
        <v>41324</v>
      </c>
      <c r="I108" s="13">
        <v>41912</v>
      </c>
      <c r="J108" s="13"/>
      <c r="K108" s="1">
        <f t="shared" si="23"/>
        <v>1645</v>
      </c>
      <c r="L108" s="1">
        <f t="shared" si="24"/>
        <v>154</v>
      </c>
      <c r="M108" s="1">
        <f t="shared" si="25"/>
        <v>434</v>
      </c>
      <c r="N108" s="1" t="s">
        <v>417</v>
      </c>
      <c r="O108" s="1">
        <v>5.55</v>
      </c>
      <c r="P108" s="1"/>
      <c r="Q108" s="1">
        <f t="shared" si="34"/>
        <v>1</v>
      </c>
      <c r="R108" s="1">
        <f t="shared" si="35"/>
        <v>1</v>
      </c>
      <c r="S108" s="1">
        <f t="shared" si="36"/>
        <v>1</v>
      </c>
      <c r="T108" s="1" t="s">
        <v>442</v>
      </c>
      <c r="U108" s="1"/>
      <c r="V108" s="1"/>
      <c r="W108" s="1"/>
      <c r="X108" s="1"/>
      <c r="Y108" s="1">
        <v>0</v>
      </c>
      <c r="Z108" s="1">
        <v>0</v>
      </c>
      <c r="AA108" s="1"/>
      <c r="AB108" s="1">
        <v>0</v>
      </c>
      <c r="AC108" s="1">
        <v>0</v>
      </c>
      <c r="AD108" s="1">
        <v>60</v>
      </c>
      <c r="AE108" s="1" t="s">
        <v>417</v>
      </c>
      <c r="AF108" s="1">
        <v>2.5</v>
      </c>
      <c r="AG108" s="1">
        <v>0.35</v>
      </c>
      <c r="AH108" s="1">
        <v>2.5</v>
      </c>
      <c r="AI108" s="1">
        <v>0.35</v>
      </c>
      <c r="AJ108" s="1"/>
      <c r="AK108" s="1"/>
      <c r="AL108" s="1">
        <v>0</v>
      </c>
    </row>
    <row r="109" spans="1:38" x14ac:dyDescent="0.25">
      <c r="A109" s="209" t="s">
        <v>433</v>
      </c>
      <c r="B109" s="1">
        <v>2</v>
      </c>
      <c r="C109" s="1" t="s">
        <v>418</v>
      </c>
      <c r="D109" s="13">
        <v>39833</v>
      </c>
      <c r="E109" s="1">
        <f t="shared" si="26"/>
        <v>2079</v>
      </c>
      <c r="F109" s="1"/>
      <c r="G109" s="13">
        <v>41754</v>
      </c>
      <c r="H109" s="13">
        <f t="shared" si="37"/>
        <v>41478</v>
      </c>
      <c r="I109" s="13">
        <v>41912</v>
      </c>
      <c r="J109" s="13"/>
      <c r="K109" s="1">
        <f t="shared" si="23"/>
        <v>1921</v>
      </c>
      <c r="L109" s="1">
        <f t="shared" si="24"/>
        <v>276</v>
      </c>
      <c r="M109" s="1">
        <f t="shared" si="25"/>
        <v>158</v>
      </c>
      <c r="N109" s="1" t="s">
        <v>417</v>
      </c>
      <c r="O109" s="1">
        <v>5.28</v>
      </c>
      <c r="P109" s="1"/>
      <c r="Q109" s="1"/>
      <c r="R109" s="1"/>
      <c r="S109" s="1">
        <f t="shared" si="36"/>
        <v>1</v>
      </c>
      <c r="T109" s="1" t="s">
        <v>442</v>
      </c>
      <c r="U109" s="1"/>
      <c r="V109" s="1"/>
      <c r="W109" s="1"/>
      <c r="X109" s="1"/>
      <c r="Y109" s="1">
        <v>0</v>
      </c>
      <c r="Z109" s="1">
        <v>0</v>
      </c>
      <c r="AA109" s="1"/>
      <c r="AB109" s="1">
        <v>0</v>
      </c>
      <c r="AC109" s="1">
        <v>0</v>
      </c>
      <c r="AD109" s="1">
        <v>60</v>
      </c>
      <c r="AE109" s="1" t="s">
        <v>417</v>
      </c>
      <c r="AF109" s="1">
        <v>2.5</v>
      </c>
      <c r="AG109" s="1">
        <v>0.35</v>
      </c>
      <c r="AH109" s="1">
        <v>2.5</v>
      </c>
      <c r="AI109" s="1">
        <v>0.35</v>
      </c>
      <c r="AJ109" s="1"/>
      <c r="AK109" s="1"/>
      <c r="AL109" s="1">
        <v>0</v>
      </c>
    </row>
    <row r="110" spans="1:38" x14ac:dyDescent="0.25">
      <c r="A110" s="209" t="s">
        <v>433</v>
      </c>
      <c r="B110" s="1">
        <v>2</v>
      </c>
      <c r="C110" s="1" t="s">
        <v>418</v>
      </c>
      <c r="D110" s="13">
        <v>39833</v>
      </c>
      <c r="E110" s="1">
        <f t="shared" si="26"/>
        <v>2079</v>
      </c>
      <c r="F110" s="1"/>
      <c r="G110" s="13">
        <v>41912</v>
      </c>
      <c r="H110" s="13">
        <f t="shared" si="37"/>
        <v>41754</v>
      </c>
      <c r="I110" s="13">
        <v>41912</v>
      </c>
      <c r="J110" s="13"/>
      <c r="K110" s="1">
        <f t="shared" si="23"/>
        <v>2079</v>
      </c>
      <c r="L110" s="1">
        <f t="shared" si="24"/>
        <v>158</v>
      </c>
      <c r="M110" s="1">
        <f t="shared" si="25"/>
        <v>0</v>
      </c>
      <c r="N110" s="1" t="s">
        <v>417</v>
      </c>
      <c r="O110" s="1">
        <v>5.18</v>
      </c>
      <c r="P110" s="1"/>
      <c r="Q110" s="1"/>
      <c r="R110" s="1"/>
      <c r="S110" s="1"/>
      <c r="T110" s="1"/>
      <c r="U110" s="1"/>
      <c r="V110" s="1"/>
      <c r="W110" s="1"/>
      <c r="X110" s="1"/>
      <c r="Y110" s="1">
        <v>0</v>
      </c>
      <c r="Z110" s="1">
        <v>0</v>
      </c>
      <c r="AA110" s="1"/>
      <c r="AB110" s="1">
        <v>0</v>
      </c>
      <c r="AC110" s="1">
        <v>0</v>
      </c>
      <c r="AD110" s="1">
        <v>60</v>
      </c>
      <c r="AE110" s="1" t="s">
        <v>417</v>
      </c>
      <c r="AF110" s="1">
        <v>2.5</v>
      </c>
      <c r="AG110" s="1">
        <v>0.35</v>
      </c>
      <c r="AH110" s="1">
        <v>2.5</v>
      </c>
      <c r="AI110" s="1">
        <v>0.35</v>
      </c>
      <c r="AJ110" s="1"/>
      <c r="AK110" s="1"/>
      <c r="AL110" s="1">
        <v>0</v>
      </c>
    </row>
    <row r="111" spans="1:38" x14ac:dyDescent="0.25">
      <c r="A111" s="211" t="s">
        <v>211</v>
      </c>
      <c r="B111" s="1">
        <v>2</v>
      </c>
      <c r="C111" s="1" t="s">
        <v>418</v>
      </c>
      <c r="D111" s="13">
        <v>38882</v>
      </c>
      <c r="E111" s="1">
        <f t="shared" si="26"/>
        <v>2441</v>
      </c>
      <c r="F111" s="1"/>
      <c r="G111" s="13">
        <v>40827</v>
      </c>
      <c r="H111" s="13">
        <v>38882</v>
      </c>
      <c r="I111" s="13">
        <v>41323</v>
      </c>
      <c r="J111" s="13"/>
      <c r="K111" s="1">
        <f t="shared" si="23"/>
        <v>1945</v>
      </c>
      <c r="L111" s="1">
        <f t="shared" si="24"/>
        <v>1945</v>
      </c>
      <c r="M111" s="1">
        <f t="shared" si="25"/>
        <v>496</v>
      </c>
      <c r="N111" s="1" t="s">
        <v>417</v>
      </c>
      <c r="O111" s="1">
        <v>5.15</v>
      </c>
      <c r="P111" s="1"/>
      <c r="Q111" s="1">
        <f t="shared" si="34"/>
        <v>1</v>
      </c>
      <c r="R111" s="1">
        <f t="shared" si="35"/>
        <v>1</v>
      </c>
      <c r="S111" s="1">
        <f t="shared" si="36"/>
        <v>1</v>
      </c>
      <c r="T111" s="1" t="s">
        <v>442</v>
      </c>
      <c r="U111" s="1"/>
      <c r="V111" s="1"/>
      <c r="W111" s="1"/>
      <c r="X111" s="1"/>
      <c r="Y111" s="1">
        <v>2</v>
      </c>
      <c r="Z111" s="1">
        <v>0</v>
      </c>
      <c r="AA111" s="1"/>
      <c r="AB111" s="1">
        <v>1</v>
      </c>
      <c r="AC111" s="1">
        <v>0</v>
      </c>
      <c r="AD111" s="1">
        <v>50</v>
      </c>
      <c r="AE111" s="1" t="s">
        <v>417</v>
      </c>
      <c r="AF111" s="1">
        <v>2.5</v>
      </c>
      <c r="AG111" s="1">
        <v>0.35</v>
      </c>
      <c r="AH111" s="1">
        <v>2.5</v>
      </c>
      <c r="AI111" s="1">
        <v>0.35</v>
      </c>
      <c r="AJ111" s="1"/>
      <c r="AK111" s="1"/>
      <c r="AL111" s="1">
        <v>0</v>
      </c>
    </row>
    <row r="112" spans="1:38" x14ac:dyDescent="0.25">
      <c r="A112" s="211" t="s">
        <v>211</v>
      </c>
      <c r="B112" s="1">
        <v>2</v>
      </c>
      <c r="C112" s="1" t="s">
        <v>418</v>
      </c>
      <c r="D112" s="13">
        <v>38882</v>
      </c>
      <c r="E112" s="1">
        <f t="shared" si="26"/>
        <v>2441</v>
      </c>
      <c r="F112" s="1"/>
      <c r="G112" s="13">
        <v>41023</v>
      </c>
      <c r="H112" s="13">
        <f>G111</f>
        <v>40827</v>
      </c>
      <c r="I112" s="13">
        <v>41323</v>
      </c>
      <c r="J112" s="13"/>
      <c r="K112" s="1">
        <f t="shared" si="23"/>
        <v>2141</v>
      </c>
      <c r="L112" s="1">
        <f t="shared" si="24"/>
        <v>196</v>
      </c>
      <c r="M112" s="1">
        <f t="shared" si="25"/>
        <v>300</v>
      </c>
      <c r="N112" s="1" t="s">
        <v>417</v>
      </c>
      <c r="O112" s="1">
        <v>5.15</v>
      </c>
      <c r="P112" s="1"/>
      <c r="Q112" s="1"/>
      <c r="R112" s="1">
        <f t="shared" si="35"/>
        <v>1</v>
      </c>
      <c r="S112" s="1">
        <f t="shared" si="36"/>
        <v>1</v>
      </c>
      <c r="T112" s="1" t="s">
        <v>442</v>
      </c>
      <c r="U112" s="1"/>
      <c r="V112" s="1"/>
      <c r="W112" s="1"/>
      <c r="X112" s="1"/>
      <c r="Y112" s="1">
        <v>2</v>
      </c>
      <c r="Z112" s="1">
        <v>0</v>
      </c>
      <c r="AA112" s="1"/>
      <c r="AB112" s="1">
        <v>0</v>
      </c>
      <c r="AC112" s="1">
        <v>0</v>
      </c>
      <c r="AD112" s="1">
        <v>50</v>
      </c>
      <c r="AE112" s="1" t="s">
        <v>417</v>
      </c>
      <c r="AF112" s="1">
        <v>2.5</v>
      </c>
      <c r="AG112" s="1">
        <v>0.35</v>
      </c>
      <c r="AH112" s="1">
        <v>2.5</v>
      </c>
      <c r="AI112" s="1">
        <v>0.35</v>
      </c>
      <c r="AJ112" s="1"/>
      <c r="AK112" s="1"/>
      <c r="AL112" s="1">
        <v>0</v>
      </c>
    </row>
    <row r="113" spans="1:38" x14ac:dyDescent="0.25">
      <c r="A113" s="211" t="s">
        <v>211</v>
      </c>
      <c r="B113" s="1">
        <v>2</v>
      </c>
      <c r="C113" s="1" t="s">
        <v>418</v>
      </c>
      <c r="D113" s="13">
        <v>38882</v>
      </c>
      <c r="E113" s="1">
        <f t="shared" si="26"/>
        <v>2441</v>
      </c>
      <c r="F113" s="1"/>
      <c r="G113" s="13">
        <v>41212</v>
      </c>
      <c r="H113" s="13">
        <f t="shared" ref="H113:H114" si="38">G112</f>
        <v>41023</v>
      </c>
      <c r="I113" s="13">
        <v>41323</v>
      </c>
      <c r="J113" s="13"/>
      <c r="K113" s="1">
        <f t="shared" si="23"/>
        <v>2330</v>
      </c>
      <c r="L113" s="1">
        <f t="shared" si="24"/>
        <v>189</v>
      </c>
      <c r="M113" s="1">
        <f t="shared" si="25"/>
        <v>111</v>
      </c>
      <c r="N113" s="1" t="s">
        <v>417</v>
      </c>
      <c r="O113" s="1">
        <v>5.13</v>
      </c>
      <c r="P113" s="1"/>
      <c r="Q113" s="1"/>
      <c r="R113" s="1"/>
      <c r="S113" s="1">
        <f t="shared" si="36"/>
        <v>1</v>
      </c>
      <c r="T113" s="1" t="s">
        <v>442</v>
      </c>
      <c r="U113" s="1"/>
      <c r="V113" s="1"/>
      <c r="W113" s="1"/>
      <c r="X113" s="1"/>
      <c r="Y113" s="1">
        <v>1</v>
      </c>
      <c r="Z113" s="1">
        <v>0</v>
      </c>
      <c r="AA113" s="1"/>
      <c r="AB113" s="1">
        <v>0</v>
      </c>
      <c r="AC113" s="1">
        <v>0</v>
      </c>
      <c r="AD113" s="1">
        <v>50</v>
      </c>
      <c r="AE113" s="1" t="s">
        <v>417</v>
      </c>
      <c r="AF113" s="1">
        <v>2.5</v>
      </c>
      <c r="AG113" s="1">
        <v>0.35</v>
      </c>
      <c r="AH113" s="1">
        <v>2.5</v>
      </c>
      <c r="AI113" s="1">
        <v>0.35</v>
      </c>
      <c r="AJ113" s="1"/>
      <c r="AK113" s="1"/>
      <c r="AL113" s="1">
        <v>0</v>
      </c>
    </row>
    <row r="114" spans="1:38" x14ac:dyDescent="0.25">
      <c r="A114" s="211" t="s">
        <v>211</v>
      </c>
      <c r="B114" s="1">
        <v>2</v>
      </c>
      <c r="C114" s="1" t="s">
        <v>418</v>
      </c>
      <c r="D114" s="13">
        <v>38882</v>
      </c>
      <c r="E114" s="1">
        <f t="shared" si="26"/>
        <v>2441</v>
      </c>
      <c r="F114" s="1"/>
      <c r="G114" s="13">
        <v>41323</v>
      </c>
      <c r="H114" s="13">
        <f t="shared" si="38"/>
        <v>41212</v>
      </c>
      <c r="I114" s="13">
        <v>41323</v>
      </c>
      <c r="J114" s="13"/>
      <c r="K114" s="1">
        <f t="shared" si="23"/>
        <v>2441</v>
      </c>
      <c r="L114" s="1">
        <f t="shared" si="24"/>
        <v>111</v>
      </c>
      <c r="M114" s="1">
        <f t="shared" si="25"/>
        <v>0</v>
      </c>
      <c r="N114" s="1" t="s">
        <v>417</v>
      </c>
      <c r="O114" s="1">
        <v>5.07</v>
      </c>
      <c r="P114" s="1"/>
      <c r="Q114" s="1"/>
      <c r="R114" s="1"/>
      <c r="S114" s="1"/>
      <c r="T114" s="1"/>
      <c r="U114" s="1"/>
      <c r="V114" s="1"/>
      <c r="W114" s="1"/>
      <c r="X114" s="1"/>
      <c r="Y114" s="1">
        <v>5</v>
      </c>
      <c r="Z114" s="1">
        <v>0</v>
      </c>
      <c r="AA114" s="1"/>
      <c r="AB114" s="1">
        <v>0</v>
      </c>
      <c r="AC114" s="1">
        <v>0</v>
      </c>
      <c r="AD114" s="1">
        <v>50</v>
      </c>
      <c r="AE114" s="1" t="s">
        <v>417</v>
      </c>
      <c r="AF114" s="1">
        <v>2.5</v>
      </c>
      <c r="AG114" s="1">
        <v>0.35</v>
      </c>
      <c r="AH114" s="1">
        <v>2.5</v>
      </c>
      <c r="AI114" s="1">
        <v>0.35</v>
      </c>
      <c r="AJ114" s="1"/>
      <c r="AK114" s="1"/>
      <c r="AL114" s="1">
        <v>0</v>
      </c>
    </row>
    <row r="115" spans="1:38" x14ac:dyDescent="0.25">
      <c r="A115" s="213" t="s">
        <v>212</v>
      </c>
      <c r="B115" s="1">
        <v>2</v>
      </c>
      <c r="C115" s="1" t="s">
        <v>418</v>
      </c>
      <c r="D115" s="13">
        <v>38748</v>
      </c>
      <c r="E115" s="1">
        <f t="shared" si="26"/>
        <v>2922</v>
      </c>
      <c r="F115" s="1"/>
      <c r="G115" s="13">
        <v>41162</v>
      </c>
      <c r="H115" s="13">
        <v>38748</v>
      </c>
      <c r="I115" s="13">
        <v>41670</v>
      </c>
      <c r="J115" s="13"/>
      <c r="K115" s="1">
        <f t="shared" si="23"/>
        <v>2414</v>
      </c>
      <c r="L115" s="1">
        <f t="shared" si="24"/>
        <v>2414</v>
      </c>
      <c r="M115" s="1">
        <f t="shared" si="25"/>
        <v>508</v>
      </c>
      <c r="N115" s="1" t="s">
        <v>417</v>
      </c>
      <c r="O115" s="1">
        <v>5.15</v>
      </c>
      <c r="P115" s="1"/>
      <c r="Q115" s="1">
        <f t="shared" ref="Q115:Q128" si="39">IF(M115&gt;=360,1,"nulo")</f>
        <v>1</v>
      </c>
      <c r="R115" s="1">
        <f t="shared" ref="R115:R129" si="40">IF(M115&gt;=180,1,"nulo")</f>
        <v>1</v>
      </c>
      <c r="S115" s="1">
        <f t="shared" ref="S115:S130" si="41">IF(M115&gt;=90,1,"nulo")</f>
        <v>1</v>
      </c>
      <c r="T115" s="1" t="s">
        <v>442</v>
      </c>
      <c r="U115" s="1"/>
      <c r="V115" s="1"/>
      <c r="W115" s="1"/>
      <c r="X115" s="1"/>
      <c r="Y115" s="1">
        <v>1</v>
      </c>
      <c r="Z115" s="1">
        <v>0</v>
      </c>
      <c r="AA115" s="1"/>
      <c r="AB115" s="1">
        <v>0</v>
      </c>
      <c r="AC115" s="1">
        <v>1</v>
      </c>
      <c r="AD115" s="1">
        <v>45</v>
      </c>
      <c r="AE115" s="1" t="s">
        <v>417</v>
      </c>
      <c r="AF115" s="1">
        <v>2.5</v>
      </c>
      <c r="AG115" s="1">
        <v>0.35</v>
      </c>
      <c r="AH115" s="1">
        <v>2.5</v>
      </c>
      <c r="AI115" s="1">
        <v>0.35</v>
      </c>
      <c r="AJ115" s="1"/>
      <c r="AK115" s="1"/>
      <c r="AL115" s="1">
        <v>0</v>
      </c>
    </row>
    <row r="116" spans="1:38" x14ac:dyDescent="0.25">
      <c r="A116" s="213" t="s">
        <v>212</v>
      </c>
      <c r="B116" s="1">
        <v>2</v>
      </c>
      <c r="C116" s="1" t="s">
        <v>418</v>
      </c>
      <c r="D116" s="13">
        <v>38748</v>
      </c>
      <c r="E116" s="1">
        <f t="shared" si="26"/>
        <v>2922</v>
      </c>
      <c r="F116" s="1"/>
      <c r="G116" s="13">
        <v>41261</v>
      </c>
      <c r="H116" s="13">
        <f>G115</f>
        <v>41162</v>
      </c>
      <c r="I116" s="13">
        <v>41670</v>
      </c>
      <c r="J116" s="13"/>
      <c r="K116" s="1">
        <f t="shared" si="23"/>
        <v>2513</v>
      </c>
      <c r="L116" s="1">
        <f t="shared" si="24"/>
        <v>99</v>
      </c>
      <c r="M116" s="1">
        <f t="shared" si="25"/>
        <v>409</v>
      </c>
      <c r="N116" s="1" t="s">
        <v>417</v>
      </c>
      <c r="O116" s="1">
        <v>5.15</v>
      </c>
      <c r="P116" s="1"/>
      <c r="Q116" s="1">
        <f t="shared" si="39"/>
        <v>1</v>
      </c>
      <c r="R116" s="1">
        <f t="shared" si="40"/>
        <v>1</v>
      </c>
      <c r="S116" s="1">
        <f t="shared" si="41"/>
        <v>1</v>
      </c>
      <c r="T116" s="1" t="s">
        <v>442</v>
      </c>
      <c r="U116" s="1"/>
      <c r="V116" s="1"/>
      <c r="W116" s="1"/>
      <c r="X116" s="1"/>
      <c r="Y116" s="1">
        <v>1</v>
      </c>
      <c r="Z116" s="1">
        <v>0</v>
      </c>
      <c r="AA116" s="1"/>
      <c r="AB116" s="1">
        <v>0</v>
      </c>
      <c r="AC116" s="1">
        <v>1</v>
      </c>
      <c r="AD116" s="1">
        <v>45</v>
      </c>
      <c r="AE116" s="1" t="s">
        <v>417</v>
      </c>
      <c r="AF116" s="1">
        <v>2.5</v>
      </c>
      <c r="AG116" s="1">
        <v>0.35</v>
      </c>
      <c r="AH116" s="1">
        <v>2.5</v>
      </c>
      <c r="AI116" s="1">
        <v>0.35</v>
      </c>
      <c r="AJ116" s="1"/>
      <c r="AK116" s="1"/>
      <c r="AL116" s="1">
        <v>0</v>
      </c>
    </row>
    <row r="117" spans="1:38" x14ac:dyDescent="0.25">
      <c r="A117" s="213" t="s">
        <v>212</v>
      </c>
      <c r="B117" s="1">
        <v>2</v>
      </c>
      <c r="C117" s="1" t="s">
        <v>418</v>
      </c>
      <c r="D117" s="13">
        <v>38748</v>
      </c>
      <c r="E117" s="1">
        <f t="shared" si="26"/>
        <v>2922</v>
      </c>
      <c r="F117" s="1"/>
      <c r="G117" s="13">
        <v>41323</v>
      </c>
      <c r="H117" s="13">
        <f t="shared" ref="H117:H120" si="42">G116</f>
        <v>41261</v>
      </c>
      <c r="I117" s="13">
        <v>41670</v>
      </c>
      <c r="J117" s="13"/>
      <c r="K117" s="1">
        <f t="shared" si="23"/>
        <v>2575</v>
      </c>
      <c r="L117" s="1">
        <f t="shared" si="24"/>
        <v>62</v>
      </c>
      <c r="M117" s="1">
        <f t="shared" si="25"/>
        <v>347</v>
      </c>
      <c r="N117" s="1" t="s">
        <v>417</v>
      </c>
      <c r="O117" s="1">
        <v>5.13</v>
      </c>
      <c r="P117" s="1"/>
      <c r="Q117" s="1"/>
      <c r="R117" s="1">
        <f t="shared" si="40"/>
        <v>1</v>
      </c>
      <c r="S117" s="1">
        <f t="shared" si="41"/>
        <v>1</v>
      </c>
      <c r="T117" s="1" t="s">
        <v>442</v>
      </c>
      <c r="U117" s="1"/>
      <c r="V117" s="1"/>
      <c r="W117" s="1"/>
      <c r="X117" s="1"/>
      <c r="Y117" s="1">
        <v>1</v>
      </c>
      <c r="Z117" s="1">
        <v>0</v>
      </c>
      <c r="AA117" s="1"/>
      <c r="AB117" s="1">
        <v>0</v>
      </c>
      <c r="AC117" s="1">
        <v>0</v>
      </c>
      <c r="AD117" s="1">
        <v>45</v>
      </c>
      <c r="AE117" s="1" t="s">
        <v>417</v>
      </c>
      <c r="AF117" s="1">
        <v>2.5</v>
      </c>
      <c r="AG117" s="1">
        <v>0.35</v>
      </c>
      <c r="AH117" s="1">
        <v>2.5</v>
      </c>
      <c r="AI117" s="1">
        <v>0.35</v>
      </c>
      <c r="AJ117" s="1"/>
      <c r="AK117" s="1"/>
      <c r="AL117" s="1">
        <v>0</v>
      </c>
    </row>
    <row r="118" spans="1:38" x14ac:dyDescent="0.25">
      <c r="A118" s="213" t="s">
        <v>212</v>
      </c>
      <c r="B118" s="1">
        <v>2</v>
      </c>
      <c r="C118" s="1" t="s">
        <v>418</v>
      </c>
      <c r="D118" s="13">
        <v>38748</v>
      </c>
      <c r="E118" s="1">
        <f t="shared" si="26"/>
        <v>2922</v>
      </c>
      <c r="F118" s="1"/>
      <c r="G118" s="13">
        <v>41415</v>
      </c>
      <c r="H118" s="13">
        <f t="shared" si="42"/>
        <v>41323</v>
      </c>
      <c r="I118" s="13">
        <v>41670</v>
      </c>
      <c r="J118" s="13"/>
      <c r="K118" s="1">
        <f t="shared" si="23"/>
        <v>2667</v>
      </c>
      <c r="L118" s="1">
        <f t="shared" si="24"/>
        <v>92</v>
      </c>
      <c r="M118" s="1">
        <f t="shared" si="25"/>
        <v>255</v>
      </c>
      <c r="N118" s="1" t="s">
        <v>417</v>
      </c>
      <c r="O118" s="1">
        <v>5.09</v>
      </c>
      <c r="P118" s="1"/>
      <c r="Q118" s="1"/>
      <c r="R118" s="1">
        <f t="shared" si="40"/>
        <v>1</v>
      </c>
      <c r="S118" s="1">
        <f t="shared" si="41"/>
        <v>1</v>
      </c>
      <c r="T118" s="1" t="s">
        <v>442</v>
      </c>
      <c r="U118" s="1"/>
      <c r="V118" s="1"/>
      <c r="W118" s="1"/>
      <c r="X118" s="1"/>
      <c r="Y118" s="1">
        <v>1</v>
      </c>
      <c r="Z118" s="1">
        <v>0</v>
      </c>
      <c r="AA118" s="1"/>
      <c r="AB118" s="1">
        <v>0</v>
      </c>
      <c r="AC118" s="1">
        <v>0</v>
      </c>
      <c r="AD118" s="1">
        <v>45</v>
      </c>
      <c r="AE118" s="1" t="s">
        <v>417</v>
      </c>
      <c r="AF118" s="1">
        <v>2.5</v>
      </c>
      <c r="AG118" s="1">
        <v>0.35</v>
      </c>
      <c r="AH118" s="1">
        <v>2.5</v>
      </c>
      <c r="AI118" s="1">
        <v>0.35</v>
      </c>
      <c r="AJ118" s="1"/>
      <c r="AK118" s="1"/>
      <c r="AL118" s="1">
        <v>0</v>
      </c>
    </row>
    <row r="119" spans="1:38" x14ac:dyDescent="0.25">
      <c r="A119" s="213" t="s">
        <v>212</v>
      </c>
      <c r="B119" s="1">
        <v>2</v>
      </c>
      <c r="C119" s="1" t="s">
        <v>418</v>
      </c>
      <c r="D119" s="13">
        <v>38748</v>
      </c>
      <c r="E119" s="1">
        <f t="shared" si="26"/>
        <v>2922</v>
      </c>
      <c r="F119" s="1"/>
      <c r="G119" s="13">
        <v>41486</v>
      </c>
      <c r="H119" s="13">
        <f t="shared" si="42"/>
        <v>41415</v>
      </c>
      <c r="I119" s="13">
        <v>41670</v>
      </c>
      <c r="J119" s="13"/>
      <c r="K119" s="1">
        <f t="shared" si="23"/>
        <v>2738</v>
      </c>
      <c r="L119" s="1">
        <f t="shared" si="24"/>
        <v>71</v>
      </c>
      <c r="M119" s="1">
        <f t="shared" si="25"/>
        <v>184</v>
      </c>
      <c r="N119" s="1" t="s">
        <v>417</v>
      </c>
      <c r="O119" s="1">
        <v>5.05</v>
      </c>
      <c r="P119" s="1"/>
      <c r="Q119" s="1"/>
      <c r="R119" s="1">
        <f t="shared" si="40"/>
        <v>1</v>
      </c>
      <c r="S119" s="1">
        <f t="shared" si="41"/>
        <v>1</v>
      </c>
      <c r="T119" s="1" t="s">
        <v>442</v>
      </c>
      <c r="U119" s="1"/>
      <c r="V119" s="1"/>
      <c r="W119" s="1"/>
      <c r="X119" s="1"/>
      <c r="Y119" s="1">
        <v>4</v>
      </c>
      <c r="Z119" s="1">
        <v>0</v>
      </c>
      <c r="AA119" s="1"/>
      <c r="AB119" s="1">
        <v>0</v>
      </c>
      <c r="AC119" s="1">
        <v>0</v>
      </c>
      <c r="AD119" s="1">
        <v>45</v>
      </c>
      <c r="AE119" s="1" t="s">
        <v>417</v>
      </c>
      <c r="AF119" s="1">
        <v>2.5</v>
      </c>
      <c r="AG119" s="1">
        <v>0.35</v>
      </c>
      <c r="AH119" s="1">
        <v>2.5</v>
      </c>
      <c r="AI119" s="1">
        <v>0.35</v>
      </c>
      <c r="AJ119" s="1"/>
      <c r="AK119" s="1"/>
      <c r="AL119" s="1">
        <v>0</v>
      </c>
    </row>
    <row r="120" spans="1:38" x14ac:dyDescent="0.25">
      <c r="A120" s="213" t="s">
        <v>212</v>
      </c>
      <c r="B120" s="1">
        <v>2</v>
      </c>
      <c r="C120" s="1" t="s">
        <v>418</v>
      </c>
      <c r="D120" s="13">
        <v>38748</v>
      </c>
      <c r="E120" s="1">
        <f t="shared" si="26"/>
        <v>2922</v>
      </c>
      <c r="F120" s="1"/>
      <c r="G120" s="13">
        <v>41670</v>
      </c>
      <c r="H120" s="13">
        <f t="shared" si="42"/>
        <v>41486</v>
      </c>
      <c r="I120" s="13">
        <v>41670</v>
      </c>
      <c r="J120" s="13"/>
      <c r="K120" s="1">
        <f t="shared" si="23"/>
        <v>2922</v>
      </c>
      <c r="L120" s="1">
        <f t="shared" si="24"/>
        <v>184</v>
      </c>
      <c r="M120" s="1">
        <f t="shared" si="25"/>
        <v>0</v>
      </c>
      <c r="N120" s="1" t="s">
        <v>434</v>
      </c>
      <c r="O120" s="1">
        <v>4.79</v>
      </c>
      <c r="P120" s="1"/>
      <c r="Q120" s="1"/>
      <c r="R120" s="1"/>
      <c r="S120" s="1"/>
      <c r="T120" s="1"/>
      <c r="U120" s="1">
        <v>0</v>
      </c>
      <c r="V120" s="1">
        <v>0</v>
      </c>
      <c r="W120" s="1">
        <v>1</v>
      </c>
      <c r="X120" s="1">
        <v>1</v>
      </c>
      <c r="Y120" s="1">
        <v>2</v>
      </c>
      <c r="Z120" s="1">
        <v>0</v>
      </c>
      <c r="AA120" s="1"/>
      <c r="AB120" s="1">
        <v>12</v>
      </c>
      <c r="AC120" s="1">
        <v>0</v>
      </c>
      <c r="AD120" s="1">
        <v>45</v>
      </c>
      <c r="AE120" s="1" t="s">
        <v>417</v>
      </c>
      <c r="AF120" s="1">
        <v>2.5</v>
      </c>
      <c r="AG120" s="1">
        <v>0.35</v>
      </c>
      <c r="AH120" s="1">
        <v>2.5</v>
      </c>
      <c r="AI120" s="1">
        <v>0.35</v>
      </c>
      <c r="AJ120" s="1"/>
      <c r="AK120" s="1"/>
      <c r="AL120" s="1">
        <v>0</v>
      </c>
    </row>
    <row r="121" spans="1:38" x14ac:dyDescent="0.25">
      <c r="A121" s="212" t="s">
        <v>215</v>
      </c>
      <c r="B121" s="1">
        <v>2</v>
      </c>
      <c r="C121" s="1" t="s">
        <v>418</v>
      </c>
      <c r="D121" s="13">
        <v>39868</v>
      </c>
      <c r="E121" s="1">
        <f t="shared" si="26"/>
        <v>2360</v>
      </c>
      <c r="F121" s="1"/>
      <c r="G121" s="13">
        <v>40750</v>
      </c>
      <c r="H121" s="13">
        <v>39868</v>
      </c>
      <c r="I121" s="13">
        <v>42228</v>
      </c>
      <c r="J121" s="13"/>
      <c r="K121" s="1">
        <f t="shared" si="23"/>
        <v>882</v>
      </c>
      <c r="L121" s="1">
        <f t="shared" si="24"/>
        <v>882</v>
      </c>
      <c r="M121" s="1">
        <f t="shared" si="25"/>
        <v>1478</v>
      </c>
      <c r="N121" s="1" t="s">
        <v>417</v>
      </c>
      <c r="O121" s="1">
        <v>6.01</v>
      </c>
      <c r="P121" s="1">
        <f t="shared" ref="P121:P127" si="43">IF(M121&gt;=540,1,"nulo")</f>
        <v>1</v>
      </c>
      <c r="Q121" s="1">
        <f t="shared" si="39"/>
        <v>1</v>
      </c>
      <c r="R121" s="1">
        <f t="shared" si="40"/>
        <v>1</v>
      </c>
      <c r="S121" s="1">
        <f t="shared" si="41"/>
        <v>1</v>
      </c>
      <c r="T121" s="1" t="s">
        <v>437</v>
      </c>
      <c r="U121" s="1"/>
      <c r="V121" s="1"/>
      <c r="W121" s="1"/>
      <c r="X121" s="1"/>
      <c r="Y121" s="1">
        <v>100</v>
      </c>
      <c r="Z121" s="1">
        <v>85</v>
      </c>
      <c r="AA121" s="1"/>
      <c r="AB121" s="1">
        <v>0</v>
      </c>
      <c r="AC121" s="1">
        <v>0</v>
      </c>
      <c r="AD121" s="1">
        <v>60</v>
      </c>
      <c r="AE121" s="1" t="s">
        <v>434</v>
      </c>
      <c r="AF121" s="1">
        <v>3.5</v>
      </c>
      <c r="AG121" s="1">
        <v>0.35</v>
      </c>
      <c r="AH121" s="1">
        <v>3.5</v>
      </c>
      <c r="AI121" s="1">
        <v>0.35</v>
      </c>
      <c r="AJ121" s="1"/>
      <c r="AK121" s="1"/>
      <c r="AL121" s="1">
        <v>0</v>
      </c>
    </row>
    <row r="122" spans="1:38" x14ac:dyDescent="0.25">
      <c r="A122" s="212" t="s">
        <v>215</v>
      </c>
      <c r="B122" s="1">
        <v>2</v>
      </c>
      <c r="C122" s="1" t="s">
        <v>418</v>
      </c>
      <c r="D122" s="13">
        <v>39868</v>
      </c>
      <c r="E122" s="1">
        <f t="shared" si="26"/>
        <v>2360</v>
      </c>
      <c r="F122" s="1"/>
      <c r="G122" s="13">
        <v>40778</v>
      </c>
      <c r="H122" s="13">
        <f>G121</f>
        <v>40750</v>
      </c>
      <c r="I122" s="13">
        <v>42228</v>
      </c>
      <c r="J122" s="13"/>
      <c r="K122" s="1">
        <f t="shared" si="23"/>
        <v>910</v>
      </c>
      <c r="L122" s="1">
        <f t="shared" si="24"/>
        <v>28</v>
      </c>
      <c r="M122" s="1">
        <f t="shared" si="25"/>
        <v>1450</v>
      </c>
      <c r="N122" s="1" t="s">
        <v>417</v>
      </c>
      <c r="O122" s="1">
        <v>6</v>
      </c>
      <c r="P122" s="1">
        <f t="shared" si="43"/>
        <v>1</v>
      </c>
      <c r="Q122" s="1">
        <f t="shared" si="39"/>
        <v>1</v>
      </c>
      <c r="R122" s="1">
        <f t="shared" si="40"/>
        <v>1</v>
      </c>
      <c r="S122" s="1">
        <f t="shared" si="41"/>
        <v>1</v>
      </c>
      <c r="T122" s="1" t="s">
        <v>437</v>
      </c>
      <c r="U122" s="1"/>
      <c r="V122" s="1"/>
      <c r="W122" s="1"/>
      <c r="X122" s="1"/>
      <c r="Y122" s="1">
        <v>75</v>
      </c>
      <c r="Z122" s="1">
        <v>51</v>
      </c>
      <c r="AA122" s="1"/>
      <c r="AB122" s="1">
        <v>0</v>
      </c>
      <c r="AC122" s="1">
        <v>0</v>
      </c>
      <c r="AD122" s="1">
        <v>60</v>
      </c>
      <c r="AE122" s="1" t="s">
        <v>434</v>
      </c>
      <c r="AF122" s="1">
        <v>3.5</v>
      </c>
      <c r="AG122" s="1">
        <v>0.35</v>
      </c>
      <c r="AH122" s="1">
        <v>3.5</v>
      </c>
      <c r="AI122" s="1">
        <v>0.35</v>
      </c>
      <c r="AJ122" s="1"/>
      <c r="AK122" s="1"/>
      <c r="AL122" s="1">
        <v>0</v>
      </c>
    </row>
    <row r="123" spans="1:38" x14ac:dyDescent="0.25">
      <c r="A123" s="212" t="s">
        <v>215</v>
      </c>
      <c r="B123" s="1">
        <v>2</v>
      </c>
      <c r="C123" s="1" t="s">
        <v>418</v>
      </c>
      <c r="D123" s="13">
        <v>39868</v>
      </c>
      <c r="E123" s="1">
        <f t="shared" si="26"/>
        <v>2360</v>
      </c>
      <c r="F123" s="1"/>
      <c r="G123" s="13">
        <v>40806</v>
      </c>
      <c r="H123" s="13">
        <f t="shared" ref="H123:H132" si="44">G122</f>
        <v>40778</v>
      </c>
      <c r="I123" s="13">
        <v>42228</v>
      </c>
      <c r="J123" s="13"/>
      <c r="K123" s="1">
        <f t="shared" si="23"/>
        <v>938</v>
      </c>
      <c r="L123" s="1">
        <f t="shared" si="24"/>
        <v>28</v>
      </c>
      <c r="M123" s="1">
        <f t="shared" si="25"/>
        <v>1422</v>
      </c>
      <c r="N123" s="1" t="s">
        <v>417</v>
      </c>
      <c r="O123" s="1">
        <v>5.96</v>
      </c>
      <c r="P123" s="1">
        <f t="shared" si="43"/>
        <v>1</v>
      </c>
      <c r="Q123" s="1">
        <f t="shared" si="39"/>
        <v>1</v>
      </c>
      <c r="R123" s="1">
        <f t="shared" si="40"/>
        <v>1</v>
      </c>
      <c r="S123" s="1">
        <f t="shared" si="41"/>
        <v>1</v>
      </c>
      <c r="T123" s="1" t="s">
        <v>437</v>
      </c>
      <c r="U123" s="1"/>
      <c r="V123" s="1"/>
      <c r="W123" s="1"/>
      <c r="X123" s="1"/>
      <c r="Y123" s="1">
        <v>27</v>
      </c>
      <c r="Z123" s="1">
        <v>8</v>
      </c>
      <c r="AA123" s="1"/>
      <c r="AB123" s="1">
        <v>0</v>
      </c>
      <c r="AC123" s="1">
        <v>0</v>
      </c>
      <c r="AD123" s="1">
        <v>60</v>
      </c>
      <c r="AE123" s="1" t="s">
        <v>434</v>
      </c>
      <c r="AF123" s="1">
        <v>3.5</v>
      </c>
      <c r="AG123" s="1">
        <v>0.35</v>
      </c>
      <c r="AH123" s="1">
        <v>3.5</v>
      </c>
      <c r="AI123" s="1">
        <v>0.35</v>
      </c>
      <c r="AJ123" s="1"/>
      <c r="AK123" s="1"/>
      <c r="AL123" s="1">
        <v>0</v>
      </c>
    </row>
    <row r="124" spans="1:38" x14ac:dyDescent="0.25">
      <c r="A124" s="212" t="s">
        <v>215</v>
      </c>
      <c r="B124" s="1">
        <v>2</v>
      </c>
      <c r="C124" s="1" t="s">
        <v>418</v>
      </c>
      <c r="D124" s="13">
        <v>39868</v>
      </c>
      <c r="E124" s="1">
        <f t="shared" si="26"/>
        <v>2360</v>
      </c>
      <c r="F124" s="1"/>
      <c r="G124" s="13">
        <v>40960</v>
      </c>
      <c r="H124" s="13">
        <f t="shared" si="44"/>
        <v>40806</v>
      </c>
      <c r="I124" s="13">
        <v>42228</v>
      </c>
      <c r="J124" s="13"/>
      <c r="K124" s="1">
        <f t="shared" si="23"/>
        <v>1092</v>
      </c>
      <c r="L124" s="1">
        <f t="shared" si="24"/>
        <v>154</v>
      </c>
      <c r="M124" s="1">
        <f t="shared" si="25"/>
        <v>1268</v>
      </c>
      <c r="N124" s="1" t="s">
        <v>417</v>
      </c>
      <c r="O124" s="1">
        <v>5.79</v>
      </c>
      <c r="P124" s="1">
        <f t="shared" si="43"/>
        <v>1</v>
      </c>
      <c r="Q124" s="1">
        <f t="shared" si="39"/>
        <v>1</v>
      </c>
      <c r="R124" s="1">
        <f t="shared" si="40"/>
        <v>1</v>
      </c>
      <c r="S124" s="1">
        <f t="shared" si="41"/>
        <v>1</v>
      </c>
      <c r="T124" s="1" t="s">
        <v>437</v>
      </c>
      <c r="U124" s="1"/>
      <c r="V124" s="1"/>
      <c r="W124" s="1"/>
      <c r="X124" s="1"/>
      <c r="Y124" s="1">
        <v>27</v>
      </c>
      <c r="Z124" s="1">
        <v>26</v>
      </c>
      <c r="AA124" s="1"/>
      <c r="AB124" s="1">
        <v>0</v>
      </c>
      <c r="AC124" s="1">
        <v>0</v>
      </c>
      <c r="AD124" s="1">
        <v>60</v>
      </c>
      <c r="AE124" s="1" t="s">
        <v>434</v>
      </c>
      <c r="AF124" s="1">
        <v>3.5</v>
      </c>
      <c r="AG124" s="1">
        <v>0.35</v>
      </c>
      <c r="AH124" s="1">
        <v>3.5</v>
      </c>
      <c r="AI124" s="1">
        <v>0.35</v>
      </c>
      <c r="AJ124" s="1"/>
      <c r="AK124" s="1"/>
      <c r="AL124" s="1">
        <v>0</v>
      </c>
    </row>
    <row r="125" spans="1:38" x14ac:dyDescent="0.25">
      <c r="A125" s="212" t="s">
        <v>215</v>
      </c>
      <c r="B125" s="1">
        <v>2</v>
      </c>
      <c r="C125" s="1" t="s">
        <v>418</v>
      </c>
      <c r="D125" s="13">
        <v>39868</v>
      </c>
      <c r="E125" s="1">
        <f t="shared" si="26"/>
        <v>2360</v>
      </c>
      <c r="F125" s="1"/>
      <c r="G125" s="13">
        <v>41163</v>
      </c>
      <c r="H125" s="13">
        <f t="shared" si="44"/>
        <v>40960</v>
      </c>
      <c r="I125" s="13">
        <v>42228</v>
      </c>
      <c r="J125" s="13"/>
      <c r="K125" s="1">
        <f t="shared" si="23"/>
        <v>1295</v>
      </c>
      <c r="L125" s="1">
        <f t="shared" si="24"/>
        <v>203</v>
      </c>
      <c r="M125" s="1">
        <f t="shared" si="25"/>
        <v>1065</v>
      </c>
      <c r="N125" s="1" t="s">
        <v>417</v>
      </c>
      <c r="O125" s="1">
        <v>5.33</v>
      </c>
      <c r="P125" s="1">
        <f t="shared" si="43"/>
        <v>1</v>
      </c>
      <c r="Q125" s="1">
        <f t="shared" si="39"/>
        <v>1</v>
      </c>
      <c r="R125" s="1">
        <f t="shared" si="40"/>
        <v>1</v>
      </c>
      <c r="S125" s="1">
        <f t="shared" si="41"/>
        <v>1</v>
      </c>
      <c r="T125" s="1" t="s">
        <v>437</v>
      </c>
      <c r="U125" s="1"/>
      <c r="V125" s="1"/>
      <c r="W125" s="1"/>
      <c r="X125" s="1"/>
      <c r="Y125" s="1">
        <v>55</v>
      </c>
      <c r="Z125" s="1">
        <v>21</v>
      </c>
      <c r="AA125" s="1"/>
      <c r="AB125" s="1">
        <v>0</v>
      </c>
      <c r="AC125" s="1">
        <v>0</v>
      </c>
      <c r="AD125" s="1">
        <v>60</v>
      </c>
      <c r="AE125" s="1" t="s">
        <v>434</v>
      </c>
      <c r="AF125" s="1">
        <v>3.5</v>
      </c>
      <c r="AG125" s="1">
        <v>0.35</v>
      </c>
      <c r="AH125" s="1">
        <v>3.5</v>
      </c>
      <c r="AI125" s="1">
        <v>0.35</v>
      </c>
      <c r="AJ125" s="1"/>
      <c r="AK125" s="1"/>
      <c r="AL125" s="1">
        <v>0</v>
      </c>
    </row>
    <row r="126" spans="1:38" x14ac:dyDescent="0.25">
      <c r="A126" s="212" t="s">
        <v>215</v>
      </c>
      <c r="B126" s="1">
        <v>2</v>
      </c>
      <c r="C126" s="1" t="s">
        <v>418</v>
      </c>
      <c r="D126" s="13">
        <v>39868</v>
      </c>
      <c r="E126" s="1">
        <f t="shared" si="26"/>
        <v>2360</v>
      </c>
      <c r="F126" s="1"/>
      <c r="G126" s="13">
        <v>41359</v>
      </c>
      <c r="H126" s="13">
        <f t="shared" si="44"/>
        <v>41163</v>
      </c>
      <c r="I126" s="13">
        <v>42228</v>
      </c>
      <c r="J126" s="13"/>
      <c r="K126" s="1">
        <f t="shared" si="23"/>
        <v>1491</v>
      </c>
      <c r="L126" s="1">
        <f t="shared" si="24"/>
        <v>196</v>
      </c>
      <c r="M126" s="1">
        <f t="shared" si="25"/>
        <v>869</v>
      </c>
      <c r="N126" s="1" t="s">
        <v>417</v>
      </c>
      <c r="O126" s="1">
        <v>5.2</v>
      </c>
      <c r="P126" s="1">
        <f t="shared" si="43"/>
        <v>1</v>
      </c>
      <c r="Q126" s="1">
        <f t="shared" si="39"/>
        <v>1</v>
      </c>
      <c r="R126" s="1">
        <f t="shared" si="40"/>
        <v>1</v>
      </c>
      <c r="S126" s="1">
        <f t="shared" si="41"/>
        <v>1</v>
      </c>
      <c r="T126" s="1" t="s">
        <v>437</v>
      </c>
      <c r="U126" s="1"/>
      <c r="V126" s="1"/>
      <c r="W126" s="1"/>
      <c r="X126" s="1"/>
      <c r="Y126" s="1">
        <v>70</v>
      </c>
      <c r="Z126" s="1">
        <v>34</v>
      </c>
      <c r="AA126" s="1"/>
      <c r="AB126" s="1">
        <v>0</v>
      </c>
      <c r="AC126" s="1">
        <v>1</v>
      </c>
      <c r="AD126" s="1">
        <v>60</v>
      </c>
      <c r="AE126" s="1" t="s">
        <v>434</v>
      </c>
      <c r="AF126" s="1">
        <v>3.5</v>
      </c>
      <c r="AG126" s="1">
        <v>0.35</v>
      </c>
      <c r="AH126" s="1">
        <v>3.5</v>
      </c>
      <c r="AI126" s="1">
        <v>0.35</v>
      </c>
      <c r="AJ126" s="1"/>
      <c r="AK126" s="1"/>
      <c r="AL126" s="1">
        <v>0</v>
      </c>
    </row>
    <row r="127" spans="1:38" x14ac:dyDescent="0.25">
      <c r="A127" s="212" t="s">
        <v>215</v>
      </c>
      <c r="B127" s="1">
        <v>2</v>
      </c>
      <c r="C127" s="1" t="s">
        <v>418</v>
      </c>
      <c r="D127" s="13">
        <v>39868</v>
      </c>
      <c r="E127" s="1">
        <f t="shared" si="26"/>
        <v>2360</v>
      </c>
      <c r="F127" s="1"/>
      <c r="G127" s="13">
        <v>41534</v>
      </c>
      <c r="H127" s="13">
        <f t="shared" si="44"/>
        <v>41359</v>
      </c>
      <c r="I127" s="13">
        <v>42228</v>
      </c>
      <c r="J127" s="13"/>
      <c r="K127" s="1">
        <f t="shared" si="23"/>
        <v>1666</v>
      </c>
      <c r="L127" s="1">
        <f t="shared" si="24"/>
        <v>175</v>
      </c>
      <c r="M127" s="1">
        <f t="shared" si="25"/>
        <v>694</v>
      </c>
      <c r="N127" s="1" t="s">
        <v>417</v>
      </c>
      <c r="O127" s="1">
        <v>5.17</v>
      </c>
      <c r="P127" s="1">
        <f t="shared" si="43"/>
        <v>1</v>
      </c>
      <c r="Q127" s="1">
        <f t="shared" si="39"/>
        <v>1</v>
      </c>
      <c r="R127" s="1">
        <f t="shared" si="40"/>
        <v>1</v>
      </c>
      <c r="S127" s="1">
        <f t="shared" si="41"/>
        <v>1</v>
      </c>
      <c r="T127" s="1" t="s">
        <v>437</v>
      </c>
      <c r="U127" s="1"/>
      <c r="V127" s="1"/>
      <c r="W127" s="1"/>
      <c r="X127" s="1"/>
      <c r="Y127" s="1">
        <v>91</v>
      </c>
      <c r="Z127" s="1">
        <v>84</v>
      </c>
      <c r="AA127" s="1"/>
      <c r="AB127" s="1">
        <v>0</v>
      </c>
      <c r="AC127" s="1">
        <v>2</v>
      </c>
      <c r="AD127" s="1">
        <v>60</v>
      </c>
      <c r="AE127" s="1" t="s">
        <v>434</v>
      </c>
      <c r="AF127" s="1">
        <v>2</v>
      </c>
      <c r="AG127" s="1">
        <v>0.35</v>
      </c>
      <c r="AH127" s="1">
        <v>2.5</v>
      </c>
      <c r="AI127" s="1">
        <v>0.35</v>
      </c>
      <c r="AJ127" s="1"/>
      <c r="AK127" s="1"/>
      <c r="AL127" s="1">
        <v>0</v>
      </c>
    </row>
    <row r="128" spans="1:38" x14ac:dyDescent="0.25">
      <c r="A128" s="212" t="s">
        <v>215</v>
      </c>
      <c r="B128" s="1">
        <v>2</v>
      </c>
      <c r="C128" s="1" t="s">
        <v>418</v>
      </c>
      <c r="D128" s="13">
        <v>39868</v>
      </c>
      <c r="E128" s="1">
        <f t="shared" si="26"/>
        <v>2360</v>
      </c>
      <c r="F128" s="1"/>
      <c r="G128" s="13">
        <v>41716</v>
      </c>
      <c r="H128" s="13">
        <f t="shared" si="44"/>
        <v>41534</v>
      </c>
      <c r="I128" s="13">
        <v>42228</v>
      </c>
      <c r="J128" s="13"/>
      <c r="K128" s="1">
        <f t="shared" si="23"/>
        <v>1848</v>
      </c>
      <c r="L128" s="1">
        <f t="shared" si="24"/>
        <v>182</v>
      </c>
      <c r="M128" s="1">
        <f t="shared" si="25"/>
        <v>512</v>
      </c>
      <c r="N128" s="1" t="s">
        <v>417</v>
      </c>
      <c r="O128" s="1">
        <v>5.16</v>
      </c>
      <c r="P128" s="1"/>
      <c r="Q128" s="1">
        <f t="shared" si="39"/>
        <v>1</v>
      </c>
      <c r="R128" s="1">
        <f t="shared" si="40"/>
        <v>1</v>
      </c>
      <c r="S128" s="1">
        <f t="shared" si="41"/>
        <v>1</v>
      </c>
      <c r="T128" s="1" t="s">
        <v>442</v>
      </c>
      <c r="U128" s="1"/>
      <c r="V128" s="1"/>
      <c r="W128" s="1"/>
      <c r="X128" s="1"/>
      <c r="Y128" s="1">
        <v>92</v>
      </c>
      <c r="Z128" s="1">
        <v>94</v>
      </c>
      <c r="AA128" s="1"/>
      <c r="AB128" s="1">
        <v>0</v>
      </c>
      <c r="AC128" s="1">
        <v>0</v>
      </c>
      <c r="AD128" s="1">
        <v>60</v>
      </c>
      <c r="AE128" s="1" t="s">
        <v>434</v>
      </c>
      <c r="AF128" s="1">
        <v>2</v>
      </c>
      <c r="AG128" s="1">
        <v>0.35</v>
      </c>
      <c r="AH128" s="1">
        <v>2.5</v>
      </c>
      <c r="AI128" s="1">
        <v>0.35</v>
      </c>
      <c r="AJ128" s="1"/>
      <c r="AK128" s="1"/>
      <c r="AL128" s="1">
        <v>0</v>
      </c>
    </row>
    <row r="129" spans="1:38" x14ac:dyDescent="0.25">
      <c r="A129" s="212" t="s">
        <v>215</v>
      </c>
      <c r="B129" s="1">
        <v>2</v>
      </c>
      <c r="C129" s="1" t="s">
        <v>418</v>
      </c>
      <c r="D129" s="13">
        <v>39868</v>
      </c>
      <c r="E129" s="1">
        <f t="shared" si="26"/>
        <v>2360</v>
      </c>
      <c r="F129" s="1"/>
      <c r="G129" s="13">
        <v>41897</v>
      </c>
      <c r="H129" s="13">
        <f t="shared" si="44"/>
        <v>41716</v>
      </c>
      <c r="I129" s="13">
        <v>42228</v>
      </c>
      <c r="J129" s="13"/>
      <c r="K129" s="1">
        <f t="shared" si="23"/>
        <v>2029</v>
      </c>
      <c r="L129" s="1">
        <f t="shared" si="24"/>
        <v>181</v>
      </c>
      <c r="M129" s="1">
        <f t="shared" si="25"/>
        <v>331</v>
      </c>
      <c r="N129" s="1" t="s">
        <v>417</v>
      </c>
      <c r="O129" s="1">
        <v>5.14</v>
      </c>
      <c r="P129" s="1"/>
      <c r="Q129" s="1"/>
      <c r="R129" s="1">
        <f t="shared" si="40"/>
        <v>1</v>
      </c>
      <c r="S129" s="1">
        <f t="shared" si="41"/>
        <v>1</v>
      </c>
      <c r="T129" s="1" t="s">
        <v>442</v>
      </c>
      <c r="U129" s="1"/>
      <c r="V129" s="1"/>
      <c r="W129" s="1"/>
      <c r="X129" s="1"/>
      <c r="Y129" s="1">
        <v>85</v>
      </c>
      <c r="Z129" s="1">
        <v>86</v>
      </c>
      <c r="AA129" s="1"/>
      <c r="AB129" s="1">
        <v>0</v>
      </c>
      <c r="AC129" s="1">
        <v>0</v>
      </c>
      <c r="AD129" s="1">
        <v>60</v>
      </c>
      <c r="AE129" s="1" t="s">
        <v>434</v>
      </c>
      <c r="AF129" s="1">
        <v>2</v>
      </c>
      <c r="AG129" s="1">
        <v>0.35</v>
      </c>
      <c r="AH129" s="1">
        <v>2.5</v>
      </c>
      <c r="AI129" s="1">
        <v>0.35</v>
      </c>
      <c r="AJ129" s="1"/>
      <c r="AK129" s="1"/>
      <c r="AL129" s="1">
        <v>0</v>
      </c>
    </row>
    <row r="130" spans="1:38" x14ac:dyDescent="0.25">
      <c r="A130" s="212" t="s">
        <v>215</v>
      </c>
      <c r="B130" s="1">
        <v>2</v>
      </c>
      <c r="C130" s="1" t="s">
        <v>418</v>
      </c>
      <c r="D130" s="13">
        <v>39868</v>
      </c>
      <c r="E130" s="1">
        <f t="shared" si="26"/>
        <v>2360</v>
      </c>
      <c r="F130" s="1"/>
      <c r="G130" s="13">
        <v>42066</v>
      </c>
      <c r="H130" s="13">
        <f t="shared" si="44"/>
        <v>41897</v>
      </c>
      <c r="I130" s="13">
        <v>42228</v>
      </c>
      <c r="J130" s="13"/>
      <c r="K130" s="1">
        <f t="shared" ref="K130:K193" si="45">G130-D130</f>
        <v>2198</v>
      </c>
      <c r="L130" s="1">
        <f t="shared" ref="L130:L193" si="46">G130-H130</f>
        <v>169</v>
      </c>
      <c r="M130" s="1">
        <f t="shared" ref="M130:M193" si="47">I130-G130</f>
        <v>162</v>
      </c>
      <c r="N130" s="1" t="s">
        <v>417</v>
      </c>
      <c r="O130" s="1">
        <v>5.04</v>
      </c>
      <c r="P130" s="1"/>
      <c r="Q130" s="1"/>
      <c r="R130" s="1"/>
      <c r="S130" s="1">
        <f t="shared" si="41"/>
        <v>1</v>
      </c>
      <c r="T130" s="1" t="s">
        <v>442</v>
      </c>
      <c r="U130" s="1"/>
      <c r="V130" s="1"/>
      <c r="W130" s="1"/>
      <c r="X130" s="1"/>
      <c r="Y130" s="1">
        <v>97</v>
      </c>
      <c r="Z130" s="1">
        <v>91</v>
      </c>
      <c r="AA130" s="1"/>
      <c r="AB130" s="1">
        <v>0</v>
      </c>
      <c r="AC130" s="1">
        <v>1</v>
      </c>
      <c r="AD130" s="1">
        <v>60</v>
      </c>
      <c r="AE130" s="1" t="s">
        <v>434</v>
      </c>
      <c r="AF130" s="1">
        <v>2</v>
      </c>
      <c r="AG130" s="1">
        <v>0.35</v>
      </c>
      <c r="AH130" s="1">
        <v>2.5</v>
      </c>
      <c r="AI130" s="1">
        <v>0.35</v>
      </c>
      <c r="AJ130" s="1"/>
      <c r="AK130" s="1"/>
      <c r="AL130" s="1">
        <v>0</v>
      </c>
    </row>
    <row r="131" spans="1:38" x14ac:dyDescent="0.25">
      <c r="A131" s="212" t="s">
        <v>215</v>
      </c>
      <c r="B131" s="1">
        <v>2</v>
      </c>
      <c r="C131" s="1" t="s">
        <v>418</v>
      </c>
      <c r="D131" s="13">
        <v>39868</v>
      </c>
      <c r="E131" s="1">
        <f t="shared" ref="E131:E194" si="48">I131-D131</f>
        <v>2360</v>
      </c>
      <c r="F131" s="1"/>
      <c r="G131" s="13">
        <v>42157</v>
      </c>
      <c r="H131" s="13">
        <f t="shared" si="44"/>
        <v>42066</v>
      </c>
      <c r="I131" s="13">
        <v>42228</v>
      </c>
      <c r="J131" s="13"/>
      <c r="K131" s="1">
        <f t="shared" si="45"/>
        <v>2289</v>
      </c>
      <c r="L131" s="1">
        <f t="shared" si="46"/>
        <v>91</v>
      </c>
      <c r="M131" s="1">
        <f t="shared" si="47"/>
        <v>71</v>
      </c>
      <c r="N131" s="1" t="s">
        <v>417</v>
      </c>
      <c r="O131" s="1">
        <v>4.91</v>
      </c>
      <c r="P131" s="1"/>
      <c r="Q131" s="1"/>
      <c r="R131" s="1"/>
      <c r="S131" s="1"/>
      <c r="T131" s="1" t="s">
        <v>442</v>
      </c>
      <c r="U131" s="1"/>
      <c r="V131" s="1"/>
      <c r="W131" s="1"/>
      <c r="X131" s="1"/>
      <c r="Y131" s="1">
        <v>97</v>
      </c>
      <c r="Z131" s="1">
        <v>93</v>
      </c>
      <c r="AA131" s="1"/>
      <c r="AB131" s="1">
        <v>0</v>
      </c>
      <c r="AC131" s="1">
        <v>1</v>
      </c>
      <c r="AD131" s="1">
        <v>60</v>
      </c>
      <c r="AE131" s="1" t="s">
        <v>434</v>
      </c>
      <c r="AF131" s="1">
        <v>2</v>
      </c>
      <c r="AG131" s="1">
        <v>0.35</v>
      </c>
      <c r="AH131" s="1">
        <v>2.5</v>
      </c>
      <c r="AI131" s="1">
        <v>0.35</v>
      </c>
      <c r="AJ131" s="1"/>
      <c r="AK131" s="1"/>
      <c r="AL131" s="1">
        <v>0</v>
      </c>
    </row>
    <row r="132" spans="1:38" x14ac:dyDescent="0.25">
      <c r="A132" s="212" t="s">
        <v>215</v>
      </c>
      <c r="B132" s="1">
        <v>2</v>
      </c>
      <c r="C132" s="1" t="s">
        <v>418</v>
      </c>
      <c r="D132" s="13">
        <v>39868</v>
      </c>
      <c r="E132" s="1">
        <f t="shared" si="48"/>
        <v>2360</v>
      </c>
      <c r="F132" s="1"/>
      <c r="G132" s="13">
        <v>42228</v>
      </c>
      <c r="H132" s="13">
        <f t="shared" si="44"/>
        <v>42157</v>
      </c>
      <c r="I132" s="13">
        <v>42228</v>
      </c>
      <c r="J132" s="13"/>
      <c r="K132" s="1">
        <f t="shared" si="45"/>
        <v>2360</v>
      </c>
      <c r="L132" s="1">
        <f t="shared" si="46"/>
        <v>71</v>
      </c>
      <c r="M132" s="1">
        <f t="shared" si="47"/>
        <v>0</v>
      </c>
      <c r="N132" s="1" t="s">
        <v>434</v>
      </c>
      <c r="O132" s="1">
        <v>4.7300000000000004</v>
      </c>
      <c r="P132" s="1"/>
      <c r="Q132" s="1"/>
      <c r="R132" s="1"/>
      <c r="S132" s="1"/>
      <c r="T132" s="1"/>
      <c r="U132" s="1">
        <v>0</v>
      </c>
      <c r="V132" s="1">
        <v>0</v>
      </c>
      <c r="W132" s="1">
        <v>0</v>
      </c>
      <c r="X132" s="1">
        <v>0</v>
      </c>
      <c r="Y132" s="1">
        <v>97</v>
      </c>
      <c r="Z132" s="1">
        <v>89</v>
      </c>
      <c r="AA132" s="1"/>
      <c r="AB132" s="1">
        <v>0</v>
      </c>
      <c r="AC132" s="1">
        <v>0</v>
      </c>
      <c r="AD132" s="1">
        <v>60</v>
      </c>
      <c r="AE132" s="1" t="s">
        <v>434</v>
      </c>
      <c r="AF132" s="1">
        <v>2</v>
      </c>
      <c r="AG132" s="1">
        <v>0.35</v>
      </c>
      <c r="AH132" s="1">
        <v>2.5</v>
      </c>
      <c r="AI132" s="1">
        <v>0.35</v>
      </c>
      <c r="AJ132" s="1"/>
      <c r="AK132" s="1"/>
      <c r="AL132" s="1">
        <v>0</v>
      </c>
    </row>
    <row r="133" spans="1:38" x14ac:dyDescent="0.25">
      <c r="A133" s="215" t="s">
        <v>247</v>
      </c>
      <c r="B133" s="216">
        <v>2</v>
      </c>
      <c r="C133" s="1" t="s">
        <v>418</v>
      </c>
      <c r="D133" s="217">
        <v>39399</v>
      </c>
      <c r="E133" s="1">
        <f t="shared" si="48"/>
        <v>2499</v>
      </c>
      <c r="F133" s="1"/>
      <c r="G133" s="13">
        <v>40162</v>
      </c>
      <c r="H133" s="217">
        <v>39399</v>
      </c>
      <c r="I133" s="13">
        <v>41898</v>
      </c>
      <c r="J133" s="13"/>
      <c r="K133" s="1">
        <f t="shared" si="45"/>
        <v>763</v>
      </c>
      <c r="L133" s="1">
        <f t="shared" si="46"/>
        <v>763</v>
      </c>
      <c r="M133" s="1">
        <f t="shared" si="47"/>
        <v>1736</v>
      </c>
      <c r="N133" s="1" t="s">
        <v>417</v>
      </c>
      <c r="O133" s="1">
        <v>6.37</v>
      </c>
      <c r="P133" s="1">
        <f t="shared" ref="P133:P138" si="49">IF(M133&gt;=540,1,"nulo")</f>
        <v>1</v>
      </c>
      <c r="Q133" s="1">
        <f t="shared" ref="Q133:Q139" si="50">IF(M133&gt;=360,1,"nulo")</f>
        <v>1</v>
      </c>
      <c r="R133" s="1">
        <f t="shared" ref="R133:R140" si="51">IF(M133&gt;=180,1,"nulo")</f>
        <v>1</v>
      </c>
      <c r="S133" s="1">
        <f t="shared" ref="S133:S140" si="52">IF(M133&gt;=90,1,"nulo")</f>
        <v>1</v>
      </c>
      <c r="T133" s="1" t="s">
        <v>437</v>
      </c>
      <c r="U133" s="1"/>
      <c r="V133" s="1"/>
      <c r="W133" s="1"/>
      <c r="X133" s="1"/>
      <c r="Y133" s="1">
        <v>0</v>
      </c>
      <c r="Z133" s="1">
        <v>0</v>
      </c>
      <c r="AA133" s="1"/>
      <c r="AB133" s="1">
        <v>0</v>
      </c>
      <c r="AC133" s="1">
        <v>0</v>
      </c>
      <c r="AD133" s="1">
        <v>50</v>
      </c>
      <c r="AE133" s="1" t="s">
        <v>417</v>
      </c>
      <c r="AF133" s="1">
        <v>2.5</v>
      </c>
      <c r="AG133" s="1">
        <v>0.35</v>
      </c>
      <c r="AH133" s="1">
        <v>2.5</v>
      </c>
      <c r="AI133" s="1">
        <v>0.6</v>
      </c>
      <c r="AJ133" s="1"/>
      <c r="AK133" s="1"/>
      <c r="AL133" s="1">
        <v>0</v>
      </c>
    </row>
    <row r="134" spans="1:38" x14ac:dyDescent="0.25">
      <c r="A134" s="215" t="s">
        <v>247</v>
      </c>
      <c r="B134" s="216">
        <v>2</v>
      </c>
      <c r="C134" s="1" t="s">
        <v>418</v>
      </c>
      <c r="D134" s="217">
        <v>39399</v>
      </c>
      <c r="E134" s="1">
        <f t="shared" si="48"/>
        <v>2499</v>
      </c>
      <c r="F134" s="1"/>
      <c r="G134" s="13">
        <v>40351</v>
      </c>
      <c r="H134" s="13">
        <f>G133</f>
        <v>40162</v>
      </c>
      <c r="I134" s="13">
        <v>41898</v>
      </c>
      <c r="J134" s="13"/>
      <c r="K134" s="1">
        <f t="shared" si="45"/>
        <v>952</v>
      </c>
      <c r="L134" s="1">
        <f t="shared" si="46"/>
        <v>189</v>
      </c>
      <c r="M134" s="1">
        <f t="shared" si="47"/>
        <v>1547</v>
      </c>
      <c r="N134" s="1" t="s">
        <v>417</v>
      </c>
      <c r="O134" s="1">
        <v>6.31</v>
      </c>
      <c r="P134" s="1">
        <f t="shared" si="49"/>
        <v>1</v>
      </c>
      <c r="Q134" s="1">
        <f t="shared" si="50"/>
        <v>1</v>
      </c>
      <c r="R134" s="1">
        <f t="shared" si="51"/>
        <v>1</v>
      </c>
      <c r="S134" s="1">
        <f t="shared" si="52"/>
        <v>1</v>
      </c>
      <c r="T134" s="1" t="s">
        <v>437</v>
      </c>
      <c r="U134" s="1"/>
      <c r="V134" s="1"/>
      <c r="W134" s="1"/>
      <c r="X134" s="1"/>
      <c r="Y134" s="1">
        <v>0</v>
      </c>
      <c r="Z134" s="1">
        <v>0</v>
      </c>
      <c r="AA134" s="1"/>
      <c r="AB134" s="1">
        <v>0</v>
      </c>
      <c r="AC134" s="1">
        <v>0</v>
      </c>
      <c r="AD134" s="1">
        <v>50</v>
      </c>
      <c r="AE134" s="1" t="s">
        <v>417</v>
      </c>
      <c r="AF134" s="1">
        <v>2.5</v>
      </c>
      <c r="AG134" s="1">
        <v>0.35</v>
      </c>
      <c r="AH134" s="1">
        <v>2.5</v>
      </c>
      <c r="AI134" s="1">
        <v>0.6</v>
      </c>
      <c r="AJ134" s="1"/>
      <c r="AK134" s="1"/>
      <c r="AL134" s="1">
        <v>0</v>
      </c>
    </row>
    <row r="135" spans="1:38" x14ac:dyDescent="0.25">
      <c r="A135" s="215" t="s">
        <v>247</v>
      </c>
      <c r="B135" s="216">
        <v>2</v>
      </c>
      <c r="C135" s="1" t="s">
        <v>418</v>
      </c>
      <c r="D135" s="217">
        <v>39399</v>
      </c>
      <c r="E135" s="1">
        <f t="shared" si="48"/>
        <v>2499</v>
      </c>
      <c r="F135" s="1"/>
      <c r="G135" s="13">
        <v>40708</v>
      </c>
      <c r="H135" s="13">
        <f t="shared" ref="H135:H141" si="53">G134</f>
        <v>40351</v>
      </c>
      <c r="I135" s="13">
        <v>41898</v>
      </c>
      <c r="J135" s="13"/>
      <c r="K135" s="1">
        <f t="shared" si="45"/>
        <v>1309</v>
      </c>
      <c r="L135" s="1">
        <f t="shared" si="46"/>
        <v>357</v>
      </c>
      <c r="M135" s="1">
        <f t="shared" si="47"/>
        <v>1190</v>
      </c>
      <c r="N135" s="1" t="s">
        <v>417</v>
      </c>
      <c r="O135" s="1">
        <v>6.01</v>
      </c>
      <c r="P135" s="1">
        <f t="shared" si="49"/>
        <v>1</v>
      </c>
      <c r="Q135" s="1">
        <f t="shared" si="50"/>
        <v>1</v>
      </c>
      <c r="R135" s="1">
        <f t="shared" si="51"/>
        <v>1</v>
      </c>
      <c r="S135" s="1">
        <f t="shared" si="52"/>
        <v>1</v>
      </c>
      <c r="T135" s="1" t="s">
        <v>437</v>
      </c>
      <c r="U135" s="1"/>
      <c r="V135" s="1"/>
      <c r="W135" s="1"/>
      <c r="X135" s="1"/>
      <c r="Y135" s="1">
        <v>0</v>
      </c>
      <c r="Z135" s="1">
        <v>0</v>
      </c>
      <c r="AA135" s="1"/>
      <c r="AB135" s="1">
        <v>0</v>
      </c>
      <c r="AC135" s="1">
        <v>0</v>
      </c>
      <c r="AD135" s="1">
        <v>50</v>
      </c>
      <c r="AE135" s="1" t="s">
        <v>417</v>
      </c>
      <c r="AF135" s="1">
        <v>2.5</v>
      </c>
      <c r="AG135" s="1">
        <v>0.35</v>
      </c>
      <c r="AH135" s="1">
        <v>2.5</v>
      </c>
      <c r="AI135" s="1">
        <v>0.5</v>
      </c>
      <c r="AJ135" s="1"/>
      <c r="AK135" s="1"/>
      <c r="AL135" s="1">
        <v>0</v>
      </c>
    </row>
    <row r="136" spans="1:38" x14ac:dyDescent="0.25">
      <c r="A136" s="215" t="s">
        <v>247</v>
      </c>
      <c r="B136" s="216">
        <v>2</v>
      </c>
      <c r="C136" s="1" t="s">
        <v>418</v>
      </c>
      <c r="D136" s="217">
        <v>39399</v>
      </c>
      <c r="E136" s="1">
        <f t="shared" si="48"/>
        <v>2499</v>
      </c>
      <c r="F136" s="1"/>
      <c r="G136" s="13">
        <v>40932</v>
      </c>
      <c r="H136" s="13">
        <f t="shared" si="53"/>
        <v>40708</v>
      </c>
      <c r="I136" s="13">
        <v>41898</v>
      </c>
      <c r="J136" s="13"/>
      <c r="K136" s="1">
        <f t="shared" si="45"/>
        <v>1533</v>
      </c>
      <c r="L136" s="1">
        <f t="shared" si="46"/>
        <v>224</v>
      </c>
      <c r="M136" s="1">
        <f t="shared" si="47"/>
        <v>966</v>
      </c>
      <c r="N136" s="1" t="s">
        <v>417</v>
      </c>
      <c r="O136" s="1">
        <v>5.79</v>
      </c>
      <c r="P136" s="1">
        <f t="shared" si="49"/>
        <v>1</v>
      </c>
      <c r="Q136" s="1">
        <f t="shared" si="50"/>
        <v>1</v>
      </c>
      <c r="R136" s="1">
        <f t="shared" si="51"/>
        <v>1</v>
      </c>
      <c r="S136" s="1">
        <f t="shared" si="52"/>
        <v>1</v>
      </c>
      <c r="T136" s="1" t="s">
        <v>437</v>
      </c>
      <c r="U136" s="1"/>
      <c r="V136" s="1"/>
      <c r="W136" s="1"/>
      <c r="X136" s="1"/>
      <c r="Y136" s="1">
        <v>0</v>
      </c>
      <c r="Z136" s="1">
        <v>0</v>
      </c>
      <c r="AA136" s="1"/>
      <c r="AB136" s="1">
        <v>0</v>
      </c>
      <c r="AC136" s="1">
        <v>0</v>
      </c>
      <c r="AD136" s="1">
        <v>50</v>
      </c>
      <c r="AE136" s="1" t="s">
        <v>417</v>
      </c>
      <c r="AF136" s="1">
        <v>2.5</v>
      </c>
      <c r="AG136" s="1">
        <v>0.35</v>
      </c>
      <c r="AH136" s="1">
        <v>2.5</v>
      </c>
      <c r="AI136" s="1">
        <v>0.5</v>
      </c>
      <c r="AJ136" s="1"/>
      <c r="AK136" s="1"/>
      <c r="AL136" s="1">
        <v>0</v>
      </c>
    </row>
    <row r="137" spans="1:38" x14ac:dyDescent="0.25">
      <c r="A137" s="215" t="s">
        <v>247</v>
      </c>
      <c r="B137" s="216">
        <v>2</v>
      </c>
      <c r="C137" s="1" t="s">
        <v>418</v>
      </c>
      <c r="D137" s="217">
        <v>39399</v>
      </c>
      <c r="E137" s="1">
        <f t="shared" si="48"/>
        <v>2499</v>
      </c>
      <c r="F137" s="1"/>
      <c r="G137" s="13">
        <v>41107</v>
      </c>
      <c r="H137" s="13">
        <f t="shared" si="53"/>
        <v>40932</v>
      </c>
      <c r="I137" s="13">
        <v>41898</v>
      </c>
      <c r="J137" s="13"/>
      <c r="K137" s="1">
        <f t="shared" si="45"/>
        <v>1708</v>
      </c>
      <c r="L137" s="1">
        <f t="shared" si="46"/>
        <v>175</v>
      </c>
      <c r="M137" s="1">
        <f t="shared" si="47"/>
        <v>791</v>
      </c>
      <c r="N137" s="1" t="s">
        <v>417</v>
      </c>
      <c r="O137" s="1">
        <v>5.41</v>
      </c>
      <c r="P137" s="1">
        <f t="shared" si="49"/>
        <v>1</v>
      </c>
      <c r="Q137" s="1">
        <f t="shared" si="50"/>
        <v>1</v>
      </c>
      <c r="R137" s="1">
        <f t="shared" si="51"/>
        <v>1</v>
      </c>
      <c r="S137" s="1">
        <f t="shared" si="52"/>
        <v>1</v>
      </c>
      <c r="T137" s="1" t="s">
        <v>437</v>
      </c>
      <c r="U137" s="1"/>
      <c r="V137" s="1"/>
      <c r="W137" s="1"/>
      <c r="X137" s="1"/>
      <c r="Y137" s="1">
        <v>0</v>
      </c>
      <c r="Z137" s="1">
        <v>0</v>
      </c>
      <c r="AA137" s="1"/>
      <c r="AB137" s="1">
        <v>0</v>
      </c>
      <c r="AC137" s="1">
        <v>0</v>
      </c>
      <c r="AD137" s="1">
        <v>50</v>
      </c>
      <c r="AE137" s="1" t="s">
        <v>417</v>
      </c>
      <c r="AF137" s="1">
        <v>2.5</v>
      </c>
      <c r="AG137" s="1">
        <v>0.35</v>
      </c>
      <c r="AH137" s="1">
        <v>2.5</v>
      </c>
      <c r="AI137" s="1">
        <v>0.5</v>
      </c>
      <c r="AJ137" s="1"/>
      <c r="AK137" s="1"/>
      <c r="AL137" s="1">
        <v>0</v>
      </c>
    </row>
    <row r="138" spans="1:38" x14ac:dyDescent="0.25">
      <c r="A138" s="215" t="s">
        <v>247</v>
      </c>
      <c r="B138" s="216">
        <v>2</v>
      </c>
      <c r="C138" s="1" t="s">
        <v>418</v>
      </c>
      <c r="D138" s="217">
        <v>39399</v>
      </c>
      <c r="E138" s="1">
        <f t="shared" si="48"/>
        <v>2499</v>
      </c>
      <c r="F138" s="1"/>
      <c r="G138" s="13">
        <v>41310</v>
      </c>
      <c r="H138" s="13">
        <f t="shared" si="53"/>
        <v>41107</v>
      </c>
      <c r="I138" s="13">
        <v>41898</v>
      </c>
      <c r="J138" s="13"/>
      <c r="K138" s="1">
        <f t="shared" si="45"/>
        <v>1911</v>
      </c>
      <c r="L138" s="1">
        <f t="shared" si="46"/>
        <v>203</v>
      </c>
      <c r="M138" s="1">
        <f t="shared" si="47"/>
        <v>588</v>
      </c>
      <c r="N138" s="1" t="s">
        <v>417</v>
      </c>
      <c r="O138" s="1">
        <v>5.24</v>
      </c>
      <c r="P138" s="1">
        <f t="shared" si="49"/>
        <v>1</v>
      </c>
      <c r="Q138" s="1">
        <f t="shared" si="50"/>
        <v>1</v>
      </c>
      <c r="R138" s="1">
        <f t="shared" si="51"/>
        <v>1</v>
      </c>
      <c r="S138" s="1">
        <f t="shared" si="52"/>
        <v>1</v>
      </c>
      <c r="T138" s="1" t="s">
        <v>437</v>
      </c>
      <c r="U138" s="1"/>
      <c r="V138" s="1"/>
      <c r="W138" s="1"/>
      <c r="X138" s="1"/>
      <c r="Y138" s="1">
        <v>0</v>
      </c>
      <c r="Z138" s="1">
        <v>0</v>
      </c>
      <c r="AA138" s="1"/>
      <c r="AB138" s="1">
        <v>0</v>
      </c>
      <c r="AC138" s="1">
        <v>0</v>
      </c>
      <c r="AD138" s="1">
        <v>50</v>
      </c>
      <c r="AE138" s="1" t="s">
        <v>417</v>
      </c>
      <c r="AF138" s="1">
        <v>2.5</v>
      </c>
      <c r="AG138" s="1">
        <v>0.35</v>
      </c>
      <c r="AH138" s="1">
        <v>2.5</v>
      </c>
      <c r="AI138" s="1">
        <v>0.5</v>
      </c>
      <c r="AJ138" s="1"/>
      <c r="AK138" s="1"/>
      <c r="AL138" s="1">
        <v>0</v>
      </c>
    </row>
    <row r="139" spans="1:38" x14ac:dyDescent="0.25">
      <c r="A139" s="215" t="s">
        <v>247</v>
      </c>
      <c r="B139" s="216">
        <v>2</v>
      </c>
      <c r="C139" s="1" t="s">
        <v>418</v>
      </c>
      <c r="D139" s="217">
        <v>39399</v>
      </c>
      <c r="E139" s="1">
        <f t="shared" si="48"/>
        <v>2499</v>
      </c>
      <c r="F139" s="1"/>
      <c r="G139" s="13">
        <v>41478</v>
      </c>
      <c r="H139" s="13">
        <f t="shared" si="53"/>
        <v>41310</v>
      </c>
      <c r="I139" s="13">
        <v>41898</v>
      </c>
      <c r="J139" s="13"/>
      <c r="K139" s="1">
        <f t="shared" si="45"/>
        <v>2079</v>
      </c>
      <c r="L139" s="1">
        <f t="shared" si="46"/>
        <v>168</v>
      </c>
      <c r="M139" s="1">
        <f t="shared" si="47"/>
        <v>420</v>
      </c>
      <c r="N139" s="1" t="s">
        <v>417</v>
      </c>
      <c r="O139" s="1">
        <v>5.17</v>
      </c>
      <c r="P139" s="1"/>
      <c r="Q139" s="1">
        <f t="shared" si="50"/>
        <v>1</v>
      </c>
      <c r="R139" s="1">
        <f t="shared" si="51"/>
        <v>1</v>
      </c>
      <c r="S139" s="1">
        <f t="shared" si="52"/>
        <v>1</v>
      </c>
      <c r="T139" s="1" t="s">
        <v>442</v>
      </c>
      <c r="U139" s="1"/>
      <c r="V139" s="1"/>
      <c r="W139" s="1"/>
      <c r="X139" s="1"/>
      <c r="Y139" s="1">
        <v>0</v>
      </c>
      <c r="Z139" s="1">
        <v>0</v>
      </c>
      <c r="AA139" s="1"/>
      <c r="AB139" s="1">
        <v>0</v>
      </c>
      <c r="AC139" s="1">
        <v>0</v>
      </c>
      <c r="AD139" s="1">
        <v>50</v>
      </c>
      <c r="AE139" s="1" t="s">
        <v>417</v>
      </c>
      <c r="AF139" s="1">
        <v>2.5</v>
      </c>
      <c r="AG139" s="1">
        <v>0.35</v>
      </c>
      <c r="AH139" s="1">
        <v>2.5</v>
      </c>
      <c r="AI139" s="1">
        <v>0.5</v>
      </c>
      <c r="AJ139" s="1"/>
      <c r="AK139" s="1"/>
      <c r="AL139" s="1">
        <v>0</v>
      </c>
    </row>
    <row r="140" spans="1:38" x14ac:dyDescent="0.25">
      <c r="A140" s="215" t="s">
        <v>247</v>
      </c>
      <c r="B140" s="216">
        <v>2</v>
      </c>
      <c r="C140" s="1" t="s">
        <v>418</v>
      </c>
      <c r="D140" s="217">
        <v>39399</v>
      </c>
      <c r="E140" s="1">
        <f t="shared" si="48"/>
        <v>2499</v>
      </c>
      <c r="F140" s="1"/>
      <c r="G140" s="13">
        <v>41681</v>
      </c>
      <c r="H140" s="13">
        <f t="shared" si="53"/>
        <v>41478</v>
      </c>
      <c r="I140" s="13">
        <v>41898</v>
      </c>
      <c r="J140" s="13"/>
      <c r="K140" s="1">
        <f t="shared" si="45"/>
        <v>2282</v>
      </c>
      <c r="L140" s="1">
        <f t="shared" si="46"/>
        <v>203</v>
      </c>
      <c r="M140" s="1">
        <f t="shared" si="47"/>
        <v>217</v>
      </c>
      <c r="N140" s="1" t="s">
        <v>417</v>
      </c>
      <c r="O140" s="1">
        <v>5.14</v>
      </c>
      <c r="P140" s="1"/>
      <c r="Q140" s="1"/>
      <c r="R140" s="1">
        <f t="shared" si="51"/>
        <v>1</v>
      </c>
      <c r="S140" s="1">
        <f t="shared" si="52"/>
        <v>1</v>
      </c>
      <c r="T140" s="1" t="s">
        <v>442</v>
      </c>
      <c r="U140" s="1"/>
      <c r="V140" s="1"/>
      <c r="W140" s="1"/>
      <c r="X140" s="1"/>
      <c r="Y140" s="1">
        <v>0</v>
      </c>
      <c r="Z140" s="1">
        <v>0</v>
      </c>
      <c r="AA140" s="1"/>
      <c r="AB140" s="1">
        <v>0</v>
      </c>
      <c r="AC140" s="1">
        <v>0</v>
      </c>
      <c r="AD140" s="1">
        <v>50</v>
      </c>
      <c r="AE140" s="1" t="s">
        <v>417</v>
      </c>
      <c r="AF140" s="1">
        <v>2.5</v>
      </c>
      <c r="AG140" s="1">
        <v>0.35</v>
      </c>
      <c r="AH140" s="1">
        <v>2.5</v>
      </c>
      <c r="AI140" s="1">
        <v>0.5</v>
      </c>
      <c r="AJ140" s="1"/>
      <c r="AK140" s="1"/>
      <c r="AL140" s="1">
        <v>0</v>
      </c>
    </row>
    <row r="141" spans="1:38" x14ac:dyDescent="0.25">
      <c r="A141" s="215" t="s">
        <v>247</v>
      </c>
      <c r="B141" s="216">
        <v>2</v>
      </c>
      <c r="C141" s="1" t="s">
        <v>418</v>
      </c>
      <c r="D141" s="217">
        <v>39399</v>
      </c>
      <c r="E141" s="1">
        <f t="shared" si="48"/>
        <v>2499</v>
      </c>
      <c r="F141" s="1"/>
      <c r="G141" s="13">
        <v>41898</v>
      </c>
      <c r="H141" s="13">
        <f t="shared" si="53"/>
        <v>41681</v>
      </c>
      <c r="I141" s="13">
        <v>41898</v>
      </c>
      <c r="J141" s="13"/>
      <c r="K141" s="1">
        <f t="shared" si="45"/>
        <v>2499</v>
      </c>
      <c r="L141" s="1">
        <f t="shared" si="46"/>
        <v>217</v>
      </c>
      <c r="M141" s="1">
        <f t="shared" si="47"/>
        <v>0</v>
      </c>
      <c r="N141" s="1" t="s">
        <v>417</v>
      </c>
      <c r="O141" s="1">
        <v>5.13</v>
      </c>
      <c r="P141" s="1"/>
      <c r="Q141" s="1"/>
      <c r="R141" s="1"/>
      <c r="S141" s="1"/>
      <c r="T141" s="1"/>
      <c r="U141" s="1"/>
      <c r="V141" s="1"/>
      <c r="W141" s="1"/>
      <c r="X141" s="1"/>
      <c r="Y141" s="1">
        <v>0</v>
      </c>
      <c r="Z141" s="1">
        <v>0</v>
      </c>
      <c r="AA141" s="1"/>
      <c r="AB141" s="1">
        <v>0</v>
      </c>
      <c r="AC141" s="1">
        <v>0</v>
      </c>
      <c r="AD141" s="1">
        <v>50</v>
      </c>
      <c r="AE141" s="1" t="s">
        <v>417</v>
      </c>
      <c r="AF141" s="1">
        <v>2.5</v>
      </c>
      <c r="AG141" s="1">
        <v>0.35</v>
      </c>
      <c r="AH141" s="1">
        <v>2.5</v>
      </c>
      <c r="AI141" s="1">
        <v>0.5</v>
      </c>
      <c r="AJ141" s="1"/>
      <c r="AK141" s="1"/>
      <c r="AL141" s="1">
        <v>0</v>
      </c>
    </row>
    <row r="142" spans="1:38" x14ac:dyDescent="0.25">
      <c r="A142" s="218" t="s">
        <v>257</v>
      </c>
      <c r="B142" s="216">
        <v>2</v>
      </c>
      <c r="C142" s="1" t="s">
        <v>418</v>
      </c>
      <c r="D142" s="13">
        <v>39324</v>
      </c>
      <c r="E142" s="1">
        <f t="shared" si="48"/>
        <v>941</v>
      </c>
      <c r="F142" s="1"/>
      <c r="G142" s="13">
        <v>40071</v>
      </c>
      <c r="H142" s="13">
        <v>39324</v>
      </c>
      <c r="I142" s="13">
        <v>40265</v>
      </c>
      <c r="J142" s="13"/>
      <c r="K142" s="1">
        <f t="shared" si="45"/>
        <v>747</v>
      </c>
      <c r="L142" s="1">
        <f t="shared" si="46"/>
        <v>747</v>
      </c>
      <c r="M142" s="1">
        <f t="shared" si="47"/>
        <v>194</v>
      </c>
      <c r="N142" s="1" t="s">
        <v>417</v>
      </c>
      <c r="O142" s="1">
        <v>5.14</v>
      </c>
      <c r="P142" s="1"/>
      <c r="Q142" s="1"/>
      <c r="R142" s="1">
        <f t="shared" ref="R142:R166" si="54">IF(M142&gt;=180,1,"nulo")</f>
        <v>1</v>
      </c>
      <c r="S142" s="1">
        <f t="shared" ref="S142:S166" si="55">IF(M142&gt;=90,1,"nulo")</f>
        <v>1</v>
      </c>
      <c r="T142" s="1" t="s">
        <v>442</v>
      </c>
      <c r="U142" s="1"/>
      <c r="V142" s="1"/>
      <c r="W142" s="1"/>
      <c r="X142" s="1"/>
      <c r="Y142" s="1">
        <v>94</v>
      </c>
      <c r="Z142" s="1">
        <v>99</v>
      </c>
      <c r="AA142" s="1"/>
      <c r="AB142" s="1">
        <v>0</v>
      </c>
      <c r="AC142" s="1">
        <v>0</v>
      </c>
      <c r="AD142" s="1">
        <v>80</v>
      </c>
      <c r="AE142" s="1" t="s">
        <v>417</v>
      </c>
      <c r="AF142" s="1">
        <v>3.5</v>
      </c>
      <c r="AG142" s="1">
        <v>0.35</v>
      </c>
      <c r="AH142" s="1">
        <v>4.5</v>
      </c>
      <c r="AI142" s="1">
        <v>0.35</v>
      </c>
      <c r="AJ142" s="1"/>
      <c r="AK142" s="1"/>
      <c r="AL142" s="1">
        <v>0</v>
      </c>
    </row>
    <row r="143" spans="1:38" x14ac:dyDescent="0.25">
      <c r="A143" s="218" t="s">
        <v>257</v>
      </c>
      <c r="B143" s="216">
        <v>2</v>
      </c>
      <c r="C143" s="1" t="s">
        <v>418</v>
      </c>
      <c r="D143" s="13">
        <v>39324</v>
      </c>
      <c r="E143" s="1">
        <f t="shared" si="48"/>
        <v>941</v>
      </c>
      <c r="F143" s="1"/>
      <c r="G143" s="13">
        <v>40162</v>
      </c>
      <c r="H143" s="13">
        <f>G142</f>
        <v>40071</v>
      </c>
      <c r="I143" s="13">
        <v>40265</v>
      </c>
      <c r="J143" s="13"/>
      <c r="K143" s="1">
        <f t="shared" si="45"/>
        <v>838</v>
      </c>
      <c r="L143" s="1">
        <f t="shared" si="46"/>
        <v>91</v>
      </c>
      <c r="M143" s="1">
        <f t="shared" si="47"/>
        <v>103</v>
      </c>
      <c r="N143" s="1" t="s">
        <v>417</v>
      </c>
      <c r="O143" s="1">
        <v>5.13</v>
      </c>
      <c r="P143" s="1"/>
      <c r="Q143" s="1"/>
      <c r="R143" s="1"/>
      <c r="S143" s="1">
        <f t="shared" si="55"/>
        <v>1</v>
      </c>
      <c r="T143" s="1" t="s">
        <v>442</v>
      </c>
      <c r="U143" s="1"/>
      <c r="V143" s="1"/>
      <c r="W143" s="1"/>
      <c r="X143" s="1"/>
      <c r="Y143" s="1">
        <v>96</v>
      </c>
      <c r="Z143" s="1">
        <v>99</v>
      </c>
      <c r="AA143" s="1"/>
      <c r="AB143" s="1">
        <v>0</v>
      </c>
      <c r="AC143" s="1">
        <v>0</v>
      </c>
      <c r="AD143" s="1">
        <v>80</v>
      </c>
      <c r="AE143" s="1" t="s">
        <v>417</v>
      </c>
      <c r="AF143" s="1">
        <v>3.5</v>
      </c>
      <c r="AG143" s="1">
        <v>0.35</v>
      </c>
      <c r="AH143" s="1">
        <v>4.5</v>
      </c>
      <c r="AI143" s="1">
        <v>0.35</v>
      </c>
      <c r="AJ143" s="1"/>
      <c r="AK143" s="1"/>
      <c r="AL143" s="1">
        <v>0</v>
      </c>
    </row>
    <row r="144" spans="1:38" x14ac:dyDescent="0.25">
      <c r="A144" s="218" t="s">
        <v>257</v>
      </c>
      <c r="B144" s="216">
        <v>2</v>
      </c>
      <c r="C144" s="1" t="s">
        <v>418</v>
      </c>
      <c r="D144" s="13">
        <v>39324</v>
      </c>
      <c r="E144" s="1">
        <f t="shared" si="48"/>
        <v>941</v>
      </c>
      <c r="F144" s="1"/>
      <c r="G144" s="13">
        <v>40253</v>
      </c>
      <c r="H144" s="13">
        <f t="shared" ref="H144:H145" si="56">G143</f>
        <v>40162</v>
      </c>
      <c r="I144" s="13">
        <v>40265</v>
      </c>
      <c r="J144" s="13"/>
      <c r="K144" s="1">
        <f t="shared" si="45"/>
        <v>929</v>
      </c>
      <c r="L144" s="1">
        <f t="shared" si="46"/>
        <v>91</v>
      </c>
      <c r="M144" s="1">
        <f t="shared" si="47"/>
        <v>12</v>
      </c>
      <c r="N144" s="1" t="s">
        <v>417</v>
      </c>
      <c r="O144" s="1">
        <v>5.0999999999999996</v>
      </c>
      <c r="P144" s="1"/>
      <c r="Q144" s="1"/>
      <c r="R144" s="1"/>
      <c r="S144" s="1"/>
      <c r="T144" s="1"/>
      <c r="U144" s="1"/>
      <c r="V144" s="1"/>
      <c r="W144" s="1"/>
      <c r="X144" s="1"/>
      <c r="Y144" s="1">
        <v>87</v>
      </c>
      <c r="Z144" s="1">
        <v>100</v>
      </c>
      <c r="AA144" s="1"/>
      <c r="AB144" s="1">
        <v>0</v>
      </c>
      <c r="AC144" s="1">
        <v>0</v>
      </c>
      <c r="AD144" s="1">
        <v>80</v>
      </c>
      <c r="AE144" s="1" t="s">
        <v>417</v>
      </c>
      <c r="AF144" s="1">
        <v>3.5</v>
      </c>
      <c r="AG144" s="1">
        <v>0.35</v>
      </c>
      <c r="AH144" s="1">
        <v>4.5</v>
      </c>
      <c r="AI144" s="1">
        <v>0.35</v>
      </c>
      <c r="AJ144" s="1"/>
      <c r="AK144" s="1"/>
      <c r="AL144" s="1">
        <v>0</v>
      </c>
    </row>
    <row r="145" spans="1:38" x14ac:dyDescent="0.25">
      <c r="A145" s="218" t="s">
        <v>257</v>
      </c>
      <c r="B145" s="216">
        <v>2</v>
      </c>
      <c r="C145" s="1" t="s">
        <v>418</v>
      </c>
      <c r="D145" s="13">
        <v>39324</v>
      </c>
      <c r="E145" s="1">
        <f t="shared" si="48"/>
        <v>941</v>
      </c>
      <c r="F145" s="1"/>
      <c r="G145" s="13">
        <v>40265</v>
      </c>
      <c r="H145" s="13">
        <f t="shared" si="56"/>
        <v>40253</v>
      </c>
      <c r="I145" s="13">
        <v>40265</v>
      </c>
      <c r="J145" s="13"/>
      <c r="K145" s="1">
        <f t="shared" si="45"/>
        <v>941</v>
      </c>
      <c r="L145" s="1">
        <f t="shared" si="46"/>
        <v>12</v>
      </c>
      <c r="M145" s="1">
        <f t="shared" si="47"/>
        <v>0</v>
      </c>
      <c r="N145" s="1" t="s">
        <v>417</v>
      </c>
      <c r="O145" s="1">
        <v>5.0999999999999996</v>
      </c>
      <c r="P145" s="1"/>
      <c r="Q145" s="1"/>
      <c r="R145" s="1"/>
      <c r="S145" s="1"/>
      <c r="T145" s="1"/>
      <c r="U145" s="1"/>
      <c r="V145" s="1"/>
      <c r="W145" s="1"/>
      <c r="X145" s="1"/>
      <c r="Y145" s="1">
        <v>60</v>
      </c>
      <c r="Z145" s="1">
        <v>99</v>
      </c>
      <c r="AA145" s="1"/>
      <c r="AB145" s="1">
        <v>0</v>
      </c>
      <c r="AC145" s="1">
        <v>0</v>
      </c>
      <c r="AD145" s="1">
        <v>80</v>
      </c>
      <c r="AE145" s="1" t="s">
        <v>417</v>
      </c>
      <c r="AF145" s="1">
        <v>3.5</v>
      </c>
      <c r="AG145" s="1">
        <v>0.35</v>
      </c>
      <c r="AH145" s="1">
        <v>4.5</v>
      </c>
      <c r="AI145" s="1">
        <v>0.35</v>
      </c>
      <c r="AJ145" s="1"/>
      <c r="AK145" s="1"/>
      <c r="AL145" s="1">
        <v>0</v>
      </c>
    </row>
    <row r="146" spans="1:38" x14ac:dyDescent="0.25">
      <c r="A146" s="219" t="s">
        <v>260</v>
      </c>
      <c r="B146" s="216">
        <v>2</v>
      </c>
      <c r="C146" s="1" t="s">
        <v>418</v>
      </c>
      <c r="D146" s="13">
        <v>38769</v>
      </c>
      <c r="E146" s="1">
        <f t="shared" si="48"/>
        <v>1540</v>
      </c>
      <c r="F146" s="1"/>
      <c r="G146" s="13">
        <v>40127</v>
      </c>
      <c r="H146" s="13">
        <v>38769</v>
      </c>
      <c r="I146" s="13">
        <v>40309</v>
      </c>
      <c r="J146" s="13"/>
      <c r="K146" s="1">
        <f t="shared" si="45"/>
        <v>1358</v>
      </c>
      <c r="L146" s="1">
        <f t="shared" si="46"/>
        <v>1358</v>
      </c>
      <c r="M146" s="1">
        <f t="shared" si="47"/>
        <v>182</v>
      </c>
      <c r="N146" s="1" t="s">
        <v>417</v>
      </c>
      <c r="O146" s="1">
        <v>5.91</v>
      </c>
      <c r="P146" s="1"/>
      <c r="Q146" s="1"/>
      <c r="R146" s="1">
        <f t="shared" si="54"/>
        <v>1</v>
      </c>
      <c r="S146" s="1">
        <f t="shared" si="55"/>
        <v>1</v>
      </c>
      <c r="T146" s="1" t="s">
        <v>442</v>
      </c>
      <c r="U146" s="1"/>
      <c r="V146" s="1"/>
      <c r="W146" s="1"/>
      <c r="X146" s="1"/>
      <c r="Y146" s="1">
        <v>9</v>
      </c>
      <c r="Z146" s="1">
        <v>2</v>
      </c>
      <c r="AA146" s="1"/>
      <c r="AB146" s="1">
        <v>0</v>
      </c>
      <c r="AC146" s="1">
        <v>8</v>
      </c>
      <c r="AD146" s="1">
        <v>40</v>
      </c>
      <c r="AE146" s="1" t="s">
        <v>417</v>
      </c>
      <c r="AF146" s="1">
        <v>2.5</v>
      </c>
      <c r="AG146" s="1">
        <v>0.35</v>
      </c>
      <c r="AH146" s="1">
        <v>2.5</v>
      </c>
      <c r="AI146" s="1">
        <v>0.35</v>
      </c>
      <c r="AJ146" s="1"/>
      <c r="AK146" s="1"/>
      <c r="AL146" s="1">
        <v>0</v>
      </c>
    </row>
    <row r="147" spans="1:38" x14ac:dyDescent="0.25">
      <c r="A147" s="219" t="s">
        <v>260</v>
      </c>
      <c r="B147" s="216">
        <v>2</v>
      </c>
      <c r="C147" s="1" t="s">
        <v>418</v>
      </c>
      <c r="D147" s="13">
        <v>38769</v>
      </c>
      <c r="E147" s="1">
        <f t="shared" si="48"/>
        <v>1540</v>
      </c>
      <c r="F147" s="1"/>
      <c r="G147" s="13">
        <v>40309</v>
      </c>
      <c r="H147" s="13">
        <f>G146</f>
        <v>40127</v>
      </c>
      <c r="I147" s="13">
        <v>40309</v>
      </c>
      <c r="J147" s="13"/>
      <c r="K147" s="1">
        <f t="shared" si="45"/>
        <v>1540</v>
      </c>
      <c r="L147" s="1">
        <f t="shared" si="46"/>
        <v>182</v>
      </c>
      <c r="M147" s="1">
        <f t="shared" si="47"/>
        <v>0</v>
      </c>
      <c r="N147" s="1" t="s">
        <v>417</v>
      </c>
      <c r="O147" s="1">
        <v>5.68</v>
      </c>
      <c r="P147" s="1"/>
      <c r="Q147" s="1"/>
      <c r="R147" s="1"/>
      <c r="S147" s="1"/>
      <c r="T147" s="1"/>
      <c r="U147" s="1"/>
      <c r="V147" s="1"/>
      <c r="W147" s="1"/>
      <c r="X147" s="1"/>
      <c r="Y147" s="1">
        <v>18</v>
      </c>
      <c r="Z147" s="1">
        <v>1</v>
      </c>
      <c r="AA147" s="1"/>
      <c r="AB147" s="1">
        <v>0</v>
      </c>
      <c r="AC147" s="1">
        <v>3</v>
      </c>
      <c r="AD147" s="1">
        <v>40</v>
      </c>
      <c r="AE147" s="1" t="s">
        <v>417</v>
      </c>
      <c r="AF147" s="1">
        <v>2.5</v>
      </c>
      <c r="AG147" s="1">
        <v>0.35</v>
      </c>
      <c r="AH147" s="1">
        <v>2.5</v>
      </c>
      <c r="AI147" s="1">
        <v>0.35</v>
      </c>
      <c r="AJ147" s="1"/>
      <c r="AK147" s="1"/>
      <c r="AL147" s="1">
        <v>0</v>
      </c>
    </row>
    <row r="148" spans="1:38" x14ac:dyDescent="0.25">
      <c r="A148" s="220" t="s">
        <v>263</v>
      </c>
      <c r="B148" s="216">
        <v>2</v>
      </c>
      <c r="C148" s="1" t="s">
        <v>418</v>
      </c>
      <c r="D148" s="13">
        <v>38792</v>
      </c>
      <c r="E148" s="1">
        <f t="shared" si="48"/>
        <v>1524</v>
      </c>
      <c r="F148" s="1"/>
      <c r="G148" s="13">
        <v>40134</v>
      </c>
      <c r="H148" s="13">
        <v>38792</v>
      </c>
      <c r="I148" s="13">
        <v>40316</v>
      </c>
      <c r="J148" s="13"/>
      <c r="K148" s="1">
        <f t="shared" si="45"/>
        <v>1342</v>
      </c>
      <c r="L148" s="1">
        <f t="shared" si="46"/>
        <v>1342</v>
      </c>
      <c r="M148" s="1">
        <f t="shared" si="47"/>
        <v>182</v>
      </c>
      <c r="N148" s="1" t="s">
        <v>417</v>
      </c>
      <c r="O148" s="1">
        <v>5.65</v>
      </c>
      <c r="P148" s="1"/>
      <c r="Q148" s="1"/>
      <c r="R148" s="1">
        <f t="shared" si="54"/>
        <v>1</v>
      </c>
      <c r="S148" s="1">
        <f t="shared" si="55"/>
        <v>1</v>
      </c>
      <c r="T148" s="1" t="s">
        <v>442</v>
      </c>
      <c r="U148" s="1"/>
      <c r="V148" s="1"/>
      <c r="W148" s="1"/>
      <c r="X148" s="1"/>
      <c r="Y148" s="1">
        <v>93</v>
      </c>
      <c r="Z148" s="1">
        <v>96</v>
      </c>
      <c r="AA148" s="1"/>
      <c r="AB148" s="1">
        <v>0</v>
      </c>
      <c r="AC148" s="1">
        <v>0</v>
      </c>
      <c r="AD148" s="1">
        <v>70</v>
      </c>
      <c r="AE148" s="1"/>
      <c r="AF148" s="1">
        <v>2.5</v>
      </c>
      <c r="AG148" s="1">
        <v>0.35</v>
      </c>
      <c r="AH148" s="1">
        <v>2.5</v>
      </c>
      <c r="AI148" s="1">
        <v>0.35</v>
      </c>
      <c r="AJ148" s="1"/>
      <c r="AK148" s="1"/>
      <c r="AL148" s="1">
        <v>0</v>
      </c>
    </row>
    <row r="149" spans="1:38" x14ac:dyDescent="0.25">
      <c r="A149" s="220" t="s">
        <v>263</v>
      </c>
      <c r="B149" s="216">
        <v>2</v>
      </c>
      <c r="C149" s="1" t="s">
        <v>418</v>
      </c>
      <c r="D149" s="13">
        <v>38792</v>
      </c>
      <c r="E149" s="1">
        <f t="shared" si="48"/>
        <v>1524</v>
      </c>
      <c r="F149" s="1"/>
      <c r="G149" s="13">
        <v>40316</v>
      </c>
      <c r="H149" s="13">
        <f>G148</f>
        <v>40134</v>
      </c>
      <c r="I149" s="13">
        <v>40316</v>
      </c>
      <c r="J149" s="13"/>
      <c r="K149" s="1">
        <f t="shared" si="45"/>
        <v>1524</v>
      </c>
      <c r="L149" s="1">
        <f t="shared" si="46"/>
        <v>182</v>
      </c>
      <c r="M149" s="1">
        <f t="shared" si="47"/>
        <v>0</v>
      </c>
      <c r="N149" s="1" t="s">
        <v>417</v>
      </c>
      <c r="O149" s="1">
        <v>5.31</v>
      </c>
      <c r="P149" s="1"/>
      <c r="Q149" s="1"/>
      <c r="R149" s="1"/>
      <c r="S149" s="1"/>
      <c r="T149" s="1"/>
      <c r="U149" s="1"/>
      <c r="V149" s="1"/>
      <c r="W149" s="1"/>
      <c r="X149" s="1"/>
      <c r="Y149" s="1">
        <v>90</v>
      </c>
      <c r="Z149" s="1">
        <v>100</v>
      </c>
      <c r="AA149" s="1"/>
      <c r="AB149" s="1">
        <v>0</v>
      </c>
      <c r="AC149" s="1">
        <v>0</v>
      </c>
      <c r="AD149" s="1">
        <v>70</v>
      </c>
      <c r="AE149" s="1" t="s">
        <v>434</v>
      </c>
      <c r="AF149" s="1">
        <v>2.5</v>
      </c>
      <c r="AG149" s="1">
        <v>0.35</v>
      </c>
      <c r="AH149" s="1">
        <v>2.5</v>
      </c>
      <c r="AI149" s="1">
        <v>0.35</v>
      </c>
      <c r="AJ149" s="1"/>
      <c r="AK149" s="1"/>
      <c r="AL149" s="1">
        <v>0</v>
      </c>
    </row>
    <row r="150" spans="1:38" x14ac:dyDescent="0.25">
      <c r="A150" s="221" t="s">
        <v>267</v>
      </c>
      <c r="B150" s="216">
        <v>2</v>
      </c>
      <c r="C150" s="1" t="s">
        <v>418</v>
      </c>
      <c r="D150" s="13">
        <v>38903</v>
      </c>
      <c r="E150" s="1">
        <f t="shared" si="48"/>
        <v>1944</v>
      </c>
      <c r="F150" s="1"/>
      <c r="G150" s="13">
        <v>40218</v>
      </c>
      <c r="H150" s="13">
        <v>38903</v>
      </c>
      <c r="I150" s="13">
        <v>40847</v>
      </c>
      <c r="J150" s="13"/>
      <c r="K150" s="1">
        <f t="shared" si="45"/>
        <v>1315</v>
      </c>
      <c r="L150" s="1">
        <f t="shared" si="46"/>
        <v>1315</v>
      </c>
      <c r="M150" s="1">
        <f t="shared" si="47"/>
        <v>629</v>
      </c>
      <c r="N150" s="1" t="s">
        <v>417</v>
      </c>
      <c r="O150" s="1">
        <v>5.14</v>
      </c>
      <c r="P150" s="1">
        <f t="shared" ref="P150:P166" si="57">IF(M150&gt;=540,1,"nulo")</f>
        <v>1</v>
      </c>
      <c r="Q150" s="1">
        <f t="shared" ref="Q150:Q166" si="58">IF(M150&gt;=360,1,"nulo")</f>
        <v>1</v>
      </c>
      <c r="R150" s="1">
        <f t="shared" si="54"/>
        <v>1</v>
      </c>
      <c r="S150" s="1">
        <f t="shared" si="55"/>
        <v>1</v>
      </c>
      <c r="T150" s="1" t="s">
        <v>437</v>
      </c>
      <c r="U150" s="1"/>
      <c r="V150" s="1"/>
      <c r="W150" s="1"/>
      <c r="X150" s="1"/>
      <c r="Y150" s="1">
        <v>11</v>
      </c>
      <c r="Z150" s="1">
        <v>9</v>
      </c>
      <c r="AA150" s="1"/>
      <c r="AB150" s="1">
        <v>0</v>
      </c>
      <c r="AC150" s="1">
        <v>0</v>
      </c>
      <c r="AD150" s="1">
        <v>60</v>
      </c>
      <c r="AE150" s="1" t="s">
        <v>417</v>
      </c>
      <c r="AF150" s="1">
        <v>2.5</v>
      </c>
      <c r="AG150" s="1">
        <v>0.35</v>
      </c>
      <c r="AH150" s="1">
        <v>2.5</v>
      </c>
      <c r="AI150" s="1">
        <v>0.35</v>
      </c>
      <c r="AJ150" s="1"/>
      <c r="AK150" s="1"/>
      <c r="AL150" s="1">
        <v>0</v>
      </c>
    </row>
    <row r="151" spans="1:38" x14ac:dyDescent="0.25">
      <c r="A151" s="221" t="s">
        <v>267</v>
      </c>
      <c r="B151" s="216">
        <v>2</v>
      </c>
      <c r="C151" s="1" t="s">
        <v>418</v>
      </c>
      <c r="D151" s="13">
        <v>38903</v>
      </c>
      <c r="E151" s="1">
        <f t="shared" si="48"/>
        <v>1944</v>
      </c>
      <c r="F151" s="1"/>
      <c r="G151" s="13">
        <v>40659</v>
      </c>
      <c r="H151" s="13">
        <f>G150</f>
        <v>40218</v>
      </c>
      <c r="I151" s="13">
        <v>40847</v>
      </c>
      <c r="J151" s="13"/>
      <c r="K151" s="1">
        <f t="shared" si="45"/>
        <v>1756</v>
      </c>
      <c r="L151" s="1">
        <f t="shared" si="46"/>
        <v>441</v>
      </c>
      <c r="M151" s="1">
        <f t="shared" si="47"/>
        <v>188</v>
      </c>
      <c r="N151" s="1" t="s">
        <v>417</v>
      </c>
      <c r="O151" s="1">
        <v>4.97</v>
      </c>
      <c r="P151" s="1"/>
      <c r="Q151" s="1"/>
      <c r="R151" s="1">
        <f t="shared" si="54"/>
        <v>1</v>
      </c>
      <c r="S151" s="1">
        <f t="shared" si="55"/>
        <v>1</v>
      </c>
      <c r="T151" s="1" t="s">
        <v>442</v>
      </c>
      <c r="U151" s="1"/>
      <c r="V151" s="1"/>
      <c r="W151" s="1"/>
      <c r="X151" s="1"/>
      <c r="Y151" s="1">
        <v>10</v>
      </c>
      <c r="Z151" s="1">
        <v>4</v>
      </c>
      <c r="AA151" s="1"/>
      <c r="AB151" s="1">
        <v>0</v>
      </c>
      <c r="AC151" s="1">
        <v>0</v>
      </c>
      <c r="AD151" s="1">
        <v>60</v>
      </c>
      <c r="AE151" s="1" t="s">
        <v>417</v>
      </c>
      <c r="AF151" s="1">
        <v>2.5</v>
      </c>
      <c r="AG151" s="1">
        <v>0.35</v>
      </c>
      <c r="AH151" s="1">
        <v>2.5</v>
      </c>
      <c r="AI151" s="1">
        <v>0.35</v>
      </c>
      <c r="AJ151" s="1"/>
      <c r="AK151" s="1"/>
      <c r="AL151" s="1">
        <v>0</v>
      </c>
    </row>
    <row r="152" spans="1:38" x14ac:dyDescent="0.25">
      <c r="A152" s="221" t="s">
        <v>267</v>
      </c>
      <c r="B152" s="216">
        <v>2</v>
      </c>
      <c r="C152" s="1" t="s">
        <v>418</v>
      </c>
      <c r="D152" s="13">
        <v>38903</v>
      </c>
      <c r="E152" s="1">
        <f t="shared" si="48"/>
        <v>1944</v>
      </c>
      <c r="F152" s="1"/>
      <c r="G152" s="13">
        <v>40847</v>
      </c>
      <c r="H152" s="13">
        <f>G151</f>
        <v>40659</v>
      </c>
      <c r="I152" s="13">
        <v>40847</v>
      </c>
      <c r="J152" s="13"/>
      <c r="K152" s="1">
        <f t="shared" si="45"/>
        <v>1944</v>
      </c>
      <c r="L152" s="1">
        <f t="shared" si="46"/>
        <v>188</v>
      </c>
      <c r="M152" s="1">
        <f t="shared" si="47"/>
        <v>0</v>
      </c>
      <c r="N152" s="1" t="s">
        <v>434</v>
      </c>
      <c r="O152" s="1">
        <v>4.55</v>
      </c>
      <c r="P152" s="1"/>
      <c r="Q152" s="1"/>
      <c r="R152" s="1"/>
      <c r="S152" s="1"/>
      <c r="T152" s="1"/>
      <c r="U152" s="1">
        <v>0</v>
      </c>
      <c r="V152" s="1">
        <v>0</v>
      </c>
      <c r="W152" s="1">
        <v>1</v>
      </c>
      <c r="X152" s="1">
        <v>1</v>
      </c>
      <c r="Y152" s="1">
        <v>18</v>
      </c>
      <c r="Z152" s="1">
        <v>9</v>
      </c>
      <c r="AA152" s="1"/>
      <c r="AB152" s="1">
        <v>0</v>
      </c>
      <c r="AC152" s="1">
        <v>0</v>
      </c>
      <c r="AD152" s="1">
        <v>60</v>
      </c>
      <c r="AE152" s="1" t="s">
        <v>417</v>
      </c>
      <c r="AF152" s="1">
        <v>2.5</v>
      </c>
      <c r="AG152" s="1">
        <v>0.35</v>
      </c>
      <c r="AH152" s="1">
        <v>2.5</v>
      </c>
      <c r="AI152" s="1">
        <v>0.35</v>
      </c>
      <c r="AJ152" s="1"/>
      <c r="AK152" s="1"/>
      <c r="AL152" s="1">
        <v>0</v>
      </c>
    </row>
    <row r="153" spans="1:38" x14ac:dyDescent="0.25">
      <c r="A153" s="222" t="s">
        <v>269</v>
      </c>
      <c r="B153" s="216">
        <v>2</v>
      </c>
      <c r="C153" s="1" t="s">
        <v>418</v>
      </c>
      <c r="D153" s="13">
        <v>39833</v>
      </c>
      <c r="E153" s="1">
        <f t="shared" si="48"/>
        <v>2213</v>
      </c>
      <c r="F153" s="1"/>
      <c r="G153" s="13">
        <v>40075</v>
      </c>
      <c r="H153" s="13">
        <v>39833</v>
      </c>
      <c r="I153" s="13">
        <v>42046</v>
      </c>
      <c r="J153" s="13"/>
      <c r="K153" s="1">
        <f t="shared" si="45"/>
        <v>242</v>
      </c>
      <c r="L153" s="1">
        <f t="shared" si="46"/>
        <v>242</v>
      </c>
      <c r="M153" s="1">
        <f t="shared" si="47"/>
        <v>1971</v>
      </c>
      <c r="N153" s="1" t="s">
        <v>417</v>
      </c>
      <c r="O153" s="1">
        <v>6.44</v>
      </c>
      <c r="P153" s="1">
        <f t="shared" si="57"/>
        <v>1</v>
      </c>
      <c r="Q153" s="1">
        <f t="shared" si="58"/>
        <v>1</v>
      </c>
      <c r="R153" s="1">
        <f t="shared" si="54"/>
        <v>1</v>
      </c>
      <c r="S153" s="1">
        <f t="shared" si="55"/>
        <v>1</v>
      </c>
      <c r="T153" s="1" t="s">
        <v>437</v>
      </c>
      <c r="U153" s="1"/>
      <c r="V153" s="1"/>
      <c r="W153" s="1"/>
      <c r="X153" s="1"/>
      <c r="Y153" s="1">
        <v>99</v>
      </c>
      <c r="Z153" s="1">
        <v>91</v>
      </c>
      <c r="AA153" s="1"/>
      <c r="AB153" s="1">
        <v>0</v>
      </c>
      <c r="AC153" s="1">
        <v>14</v>
      </c>
      <c r="AD153" s="1">
        <v>55</v>
      </c>
      <c r="AE153" s="1" t="s">
        <v>434</v>
      </c>
      <c r="AF153" s="1">
        <v>2.5</v>
      </c>
      <c r="AG153" s="1">
        <v>0.35</v>
      </c>
      <c r="AH153" s="1">
        <v>3.5</v>
      </c>
      <c r="AI153" s="1">
        <v>0.5</v>
      </c>
      <c r="AJ153" s="1"/>
      <c r="AK153" s="1"/>
      <c r="AL153" s="1">
        <v>0</v>
      </c>
    </row>
    <row r="154" spans="1:38" x14ac:dyDescent="0.25">
      <c r="A154" s="222" t="s">
        <v>269</v>
      </c>
      <c r="B154" s="216">
        <v>2</v>
      </c>
      <c r="C154" s="1" t="s">
        <v>418</v>
      </c>
      <c r="D154" s="13">
        <v>39833</v>
      </c>
      <c r="E154" s="1">
        <f t="shared" si="48"/>
        <v>2213</v>
      </c>
      <c r="F154" s="1"/>
      <c r="G154" s="13">
        <v>40077</v>
      </c>
      <c r="H154" s="13">
        <f>G153</f>
        <v>40075</v>
      </c>
      <c r="I154" s="13">
        <v>42046</v>
      </c>
      <c r="J154" s="13"/>
      <c r="K154" s="1">
        <f t="shared" si="45"/>
        <v>244</v>
      </c>
      <c r="L154" s="1">
        <f t="shared" si="46"/>
        <v>2</v>
      </c>
      <c r="M154" s="1">
        <f t="shared" si="47"/>
        <v>1969</v>
      </c>
      <c r="N154" s="1" t="s">
        <v>417</v>
      </c>
      <c r="O154" s="1">
        <v>6.44</v>
      </c>
      <c r="P154" s="1">
        <f t="shared" si="57"/>
        <v>1</v>
      </c>
      <c r="Q154" s="1">
        <f t="shared" si="58"/>
        <v>1</v>
      </c>
      <c r="R154" s="1">
        <f t="shared" si="54"/>
        <v>1</v>
      </c>
      <c r="S154" s="1">
        <f t="shared" si="55"/>
        <v>1</v>
      </c>
      <c r="T154" s="1" t="s">
        <v>437</v>
      </c>
      <c r="U154" s="1"/>
      <c r="V154" s="1"/>
      <c r="W154" s="1"/>
      <c r="X154" s="1"/>
      <c r="Y154" s="1">
        <v>99</v>
      </c>
      <c r="Z154" s="1">
        <v>91</v>
      </c>
      <c r="AA154" s="1"/>
      <c r="AB154" s="1">
        <v>0</v>
      </c>
      <c r="AC154" s="1">
        <v>14</v>
      </c>
      <c r="AD154" s="1">
        <v>55</v>
      </c>
      <c r="AE154" s="1" t="s">
        <v>434</v>
      </c>
      <c r="AF154" s="1">
        <v>2.5</v>
      </c>
      <c r="AG154" s="1">
        <v>0.35</v>
      </c>
      <c r="AH154" s="1">
        <v>3.5</v>
      </c>
      <c r="AI154" s="1">
        <v>0.5</v>
      </c>
      <c r="AJ154" s="1"/>
      <c r="AK154" s="1"/>
      <c r="AL154" s="1">
        <v>0</v>
      </c>
    </row>
    <row r="155" spans="1:38" x14ac:dyDescent="0.25">
      <c r="A155" s="222" t="s">
        <v>269</v>
      </c>
      <c r="B155" s="216">
        <v>2</v>
      </c>
      <c r="C155" s="1" t="s">
        <v>418</v>
      </c>
      <c r="D155" s="13">
        <v>39833</v>
      </c>
      <c r="E155" s="1">
        <f t="shared" si="48"/>
        <v>2213</v>
      </c>
      <c r="F155" s="1"/>
      <c r="G155" s="13">
        <v>40092</v>
      </c>
      <c r="H155" s="13">
        <f>G154</f>
        <v>40077</v>
      </c>
      <c r="I155" s="13">
        <v>42046</v>
      </c>
      <c r="J155" s="13"/>
      <c r="K155" s="1">
        <f t="shared" si="45"/>
        <v>259</v>
      </c>
      <c r="L155" s="1">
        <f t="shared" si="46"/>
        <v>15</v>
      </c>
      <c r="M155" s="1">
        <f t="shared" si="47"/>
        <v>1954</v>
      </c>
      <c r="N155" s="1" t="s">
        <v>417</v>
      </c>
      <c r="O155" s="1">
        <v>6.44</v>
      </c>
      <c r="P155" s="1">
        <f t="shared" si="57"/>
        <v>1</v>
      </c>
      <c r="Q155" s="1">
        <f t="shared" si="58"/>
        <v>1</v>
      </c>
      <c r="R155" s="1">
        <f t="shared" si="54"/>
        <v>1</v>
      </c>
      <c r="S155" s="1">
        <f t="shared" si="55"/>
        <v>1</v>
      </c>
      <c r="T155" s="1" t="s">
        <v>437</v>
      </c>
      <c r="U155" s="1"/>
      <c r="V155" s="1"/>
      <c r="W155" s="1"/>
      <c r="X155" s="1"/>
      <c r="Y155" s="1">
        <v>100</v>
      </c>
      <c r="Z155" s="1">
        <v>92</v>
      </c>
      <c r="AA155" s="1"/>
      <c r="AB155" s="1">
        <v>0</v>
      </c>
      <c r="AC155" s="1">
        <v>1</v>
      </c>
      <c r="AD155" s="1">
        <v>55</v>
      </c>
      <c r="AE155" s="1" t="s">
        <v>434</v>
      </c>
      <c r="AF155" s="1">
        <v>2.5</v>
      </c>
      <c r="AG155" s="1">
        <v>0.35</v>
      </c>
      <c r="AH155" s="1">
        <v>3.5</v>
      </c>
      <c r="AI155" s="1">
        <v>0.5</v>
      </c>
      <c r="AJ155" s="1"/>
      <c r="AK155" s="1"/>
      <c r="AL155" s="1">
        <v>0</v>
      </c>
    </row>
    <row r="156" spans="1:38" x14ac:dyDescent="0.25">
      <c r="A156" s="222" t="s">
        <v>269</v>
      </c>
      <c r="B156" s="216">
        <v>2</v>
      </c>
      <c r="C156" s="1" t="s">
        <v>418</v>
      </c>
      <c r="D156" s="13">
        <v>39833</v>
      </c>
      <c r="E156" s="1">
        <f t="shared" si="48"/>
        <v>2213</v>
      </c>
      <c r="F156" s="1"/>
      <c r="G156" s="13">
        <v>40274</v>
      </c>
      <c r="H156" s="13">
        <f t="shared" ref="H156:H159" si="59">G155</f>
        <v>40092</v>
      </c>
      <c r="I156" s="13">
        <v>42046</v>
      </c>
      <c r="J156" s="13"/>
      <c r="K156" s="1">
        <f t="shared" si="45"/>
        <v>441</v>
      </c>
      <c r="L156" s="1">
        <f t="shared" si="46"/>
        <v>182</v>
      </c>
      <c r="M156" s="1">
        <f t="shared" si="47"/>
        <v>1772</v>
      </c>
      <c r="N156" s="1" t="s">
        <v>417</v>
      </c>
      <c r="O156" s="1">
        <v>6.4</v>
      </c>
      <c r="P156" s="1">
        <f t="shared" si="57"/>
        <v>1</v>
      </c>
      <c r="Q156" s="1">
        <f t="shared" si="58"/>
        <v>1</v>
      </c>
      <c r="R156" s="1">
        <f t="shared" si="54"/>
        <v>1</v>
      </c>
      <c r="S156" s="1">
        <f t="shared" si="55"/>
        <v>1</v>
      </c>
      <c r="T156" s="1" t="s">
        <v>437</v>
      </c>
      <c r="U156" s="1"/>
      <c r="V156" s="1"/>
      <c r="W156" s="1"/>
      <c r="X156" s="1"/>
      <c r="Y156" s="1">
        <v>100</v>
      </c>
      <c r="Z156" s="1">
        <v>96</v>
      </c>
      <c r="AA156" s="1"/>
      <c r="AB156" s="1">
        <v>0</v>
      </c>
      <c r="AC156" s="1">
        <v>129</v>
      </c>
      <c r="AD156" s="1">
        <v>55</v>
      </c>
      <c r="AE156" s="1" t="s">
        <v>434</v>
      </c>
      <c r="AF156" s="1">
        <v>2.5</v>
      </c>
      <c r="AG156" s="1">
        <v>0.35</v>
      </c>
      <c r="AH156" s="1">
        <v>3.5</v>
      </c>
      <c r="AI156" s="1">
        <v>0.5</v>
      </c>
      <c r="AJ156" s="1"/>
      <c r="AK156" s="1"/>
      <c r="AL156" s="1">
        <v>0</v>
      </c>
    </row>
    <row r="157" spans="1:38" x14ac:dyDescent="0.25">
      <c r="A157" s="222" t="s">
        <v>269</v>
      </c>
      <c r="B157" s="216">
        <v>2</v>
      </c>
      <c r="C157" s="1" t="s">
        <v>418</v>
      </c>
      <c r="D157" s="13">
        <v>39833</v>
      </c>
      <c r="E157" s="1">
        <f t="shared" si="48"/>
        <v>2213</v>
      </c>
      <c r="F157" s="1"/>
      <c r="G157" s="13">
        <v>40309</v>
      </c>
      <c r="H157" s="13">
        <f t="shared" si="59"/>
        <v>40274</v>
      </c>
      <c r="I157" s="13">
        <v>42046</v>
      </c>
      <c r="J157" s="13"/>
      <c r="K157" s="1">
        <f t="shared" si="45"/>
        <v>476</v>
      </c>
      <c r="L157" s="1">
        <f t="shared" si="46"/>
        <v>35</v>
      </c>
      <c r="M157" s="1">
        <f t="shared" si="47"/>
        <v>1737</v>
      </c>
      <c r="N157" s="1" t="s">
        <v>417</v>
      </c>
      <c r="O157" s="1">
        <v>6.37</v>
      </c>
      <c r="P157" s="1">
        <f t="shared" si="57"/>
        <v>1</v>
      </c>
      <c r="Q157" s="1">
        <f t="shared" si="58"/>
        <v>1</v>
      </c>
      <c r="R157" s="1">
        <f t="shared" si="54"/>
        <v>1</v>
      </c>
      <c r="S157" s="1">
        <f t="shared" si="55"/>
        <v>1</v>
      </c>
      <c r="T157" s="1" t="s">
        <v>437</v>
      </c>
      <c r="U157" s="1"/>
      <c r="V157" s="1"/>
      <c r="W157" s="1"/>
      <c r="X157" s="1"/>
      <c r="Y157" s="1">
        <v>98</v>
      </c>
      <c r="Z157" s="1">
        <v>46</v>
      </c>
      <c r="AA157" s="1"/>
      <c r="AB157" s="1">
        <v>0</v>
      </c>
      <c r="AC157" s="1">
        <v>1107</v>
      </c>
      <c r="AD157" s="1">
        <v>55</v>
      </c>
      <c r="AE157" s="1" t="s">
        <v>434</v>
      </c>
      <c r="AF157" s="1">
        <v>2.5</v>
      </c>
      <c r="AG157" s="1">
        <v>0.35</v>
      </c>
      <c r="AH157" s="1">
        <v>3.5</v>
      </c>
      <c r="AI157" s="1">
        <v>0.5</v>
      </c>
      <c r="AJ157" s="1"/>
      <c r="AK157" s="1"/>
      <c r="AL157" s="1">
        <v>0</v>
      </c>
    </row>
    <row r="158" spans="1:38" x14ac:dyDescent="0.25">
      <c r="A158" s="222" t="s">
        <v>269</v>
      </c>
      <c r="B158" s="216">
        <v>2</v>
      </c>
      <c r="C158" s="1" t="s">
        <v>418</v>
      </c>
      <c r="D158" s="13">
        <v>39833</v>
      </c>
      <c r="E158" s="1">
        <f t="shared" si="48"/>
        <v>2213</v>
      </c>
      <c r="F158" s="1"/>
      <c r="G158" s="13">
        <v>40659</v>
      </c>
      <c r="H158" s="13">
        <f t="shared" si="59"/>
        <v>40309</v>
      </c>
      <c r="I158" s="13">
        <v>42046</v>
      </c>
      <c r="J158" s="13"/>
      <c r="K158" s="1">
        <f t="shared" si="45"/>
        <v>826</v>
      </c>
      <c r="L158" s="1">
        <f t="shared" si="46"/>
        <v>350</v>
      </c>
      <c r="M158" s="1">
        <f t="shared" si="47"/>
        <v>1387</v>
      </c>
      <c r="N158" s="1" t="s">
        <v>417</v>
      </c>
      <c r="O158" s="1">
        <v>6.04</v>
      </c>
      <c r="P158" s="1">
        <f t="shared" si="57"/>
        <v>1</v>
      </c>
      <c r="Q158" s="1">
        <f t="shared" si="58"/>
        <v>1</v>
      </c>
      <c r="R158" s="1">
        <f t="shared" si="54"/>
        <v>1</v>
      </c>
      <c r="S158" s="1">
        <f t="shared" si="55"/>
        <v>1</v>
      </c>
      <c r="T158" s="1" t="s">
        <v>437</v>
      </c>
      <c r="U158" s="1"/>
      <c r="V158" s="1"/>
      <c r="W158" s="1"/>
      <c r="X158" s="1"/>
      <c r="Y158" s="1">
        <v>100</v>
      </c>
      <c r="Z158" s="1">
        <v>99</v>
      </c>
      <c r="AA158" s="1"/>
      <c r="AB158" s="1">
        <v>0</v>
      </c>
      <c r="AC158" s="1">
        <v>0</v>
      </c>
      <c r="AD158" s="1">
        <v>55</v>
      </c>
      <c r="AE158" s="1" t="s">
        <v>434</v>
      </c>
      <c r="AF158" s="1">
        <v>2.5</v>
      </c>
      <c r="AG158" s="1">
        <v>0.35</v>
      </c>
      <c r="AH158" s="1">
        <v>3.5</v>
      </c>
      <c r="AI158" s="1">
        <v>0.5</v>
      </c>
      <c r="AJ158" s="1"/>
      <c r="AK158" s="1"/>
      <c r="AL158" s="1">
        <v>0</v>
      </c>
    </row>
    <row r="159" spans="1:38" x14ac:dyDescent="0.25">
      <c r="A159" s="222" t="s">
        <v>269</v>
      </c>
      <c r="B159" s="216">
        <v>2</v>
      </c>
      <c r="C159" s="1" t="s">
        <v>418</v>
      </c>
      <c r="D159" s="13">
        <v>39833</v>
      </c>
      <c r="E159" s="1">
        <f t="shared" si="48"/>
        <v>2213</v>
      </c>
      <c r="F159" s="1"/>
      <c r="G159" s="13">
        <v>42046</v>
      </c>
      <c r="H159" s="13">
        <f t="shared" si="59"/>
        <v>40659</v>
      </c>
      <c r="I159" s="13">
        <v>42046</v>
      </c>
      <c r="J159" s="13"/>
      <c r="K159" s="1">
        <f t="shared" si="45"/>
        <v>2213</v>
      </c>
      <c r="L159" s="1">
        <f t="shared" si="46"/>
        <v>1387</v>
      </c>
      <c r="M159" s="1">
        <f t="shared" si="47"/>
        <v>0</v>
      </c>
      <c r="N159" s="1" t="s">
        <v>434</v>
      </c>
      <c r="O159" s="1">
        <v>4.5</v>
      </c>
      <c r="P159" s="1"/>
      <c r="Q159" s="1"/>
      <c r="R159" s="1"/>
      <c r="S159" s="1"/>
      <c r="T159" s="1"/>
      <c r="U159" s="1">
        <v>1</v>
      </c>
      <c r="V159" s="1">
        <v>1</v>
      </c>
      <c r="W159" s="1">
        <v>1</v>
      </c>
      <c r="X159" s="1">
        <v>1</v>
      </c>
      <c r="Y159" s="1">
        <v>100</v>
      </c>
      <c r="Z159" s="1">
        <v>99</v>
      </c>
      <c r="AA159" s="1"/>
      <c r="AB159" s="1">
        <v>0</v>
      </c>
      <c r="AC159" s="1">
        <v>0</v>
      </c>
      <c r="AD159" s="1">
        <v>55</v>
      </c>
      <c r="AE159" s="1" t="s">
        <v>434</v>
      </c>
      <c r="AF159" s="1">
        <v>2.5</v>
      </c>
      <c r="AG159" s="1">
        <v>0.35</v>
      </c>
      <c r="AH159" s="1">
        <v>3.5</v>
      </c>
      <c r="AI159" s="1">
        <v>0.5</v>
      </c>
      <c r="AJ159" s="1"/>
      <c r="AK159" s="1"/>
      <c r="AL159" s="1">
        <v>0</v>
      </c>
    </row>
    <row r="160" spans="1:38" x14ac:dyDescent="0.25">
      <c r="A160" s="224" t="s">
        <v>287</v>
      </c>
      <c r="B160" s="1">
        <v>2</v>
      </c>
      <c r="C160" s="1" t="s">
        <v>418</v>
      </c>
      <c r="D160" s="13">
        <v>38730</v>
      </c>
      <c r="E160" s="1">
        <f t="shared" si="48"/>
        <v>2012</v>
      </c>
      <c r="F160" s="1"/>
      <c r="G160" s="13">
        <v>40113</v>
      </c>
      <c r="H160" s="13">
        <v>38730</v>
      </c>
      <c r="I160" s="13">
        <v>40742</v>
      </c>
      <c r="J160" s="13"/>
      <c r="K160" s="1">
        <f t="shared" si="45"/>
        <v>1383</v>
      </c>
      <c r="L160" s="1">
        <f t="shared" si="46"/>
        <v>1383</v>
      </c>
      <c r="M160" s="1">
        <f t="shared" si="47"/>
        <v>629</v>
      </c>
      <c r="N160" s="1" t="s">
        <v>417</v>
      </c>
      <c r="O160" s="1">
        <v>5.27</v>
      </c>
      <c r="P160" s="1">
        <f t="shared" si="57"/>
        <v>1</v>
      </c>
      <c r="Q160" s="1">
        <f t="shared" si="58"/>
        <v>1</v>
      </c>
      <c r="R160" s="1">
        <f t="shared" si="54"/>
        <v>1</v>
      </c>
      <c r="S160" s="1">
        <f t="shared" si="55"/>
        <v>1</v>
      </c>
      <c r="T160" s="1" t="s">
        <v>437</v>
      </c>
      <c r="U160" s="1"/>
      <c r="V160" s="1"/>
      <c r="W160" s="1"/>
      <c r="X160" s="1"/>
      <c r="Y160" s="1">
        <v>0</v>
      </c>
      <c r="Z160" s="1">
        <v>46</v>
      </c>
      <c r="AA160" s="1"/>
      <c r="AB160" s="1">
        <v>0</v>
      </c>
      <c r="AC160" s="1">
        <v>1</v>
      </c>
      <c r="AD160" s="1">
        <v>60</v>
      </c>
      <c r="AE160" s="1" t="s">
        <v>417</v>
      </c>
      <c r="AF160" s="1">
        <v>2</v>
      </c>
      <c r="AG160" s="1">
        <v>0.35</v>
      </c>
      <c r="AH160" s="1">
        <v>4</v>
      </c>
      <c r="AI160" s="1">
        <v>0.5</v>
      </c>
      <c r="AJ160" s="1"/>
      <c r="AK160" s="1"/>
      <c r="AL160" s="1">
        <v>0</v>
      </c>
    </row>
    <row r="161" spans="1:38" x14ac:dyDescent="0.25">
      <c r="A161" s="224" t="s">
        <v>287</v>
      </c>
      <c r="B161" s="1">
        <v>2</v>
      </c>
      <c r="C161" s="1" t="s">
        <v>418</v>
      </c>
      <c r="D161" s="13">
        <v>38730</v>
      </c>
      <c r="E161" s="1">
        <f t="shared" si="48"/>
        <v>2012</v>
      </c>
      <c r="F161" s="1"/>
      <c r="G161" s="13">
        <v>40295</v>
      </c>
      <c r="H161" s="13">
        <f>G160</f>
        <v>40113</v>
      </c>
      <c r="I161" s="13">
        <v>40742</v>
      </c>
      <c r="J161" s="13"/>
      <c r="K161" s="1">
        <f t="shared" si="45"/>
        <v>1565</v>
      </c>
      <c r="L161" s="1">
        <f t="shared" si="46"/>
        <v>182</v>
      </c>
      <c r="M161" s="1">
        <f t="shared" si="47"/>
        <v>447</v>
      </c>
      <c r="N161" s="1" t="s">
        <v>417</v>
      </c>
      <c r="O161" s="1">
        <v>5.18</v>
      </c>
      <c r="P161" s="1"/>
      <c r="Q161" s="1">
        <f t="shared" si="58"/>
        <v>1</v>
      </c>
      <c r="R161" s="1">
        <f t="shared" si="54"/>
        <v>1</v>
      </c>
      <c r="S161" s="1">
        <f t="shared" si="55"/>
        <v>1</v>
      </c>
      <c r="T161" s="1" t="s">
        <v>442</v>
      </c>
      <c r="U161" s="1"/>
      <c r="V161" s="1"/>
      <c r="W161" s="1"/>
      <c r="X161" s="1"/>
      <c r="Y161" s="1">
        <v>0</v>
      </c>
      <c r="Z161" s="1">
        <v>13</v>
      </c>
      <c r="AA161" s="1"/>
      <c r="AB161" s="1">
        <v>3</v>
      </c>
      <c r="AC161" s="1">
        <v>48</v>
      </c>
      <c r="AD161" s="1">
        <v>60</v>
      </c>
      <c r="AE161" s="1" t="s">
        <v>434</v>
      </c>
      <c r="AF161" s="1">
        <v>2</v>
      </c>
      <c r="AG161" s="1">
        <v>0.35</v>
      </c>
      <c r="AH161" s="1">
        <v>4</v>
      </c>
      <c r="AI161" s="1">
        <v>0.5</v>
      </c>
      <c r="AJ161" s="1"/>
      <c r="AK161" s="1"/>
      <c r="AL161" s="1">
        <v>0</v>
      </c>
    </row>
    <row r="162" spans="1:38" x14ac:dyDescent="0.25">
      <c r="A162" s="224" t="s">
        <v>287</v>
      </c>
      <c r="B162" s="1">
        <v>2</v>
      </c>
      <c r="C162" s="1" t="s">
        <v>418</v>
      </c>
      <c r="D162" s="13">
        <v>38730</v>
      </c>
      <c r="E162" s="1">
        <f t="shared" si="48"/>
        <v>2012</v>
      </c>
      <c r="F162" s="1"/>
      <c r="G162" s="13">
        <v>40638</v>
      </c>
      <c r="H162" s="13">
        <f t="shared" ref="H162:H164" si="60">G161</f>
        <v>40295</v>
      </c>
      <c r="I162" s="13">
        <v>40742</v>
      </c>
      <c r="J162" s="13"/>
      <c r="K162" s="1">
        <f t="shared" si="45"/>
        <v>1908</v>
      </c>
      <c r="L162" s="1">
        <f t="shared" si="46"/>
        <v>343</v>
      </c>
      <c r="M162" s="1">
        <f t="shared" si="47"/>
        <v>104</v>
      </c>
      <c r="N162" s="1" t="s">
        <v>417</v>
      </c>
      <c r="O162" s="1">
        <v>4.95</v>
      </c>
      <c r="P162" s="1"/>
      <c r="Q162" s="1"/>
      <c r="R162" s="1"/>
      <c r="S162" s="1">
        <f t="shared" si="55"/>
        <v>1</v>
      </c>
      <c r="T162" s="1" t="s">
        <v>442</v>
      </c>
      <c r="U162" s="1"/>
      <c r="V162" s="1"/>
      <c r="W162" s="1"/>
      <c r="X162" s="1"/>
      <c r="Y162" s="1">
        <v>0</v>
      </c>
      <c r="Z162" s="1">
        <v>90</v>
      </c>
      <c r="AA162" s="1"/>
      <c r="AB162" s="1">
        <v>4</v>
      </c>
      <c r="AC162" s="1">
        <v>4</v>
      </c>
      <c r="AD162" s="1">
        <v>60</v>
      </c>
      <c r="AE162" s="1" t="s">
        <v>417</v>
      </c>
      <c r="AF162" s="1">
        <v>2</v>
      </c>
      <c r="AG162" s="1">
        <v>0.35</v>
      </c>
      <c r="AH162" s="1">
        <v>4</v>
      </c>
      <c r="AI162" s="1">
        <v>0.5</v>
      </c>
      <c r="AJ162" s="1"/>
      <c r="AK162" s="1"/>
      <c r="AL162" s="1">
        <v>0</v>
      </c>
    </row>
    <row r="163" spans="1:38" x14ac:dyDescent="0.25">
      <c r="A163" s="224" t="s">
        <v>287</v>
      </c>
      <c r="B163" s="1">
        <v>2</v>
      </c>
      <c r="C163" s="1" t="s">
        <v>418</v>
      </c>
      <c r="D163" s="13">
        <v>38730</v>
      </c>
      <c r="E163" s="1">
        <f t="shared" si="48"/>
        <v>2012</v>
      </c>
      <c r="F163" s="1"/>
      <c r="G163" s="13">
        <v>40736</v>
      </c>
      <c r="H163" s="13">
        <f t="shared" si="60"/>
        <v>40638</v>
      </c>
      <c r="I163" s="13">
        <v>40742</v>
      </c>
      <c r="J163" s="13"/>
      <c r="K163" s="1">
        <f t="shared" si="45"/>
        <v>2006</v>
      </c>
      <c r="L163" s="1">
        <f t="shared" si="46"/>
        <v>98</v>
      </c>
      <c r="M163" s="1">
        <f t="shared" si="47"/>
        <v>6</v>
      </c>
      <c r="N163" s="1" t="s">
        <v>434</v>
      </c>
      <c r="O163" s="1">
        <v>4.58</v>
      </c>
      <c r="P163" s="1"/>
      <c r="Q163" s="1"/>
      <c r="R163" s="1"/>
      <c r="S163" s="1"/>
      <c r="T163" s="1" t="s">
        <v>442</v>
      </c>
      <c r="U163" s="1">
        <v>0</v>
      </c>
      <c r="V163" s="1">
        <v>0</v>
      </c>
      <c r="W163" s="1">
        <v>0</v>
      </c>
      <c r="X163" s="1">
        <v>1</v>
      </c>
      <c r="Y163" s="1">
        <v>0</v>
      </c>
      <c r="Z163" s="1">
        <v>81</v>
      </c>
      <c r="AA163" s="1"/>
      <c r="AB163" s="1">
        <v>0</v>
      </c>
      <c r="AC163" s="1">
        <v>2</v>
      </c>
      <c r="AD163" s="1">
        <v>60</v>
      </c>
      <c r="AE163" s="1" t="s">
        <v>417</v>
      </c>
      <c r="AF163" s="1">
        <v>2</v>
      </c>
      <c r="AG163" s="1">
        <v>0.35</v>
      </c>
      <c r="AH163" s="1">
        <v>4</v>
      </c>
      <c r="AI163" s="1">
        <v>0.5</v>
      </c>
      <c r="AJ163" s="1"/>
      <c r="AK163" s="1"/>
      <c r="AL163" s="1">
        <v>0</v>
      </c>
    </row>
    <row r="164" spans="1:38" x14ac:dyDescent="0.25">
      <c r="A164" s="224" t="s">
        <v>287</v>
      </c>
      <c r="B164" s="1">
        <v>2</v>
      </c>
      <c r="C164" s="1" t="s">
        <v>418</v>
      </c>
      <c r="D164" s="13">
        <v>38730</v>
      </c>
      <c r="E164" s="1">
        <f t="shared" si="48"/>
        <v>2012</v>
      </c>
      <c r="F164" s="1"/>
      <c r="G164" s="13">
        <v>40742</v>
      </c>
      <c r="H164" s="13">
        <f t="shared" si="60"/>
        <v>40736</v>
      </c>
      <c r="I164" s="13">
        <v>40742</v>
      </c>
      <c r="J164" s="13"/>
      <c r="K164" s="1">
        <f t="shared" si="45"/>
        <v>2012</v>
      </c>
      <c r="L164" s="1">
        <f t="shared" si="46"/>
        <v>6</v>
      </c>
      <c r="M164" s="1">
        <f t="shared" si="47"/>
        <v>0</v>
      </c>
      <c r="N164" s="1" t="s">
        <v>434</v>
      </c>
      <c r="O164" s="1">
        <v>4.51</v>
      </c>
      <c r="P164" s="1"/>
      <c r="Q164" s="1"/>
      <c r="R164" s="1"/>
      <c r="S164" s="1"/>
      <c r="T164" s="1"/>
      <c r="U164" s="1"/>
      <c r="V164" s="1"/>
      <c r="W164" s="1"/>
      <c r="X164" s="1"/>
      <c r="Y164" s="1">
        <v>0</v>
      </c>
      <c r="Z164" s="1">
        <v>70</v>
      </c>
      <c r="AA164" s="1"/>
      <c r="AB164" s="1">
        <v>0</v>
      </c>
      <c r="AC164" s="1">
        <v>3</v>
      </c>
      <c r="AD164" s="1">
        <v>60</v>
      </c>
      <c r="AE164" s="1" t="s">
        <v>417</v>
      </c>
      <c r="AF164" s="1">
        <v>2</v>
      </c>
      <c r="AG164" s="1">
        <v>0.35</v>
      </c>
      <c r="AH164" s="1">
        <v>4</v>
      </c>
      <c r="AI164" s="1">
        <v>0.5</v>
      </c>
      <c r="AJ164" s="1"/>
      <c r="AK164" s="1"/>
      <c r="AL164" s="1">
        <v>0</v>
      </c>
    </row>
    <row r="165" spans="1:38" x14ac:dyDescent="0.25">
      <c r="A165" s="225" t="s">
        <v>297</v>
      </c>
      <c r="B165" s="1">
        <v>2</v>
      </c>
      <c r="C165" s="1" t="s">
        <v>418</v>
      </c>
      <c r="D165" s="13">
        <v>39735</v>
      </c>
      <c r="E165" s="1">
        <f t="shared" si="48"/>
        <v>2396</v>
      </c>
      <c r="F165" s="1"/>
      <c r="G165" s="13">
        <v>40204</v>
      </c>
      <c r="H165" s="13">
        <v>39735</v>
      </c>
      <c r="I165" s="13">
        <v>42131</v>
      </c>
      <c r="J165" s="13"/>
      <c r="K165" s="1">
        <f t="shared" si="45"/>
        <v>469</v>
      </c>
      <c r="L165" s="1">
        <f t="shared" si="46"/>
        <v>469</v>
      </c>
      <c r="M165" s="1">
        <f t="shared" si="47"/>
        <v>1927</v>
      </c>
      <c r="N165" s="1" t="s">
        <v>417</v>
      </c>
      <c r="O165" s="1">
        <v>6.41</v>
      </c>
      <c r="P165" s="1">
        <f t="shared" si="57"/>
        <v>1</v>
      </c>
      <c r="Q165" s="1">
        <f t="shared" si="58"/>
        <v>1</v>
      </c>
      <c r="R165" s="1">
        <f t="shared" si="54"/>
        <v>1</v>
      </c>
      <c r="S165" s="1">
        <f t="shared" si="55"/>
        <v>1</v>
      </c>
      <c r="T165" s="1" t="s">
        <v>437</v>
      </c>
      <c r="U165" s="1"/>
      <c r="V165" s="1"/>
      <c r="W165" s="1"/>
      <c r="X165" s="1"/>
      <c r="Y165" s="1">
        <v>47</v>
      </c>
      <c r="Z165" s="1">
        <v>100</v>
      </c>
      <c r="AA165" s="1"/>
      <c r="AB165" s="1">
        <v>0</v>
      </c>
      <c r="AC165" s="1">
        <v>0</v>
      </c>
      <c r="AD165" s="1">
        <v>50</v>
      </c>
      <c r="AE165" s="1" t="s">
        <v>434</v>
      </c>
      <c r="AF165" s="1">
        <v>2.5</v>
      </c>
      <c r="AG165" s="1">
        <v>0.35</v>
      </c>
      <c r="AH165" s="1">
        <v>2.5</v>
      </c>
      <c r="AI165" s="1">
        <v>0.35</v>
      </c>
      <c r="AJ165" s="1"/>
      <c r="AK165" s="1"/>
      <c r="AL165" s="1">
        <v>0</v>
      </c>
    </row>
    <row r="166" spans="1:38" x14ac:dyDescent="0.25">
      <c r="A166" s="225" t="s">
        <v>297</v>
      </c>
      <c r="B166" s="1">
        <v>2</v>
      </c>
      <c r="C166" s="1" t="s">
        <v>418</v>
      </c>
      <c r="D166" s="13">
        <v>39735</v>
      </c>
      <c r="E166" s="1">
        <f t="shared" si="48"/>
        <v>2396</v>
      </c>
      <c r="F166" s="1"/>
      <c r="G166" s="13">
        <v>40806</v>
      </c>
      <c r="H166" s="13">
        <f>G165</f>
        <v>40204</v>
      </c>
      <c r="I166" s="13">
        <v>42131</v>
      </c>
      <c r="J166" s="13"/>
      <c r="K166" s="1">
        <f t="shared" si="45"/>
        <v>1071</v>
      </c>
      <c r="L166" s="1">
        <f t="shared" si="46"/>
        <v>602</v>
      </c>
      <c r="M166" s="1">
        <f t="shared" si="47"/>
        <v>1325</v>
      </c>
      <c r="N166" s="1" t="s">
        <v>417</v>
      </c>
      <c r="O166" s="1">
        <v>5.99</v>
      </c>
      <c r="P166" s="1">
        <f t="shared" si="57"/>
        <v>1</v>
      </c>
      <c r="Q166" s="1">
        <f t="shared" si="58"/>
        <v>1</v>
      </c>
      <c r="R166" s="1">
        <f t="shared" si="54"/>
        <v>1</v>
      </c>
      <c r="S166" s="1">
        <f t="shared" si="55"/>
        <v>1</v>
      </c>
      <c r="T166" s="1" t="s">
        <v>437</v>
      </c>
      <c r="U166" s="1"/>
      <c r="V166" s="1"/>
      <c r="W166" s="1"/>
      <c r="X166" s="1"/>
      <c r="Y166" s="1">
        <v>74</v>
      </c>
      <c r="Z166" s="1">
        <v>100</v>
      </c>
      <c r="AA166" s="1"/>
      <c r="AB166" s="1">
        <v>0</v>
      </c>
      <c r="AC166" s="1">
        <v>0</v>
      </c>
      <c r="AD166" s="1">
        <v>50</v>
      </c>
      <c r="AE166" s="1" t="s">
        <v>434</v>
      </c>
      <c r="AF166" s="1">
        <v>2.5</v>
      </c>
      <c r="AG166" s="1">
        <v>0.35</v>
      </c>
      <c r="AH166" s="1">
        <v>2.5</v>
      </c>
      <c r="AI166" s="1">
        <v>0.35</v>
      </c>
      <c r="AJ166" s="1"/>
      <c r="AK166" s="1"/>
      <c r="AL166" s="1">
        <v>0</v>
      </c>
    </row>
    <row r="167" spans="1:38" x14ac:dyDescent="0.25">
      <c r="A167" s="225" t="s">
        <v>297</v>
      </c>
      <c r="B167" s="1">
        <v>2</v>
      </c>
      <c r="C167" s="1" t="s">
        <v>418</v>
      </c>
      <c r="D167" s="13">
        <v>39735</v>
      </c>
      <c r="E167" s="1">
        <f t="shared" si="48"/>
        <v>2396</v>
      </c>
      <c r="F167" s="1"/>
      <c r="G167" s="13">
        <v>42129</v>
      </c>
      <c r="H167" s="13">
        <f t="shared" ref="H167:H168" si="61">G166</f>
        <v>40806</v>
      </c>
      <c r="I167" s="13">
        <v>42131</v>
      </c>
      <c r="J167" s="13"/>
      <c r="K167" s="1">
        <f t="shared" si="45"/>
        <v>2394</v>
      </c>
      <c r="L167" s="1">
        <f t="shared" si="46"/>
        <v>1323</v>
      </c>
      <c r="M167" s="1">
        <f t="shared" si="47"/>
        <v>2</v>
      </c>
      <c r="N167" s="1" t="s">
        <v>417</v>
      </c>
      <c r="O167" s="1">
        <v>4.97</v>
      </c>
      <c r="P167" s="1"/>
      <c r="Q167" s="1"/>
      <c r="R167" s="1"/>
      <c r="S167" s="1"/>
      <c r="T167" s="1" t="s">
        <v>442</v>
      </c>
      <c r="U167" s="1"/>
      <c r="V167" s="1"/>
      <c r="W167" s="1"/>
      <c r="X167" s="1"/>
      <c r="Y167" s="1">
        <v>80</v>
      </c>
      <c r="Z167" s="1">
        <v>99</v>
      </c>
      <c r="AA167" s="1"/>
      <c r="AB167" s="1">
        <v>0</v>
      </c>
      <c r="AC167" s="1">
        <v>0</v>
      </c>
      <c r="AD167" s="1">
        <v>50</v>
      </c>
      <c r="AE167" s="1" t="s">
        <v>417</v>
      </c>
      <c r="AF167" s="1">
        <v>2.5</v>
      </c>
      <c r="AG167" s="1">
        <v>0.35</v>
      </c>
      <c r="AH167" s="1">
        <v>2.5</v>
      </c>
      <c r="AI167" s="1">
        <v>0.35</v>
      </c>
      <c r="AJ167" s="1"/>
      <c r="AK167" s="1"/>
      <c r="AL167" s="1">
        <v>0</v>
      </c>
    </row>
    <row r="168" spans="1:38" x14ac:dyDescent="0.25">
      <c r="A168" s="225" t="s">
        <v>297</v>
      </c>
      <c r="B168" s="1">
        <v>2</v>
      </c>
      <c r="C168" s="1" t="s">
        <v>418</v>
      </c>
      <c r="D168" s="13">
        <v>39735</v>
      </c>
      <c r="E168" s="1">
        <f t="shared" si="48"/>
        <v>2396</v>
      </c>
      <c r="F168" s="1"/>
      <c r="G168" s="13">
        <v>42131</v>
      </c>
      <c r="H168" s="13">
        <f t="shared" si="61"/>
        <v>42129</v>
      </c>
      <c r="I168" s="13">
        <v>42131</v>
      </c>
      <c r="J168" s="13"/>
      <c r="K168" s="1">
        <f t="shared" si="45"/>
        <v>2396</v>
      </c>
      <c r="L168" s="1">
        <f t="shared" si="46"/>
        <v>2</v>
      </c>
      <c r="M168" s="1">
        <f t="shared" si="47"/>
        <v>0</v>
      </c>
      <c r="N168" s="1" t="s">
        <v>417</v>
      </c>
      <c r="O168" s="1">
        <v>4.83</v>
      </c>
      <c r="P168" s="1"/>
      <c r="Q168" s="1"/>
      <c r="R168" s="1"/>
      <c r="S168" s="1"/>
      <c r="T168" s="1"/>
      <c r="U168" s="1"/>
      <c r="V168" s="1"/>
      <c r="W168" s="1"/>
      <c r="X168" s="1"/>
      <c r="Y168" s="1">
        <v>81</v>
      </c>
      <c r="Z168" s="1">
        <v>100</v>
      </c>
      <c r="AA168" s="1"/>
      <c r="AB168" s="1">
        <v>0</v>
      </c>
      <c r="AC168" s="1">
        <v>0</v>
      </c>
      <c r="AD168" s="1">
        <v>50</v>
      </c>
      <c r="AE168" s="1" t="s">
        <v>417</v>
      </c>
      <c r="AF168" s="1">
        <v>2.5</v>
      </c>
      <c r="AG168" s="1">
        <v>0.35</v>
      </c>
      <c r="AH168" s="1">
        <v>2.5</v>
      </c>
      <c r="AI168" s="1">
        <v>0.35</v>
      </c>
      <c r="AJ168" s="1"/>
      <c r="AK168" s="1"/>
      <c r="AL168" s="1">
        <v>0</v>
      </c>
    </row>
    <row r="169" spans="1:38" x14ac:dyDescent="0.25">
      <c r="A169" s="181" t="s">
        <v>49</v>
      </c>
      <c r="B169" s="216">
        <v>2</v>
      </c>
      <c r="C169" s="1" t="s">
        <v>418</v>
      </c>
      <c r="D169" s="13">
        <v>39630</v>
      </c>
      <c r="E169" s="1">
        <f t="shared" si="48"/>
        <v>2505</v>
      </c>
      <c r="F169" s="1"/>
      <c r="G169" s="13">
        <v>40106</v>
      </c>
      <c r="H169" s="13">
        <v>39630</v>
      </c>
      <c r="I169" s="13">
        <v>42135</v>
      </c>
      <c r="J169" s="13"/>
      <c r="K169" s="1">
        <f t="shared" si="45"/>
        <v>476</v>
      </c>
      <c r="L169" s="1">
        <f t="shared" si="46"/>
        <v>476</v>
      </c>
      <c r="M169" s="1">
        <f t="shared" si="47"/>
        <v>2029</v>
      </c>
      <c r="N169" s="1" t="s">
        <v>417</v>
      </c>
      <c r="O169" s="1">
        <v>6.4</v>
      </c>
      <c r="P169" s="1">
        <f t="shared" ref="P169:P232" si="62">IF(M169&gt;=540,1,"nulo")</f>
        <v>1</v>
      </c>
      <c r="Q169" s="1">
        <f t="shared" ref="Q169:Q232" si="63">IF(M169&gt;=360,1,"nulo")</f>
        <v>1</v>
      </c>
      <c r="R169" s="1">
        <f t="shared" ref="R169:R232" si="64">IF(M169&gt;=180,1,"nulo")</f>
        <v>1</v>
      </c>
      <c r="S169" s="1">
        <f t="shared" ref="S169:S232" si="65">IF(M169&gt;=90,1,"nulo")</f>
        <v>1</v>
      </c>
      <c r="T169" s="1" t="s">
        <v>437</v>
      </c>
      <c r="U169" s="1"/>
      <c r="V169" s="1"/>
      <c r="W169" s="1"/>
      <c r="X169" s="1"/>
      <c r="Y169" s="1">
        <v>0</v>
      </c>
      <c r="Z169" s="1">
        <v>0</v>
      </c>
      <c r="AA169" s="1"/>
      <c r="AB169" s="1">
        <v>0</v>
      </c>
      <c r="AC169" s="1">
        <v>0</v>
      </c>
      <c r="AD169" s="1">
        <v>60</v>
      </c>
      <c r="AE169" s="1" t="s">
        <v>417</v>
      </c>
      <c r="AF169" s="1">
        <v>3.5</v>
      </c>
      <c r="AG169" s="1">
        <v>0.35</v>
      </c>
      <c r="AH169" s="1">
        <v>3.5</v>
      </c>
      <c r="AI169" s="1">
        <v>0.35</v>
      </c>
      <c r="AJ169" s="1"/>
      <c r="AK169" s="1"/>
      <c r="AL169" s="1">
        <v>0</v>
      </c>
    </row>
    <row r="170" spans="1:38" x14ac:dyDescent="0.25">
      <c r="A170" s="181" t="s">
        <v>49</v>
      </c>
      <c r="B170" s="216">
        <v>2</v>
      </c>
      <c r="C170" s="1" t="s">
        <v>418</v>
      </c>
      <c r="D170" s="13">
        <v>39630</v>
      </c>
      <c r="E170" s="1">
        <f t="shared" si="48"/>
        <v>2505</v>
      </c>
      <c r="F170" s="1"/>
      <c r="G170" s="13">
        <v>40288</v>
      </c>
      <c r="H170" s="13">
        <f>G169</f>
        <v>40106</v>
      </c>
      <c r="I170" s="13">
        <v>42135</v>
      </c>
      <c r="J170" s="13"/>
      <c r="K170" s="1">
        <f t="shared" si="45"/>
        <v>658</v>
      </c>
      <c r="L170" s="1">
        <f t="shared" si="46"/>
        <v>182</v>
      </c>
      <c r="M170" s="1">
        <f t="shared" si="47"/>
        <v>1847</v>
      </c>
      <c r="N170" s="1" t="s">
        <v>417</v>
      </c>
      <c r="O170" s="1">
        <v>6.36</v>
      </c>
      <c r="P170" s="1">
        <f t="shared" si="62"/>
        <v>1</v>
      </c>
      <c r="Q170" s="1">
        <f t="shared" si="63"/>
        <v>1</v>
      </c>
      <c r="R170" s="1">
        <f t="shared" si="64"/>
        <v>1</v>
      </c>
      <c r="S170" s="1">
        <f t="shared" si="65"/>
        <v>1</v>
      </c>
      <c r="T170" s="1" t="s">
        <v>437</v>
      </c>
      <c r="U170" s="1"/>
      <c r="V170" s="1"/>
      <c r="W170" s="1"/>
      <c r="X170" s="1"/>
      <c r="Y170" s="1">
        <v>0</v>
      </c>
      <c r="Z170" s="1">
        <v>0</v>
      </c>
      <c r="AA170" s="1"/>
      <c r="AB170" s="1">
        <v>0</v>
      </c>
      <c r="AC170" s="1">
        <v>1</v>
      </c>
      <c r="AD170" s="1">
        <v>60</v>
      </c>
      <c r="AE170" s="1" t="s">
        <v>417</v>
      </c>
      <c r="AF170" s="1">
        <v>3.5</v>
      </c>
      <c r="AG170" s="1">
        <v>0.35</v>
      </c>
      <c r="AH170" s="1">
        <v>3</v>
      </c>
      <c r="AI170" s="1">
        <v>0.35</v>
      </c>
      <c r="AJ170" s="1"/>
      <c r="AK170" s="1"/>
      <c r="AL170" s="1">
        <v>0</v>
      </c>
    </row>
    <row r="171" spans="1:38" x14ac:dyDescent="0.25">
      <c r="A171" s="181" t="s">
        <v>49</v>
      </c>
      <c r="B171" s="216">
        <v>2</v>
      </c>
      <c r="C171" s="1" t="s">
        <v>418</v>
      </c>
      <c r="D171" s="13">
        <v>39630</v>
      </c>
      <c r="E171" s="1">
        <f t="shared" si="48"/>
        <v>2505</v>
      </c>
      <c r="F171" s="1"/>
      <c r="G171" s="13">
        <v>40484</v>
      </c>
      <c r="H171" s="13">
        <f t="shared" ref="H171:H181" si="66">G170</f>
        <v>40288</v>
      </c>
      <c r="I171" s="13">
        <v>42135</v>
      </c>
      <c r="J171" s="13"/>
      <c r="K171" s="1">
        <f t="shared" si="45"/>
        <v>854</v>
      </c>
      <c r="L171" s="1">
        <f t="shared" si="46"/>
        <v>196</v>
      </c>
      <c r="M171" s="1">
        <f t="shared" si="47"/>
        <v>1651</v>
      </c>
      <c r="N171" s="1" t="s">
        <v>417</v>
      </c>
      <c r="O171" s="1">
        <v>6.26</v>
      </c>
      <c r="P171" s="1">
        <f t="shared" si="62"/>
        <v>1</v>
      </c>
      <c r="Q171" s="1">
        <f t="shared" si="63"/>
        <v>1</v>
      </c>
      <c r="R171" s="1">
        <f t="shared" si="64"/>
        <v>1</v>
      </c>
      <c r="S171" s="1">
        <f t="shared" si="65"/>
        <v>1</v>
      </c>
      <c r="T171" s="1" t="s">
        <v>437</v>
      </c>
      <c r="U171" s="1"/>
      <c r="V171" s="1"/>
      <c r="W171" s="1"/>
      <c r="X171" s="1"/>
      <c r="Y171" s="1">
        <v>0</v>
      </c>
      <c r="Z171" s="1">
        <v>0</v>
      </c>
      <c r="AA171" s="1"/>
      <c r="AB171" s="1">
        <v>0</v>
      </c>
      <c r="AC171" s="1">
        <v>0</v>
      </c>
      <c r="AD171" s="1">
        <v>60</v>
      </c>
      <c r="AE171" s="1" t="s">
        <v>417</v>
      </c>
      <c r="AF171" s="1">
        <v>3.5</v>
      </c>
      <c r="AG171" s="1">
        <v>0.35</v>
      </c>
      <c r="AH171" s="1">
        <v>3</v>
      </c>
      <c r="AI171" s="1">
        <v>0.35</v>
      </c>
      <c r="AJ171" s="1"/>
      <c r="AK171" s="1"/>
      <c r="AL171" s="1">
        <v>0</v>
      </c>
    </row>
    <row r="172" spans="1:38" x14ac:dyDescent="0.25">
      <c r="A172" s="181" t="s">
        <v>49</v>
      </c>
      <c r="B172" s="1">
        <v>2</v>
      </c>
      <c r="C172" s="1" t="s">
        <v>418</v>
      </c>
      <c r="D172" s="13">
        <v>39630</v>
      </c>
      <c r="E172" s="174">
        <f t="shared" si="48"/>
        <v>2505</v>
      </c>
      <c r="F172" s="201"/>
      <c r="G172" s="13">
        <v>40666</v>
      </c>
      <c r="H172" s="13">
        <f t="shared" si="66"/>
        <v>40484</v>
      </c>
      <c r="I172" s="13">
        <v>42135</v>
      </c>
      <c r="J172" s="13"/>
      <c r="K172" s="1">
        <f t="shared" si="45"/>
        <v>1036</v>
      </c>
      <c r="L172" s="1">
        <f t="shared" si="46"/>
        <v>182</v>
      </c>
      <c r="M172" s="1">
        <f t="shared" si="47"/>
        <v>1469</v>
      </c>
      <c r="N172" s="1" t="s">
        <v>417</v>
      </c>
      <c r="O172" s="1">
        <v>6.1</v>
      </c>
      <c r="P172" s="1">
        <f t="shared" si="62"/>
        <v>1</v>
      </c>
      <c r="Q172" s="1">
        <f t="shared" si="63"/>
        <v>1</v>
      </c>
      <c r="R172" s="1">
        <f t="shared" si="64"/>
        <v>1</v>
      </c>
      <c r="S172" s="1">
        <f t="shared" si="65"/>
        <v>1</v>
      </c>
      <c r="T172" s="1" t="s">
        <v>437</v>
      </c>
      <c r="U172" s="1"/>
      <c r="V172" s="1"/>
      <c r="W172" s="1"/>
      <c r="X172" s="1"/>
      <c r="Y172" s="1">
        <v>0</v>
      </c>
      <c r="Z172" s="1">
        <v>0</v>
      </c>
      <c r="AA172" s="1"/>
      <c r="AB172" s="1">
        <v>0</v>
      </c>
      <c r="AC172" s="1">
        <v>0</v>
      </c>
      <c r="AD172" s="172">
        <v>60</v>
      </c>
      <c r="AE172" s="1" t="s">
        <v>417</v>
      </c>
      <c r="AF172" s="1">
        <v>2</v>
      </c>
      <c r="AG172" s="1">
        <v>0.35</v>
      </c>
      <c r="AH172" s="1">
        <v>3</v>
      </c>
      <c r="AI172" s="1">
        <v>0.35</v>
      </c>
      <c r="AJ172" s="1"/>
      <c r="AK172" s="1"/>
      <c r="AL172" s="1">
        <v>0</v>
      </c>
    </row>
    <row r="173" spans="1:38" x14ac:dyDescent="0.25">
      <c r="A173" s="181" t="s">
        <v>49</v>
      </c>
      <c r="B173" s="1">
        <v>2</v>
      </c>
      <c r="C173" s="1" t="s">
        <v>418</v>
      </c>
      <c r="D173" s="13">
        <v>39630</v>
      </c>
      <c r="E173" s="174">
        <f t="shared" si="48"/>
        <v>2505</v>
      </c>
      <c r="F173" s="201"/>
      <c r="G173" s="13">
        <v>40869</v>
      </c>
      <c r="H173" s="13">
        <f t="shared" si="66"/>
        <v>40666</v>
      </c>
      <c r="I173" s="13">
        <v>42135</v>
      </c>
      <c r="J173" s="13"/>
      <c r="K173" s="1">
        <f t="shared" si="45"/>
        <v>1239</v>
      </c>
      <c r="L173" s="1">
        <f t="shared" si="46"/>
        <v>203</v>
      </c>
      <c r="M173" s="1">
        <f t="shared" si="47"/>
        <v>1266</v>
      </c>
      <c r="N173" s="1" t="s">
        <v>417</v>
      </c>
      <c r="O173" s="1">
        <v>5.88</v>
      </c>
      <c r="P173" s="1">
        <f t="shared" si="62"/>
        <v>1</v>
      </c>
      <c r="Q173" s="1">
        <f t="shared" si="63"/>
        <v>1</v>
      </c>
      <c r="R173" s="1">
        <f t="shared" si="64"/>
        <v>1</v>
      </c>
      <c r="S173" s="1">
        <f t="shared" si="65"/>
        <v>1</v>
      </c>
      <c r="T173" s="1" t="s">
        <v>437</v>
      </c>
      <c r="U173" s="1"/>
      <c r="V173" s="1"/>
      <c r="W173" s="1"/>
      <c r="X173" s="1"/>
      <c r="Y173" s="1">
        <v>1</v>
      </c>
      <c r="Z173" s="1">
        <v>0</v>
      </c>
      <c r="AA173" s="1"/>
      <c r="AB173" s="1">
        <v>0</v>
      </c>
      <c r="AC173" s="1">
        <v>1</v>
      </c>
      <c r="AD173" s="172">
        <v>60</v>
      </c>
      <c r="AE173" s="1" t="s">
        <v>417</v>
      </c>
      <c r="AF173" s="1">
        <v>2</v>
      </c>
      <c r="AG173" s="1">
        <v>0.35</v>
      </c>
      <c r="AH173" s="1">
        <v>3</v>
      </c>
      <c r="AI173" s="1">
        <v>0.35</v>
      </c>
      <c r="AJ173" s="1"/>
      <c r="AK173" s="1"/>
      <c r="AL173" s="1">
        <v>0</v>
      </c>
    </row>
    <row r="174" spans="1:38" x14ac:dyDescent="0.25">
      <c r="A174" s="181" t="s">
        <v>49</v>
      </c>
      <c r="B174" s="1">
        <v>2</v>
      </c>
      <c r="C174" s="1" t="s">
        <v>418</v>
      </c>
      <c r="D174" s="13">
        <v>39630</v>
      </c>
      <c r="E174" s="174">
        <f t="shared" si="48"/>
        <v>2505</v>
      </c>
      <c r="F174" s="201"/>
      <c r="G174" s="13">
        <v>41058</v>
      </c>
      <c r="H174" s="13">
        <f t="shared" si="66"/>
        <v>40869</v>
      </c>
      <c r="I174" s="13">
        <v>42135</v>
      </c>
      <c r="J174" s="13"/>
      <c r="K174" s="1">
        <f t="shared" si="45"/>
        <v>1428</v>
      </c>
      <c r="L174" s="1">
        <f t="shared" si="46"/>
        <v>189</v>
      </c>
      <c r="M174" s="1">
        <f t="shared" si="47"/>
        <v>1077</v>
      </c>
      <c r="N174" s="1" t="s">
        <v>417</v>
      </c>
      <c r="O174" s="1">
        <v>5.47</v>
      </c>
      <c r="P174" s="1">
        <f t="shared" si="62"/>
        <v>1</v>
      </c>
      <c r="Q174" s="1">
        <f t="shared" si="63"/>
        <v>1</v>
      </c>
      <c r="R174" s="1">
        <f t="shared" si="64"/>
        <v>1</v>
      </c>
      <c r="S174" s="1">
        <f t="shared" si="65"/>
        <v>1</v>
      </c>
      <c r="T174" s="1" t="s">
        <v>437</v>
      </c>
      <c r="U174" s="1"/>
      <c r="V174" s="1"/>
      <c r="W174" s="1"/>
      <c r="X174" s="1"/>
      <c r="Y174" s="1">
        <v>2</v>
      </c>
      <c r="Z174" s="1">
        <v>0</v>
      </c>
      <c r="AA174" s="1"/>
      <c r="AB174" s="1">
        <v>0</v>
      </c>
      <c r="AC174" s="1">
        <v>1</v>
      </c>
      <c r="AD174" s="172">
        <v>60</v>
      </c>
      <c r="AE174" s="1" t="s">
        <v>417</v>
      </c>
      <c r="AF174" s="1">
        <v>2</v>
      </c>
      <c r="AG174" s="1">
        <v>0.35</v>
      </c>
      <c r="AH174" s="1">
        <v>3</v>
      </c>
      <c r="AI174" s="1">
        <v>0.35</v>
      </c>
      <c r="AJ174" s="1"/>
      <c r="AK174" s="1"/>
      <c r="AL174" s="1">
        <v>0</v>
      </c>
    </row>
    <row r="175" spans="1:38" x14ac:dyDescent="0.25">
      <c r="A175" s="181" t="s">
        <v>49</v>
      </c>
      <c r="B175" s="1">
        <v>2</v>
      </c>
      <c r="C175" s="1" t="s">
        <v>418</v>
      </c>
      <c r="D175" s="13">
        <v>39630</v>
      </c>
      <c r="E175" s="174">
        <f t="shared" si="48"/>
        <v>2505</v>
      </c>
      <c r="F175" s="201"/>
      <c r="G175" s="13">
        <v>41212</v>
      </c>
      <c r="H175" s="13">
        <f t="shared" si="66"/>
        <v>41058</v>
      </c>
      <c r="I175" s="13">
        <v>42135</v>
      </c>
      <c r="J175" s="13"/>
      <c r="K175" s="1">
        <f t="shared" si="45"/>
        <v>1582</v>
      </c>
      <c r="L175" s="1">
        <f t="shared" si="46"/>
        <v>154</v>
      </c>
      <c r="M175" s="1">
        <f t="shared" si="47"/>
        <v>923</v>
      </c>
      <c r="N175" s="1" t="s">
        <v>417</v>
      </c>
      <c r="O175" s="1">
        <v>5.28</v>
      </c>
      <c r="P175" s="1">
        <f t="shared" si="62"/>
        <v>1</v>
      </c>
      <c r="Q175" s="1">
        <f t="shared" si="63"/>
        <v>1</v>
      </c>
      <c r="R175" s="1">
        <f t="shared" si="64"/>
        <v>1</v>
      </c>
      <c r="S175" s="1">
        <f t="shared" si="65"/>
        <v>1</v>
      </c>
      <c r="T175" s="1" t="s">
        <v>437</v>
      </c>
      <c r="U175" s="1"/>
      <c r="V175" s="1"/>
      <c r="W175" s="1"/>
      <c r="X175" s="1"/>
      <c r="Y175" s="1">
        <v>3</v>
      </c>
      <c r="Z175" s="1">
        <v>0</v>
      </c>
      <c r="AA175" s="1"/>
      <c r="AB175" s="1">
        <v>0</v>
      </c>
      <c r="AC175" s="1">
        <v>1</v>
      </c>
      <c r="AD175" s="172">
        <v>60</v>
      </c>
      <c r="AE175" s="1" t="s">
        <v>417</v>
      </c>
      <c r="AF175" s="1">
        <v>2</v>
      </c>
      <c r="AG175" s="1">
        <v>0.35</v>
      </c>
      <c r="AH175" s="1">
        <v>3</v>
      </c>
      <c r="AI175" s="1">
        <v>0.35</v>
      </c>
      <c r="AJ175" s="1"/>
      <c r="AK175" s="1"/>
      <c r="AL175" s="1">
        <v>0</v>
      </c>
    </row>
    <row r="176" spans="1:38" x14ac:dyDescent="0.25">
      <c r="A176" s="181" t="s">
        <v>49</v>
      </c>
      <c r="B176" s="1">
        <v>2</v>
      </c>
      <c r="C176" s="1" t="s">
        <v>418</v>
      </c>
      <c r="D176" s="13">
        <v>39630</v>
      </c>
      <c r="E176" s="174">
        <f t="shared" si="48"/>
        <v>2505</v>
      </c>
      <c r="F176" s="201"/>
      <c r="G176" s="13">
        <v>41394</v>
      </c>
      <c r="H176" s="13">
        <f t="shared" si="66"/>
        <v>41212</v>
      </c>
      <c r="I176" s="13">
        <v>42135</v>
      </c>
      <c r="J176" s="13"/>
      <c r="K176" s="1">
        <f t="shared" si="45"/>
        <v>1764</v>
      </c>
      <c r="L176" s="1">
        <f t="shared" si="46"/>
        <v>182</v>
      </c>
      <c r="M176" s="1">
        <f t="shared" si="47"/>
        <v>741</v>
      </c>
      <c r="N176" s="1" t="s">
        <v>417</v>
      </c>
      <c r="O176" s="1">
        <v>5.18</v>
      </c>
      <c r="P176" s="1">
        <f t="shared" si="62"/>
        <v>1</v>
      </c>
      <c r="Q176" s="1">
        <f t="shared" si="63"/>
        <v>1</v>
      </c>
      <c r="R176" s="1">
        <f t="shared" si="64"/>
        <v>1</v>
      </c>
      <c r="S176" s="1">
        <f t="shared" si="65"/>
        <v>1</v>
      </c>
      <c r="T176" s="1" t="s">
        <v>437</v>
      </c>
      <c r="U176" s="1"/>
      <c r="V176" s="1"/>
      <c r="W176" s="1"/>
      <c r="X176" s="1"/>
      <c r="Y176" s="1">
        <v>2</v>
      </c>
      <c r="Z176" s="1">
        <v>0</v>
      </c>
      <c r="AA176" s="1"/>
      <c r="AB176" s="1">
        <v>0</v>
      </c>
      <c r="AC176" s="1">
        <v>0</v>
      </c>
      <c r="AD176" s="172">
        <v>60</v>
      </c>
      <c r="AE176" s="1" t="s">
        <v>417</v>
      </c>
      <c r="AF176" s="1">
        <v>2</v>
      </c>
      <c r="AG176" s="1">
        <v>0.35</v>
      </c>
      <c r="AH176" s="1">
        <v>3</v>
      </c>
      <c r="AI176" s="1">
        <v>0.35</v>
      </c>
      <c r="AJ176" s="1"/>
      <c r="AK176" s="1"/>
      <c r="AL176" s="1">
        <v>0</v>
      </c>
    </row>
    <row r="177" spans="1:38" x14ac:dyDescent="0.25">
      <c r="A177" s="181" t="s">
        <v>49</v>
      </c>
      <c r="B177" s="216">
        <v>2</v>
      </c>
      <c r="C177" s="1" t="s">
        <v>418</v>
      </c>
      <c r="D177" s="13">
        <v>39630</v>
      </c>
      <c r="E177" s="1">
        <f t="shared" si="48"/>
        <v>2505</v>
      </c>
      <c r="F177" s="1"/>
      <c r="G177" s="13">
        <v>41486</v>
      </c>
      <c r="H177" s="13">
        <f t="shared" si="66"/>
        <v>41394</v>
      </c>
      <c r="I177" s="13">
        <v>42135</v>
      </c>
      <c r="J177" s="13"/>
      <c r="K177" s="1">
        <f t="shared" si="45"/>
        <v>1856</v>
      </c>
      <c r="L177" s="1">
        <f t="shared" si="46"/>
        <v>92</v>
      </c>
      <c r="M177" s="1">
        <f t="shared" si="47"/>
        <v>649</v>
      </c>
      <c r="N177" s="1" t="s">
        <v>417</v>
      </c>
      <c r="O177" s="1">
        <v>5.17</v>
      </c>
      <c r="P177" s="1">
        <f t="shared" si="62"/>
        <v>1</v>
      </c>
      <c r="Q177" s="1">
        <f t="shared" si="63"/>
        <v>1</v>
      </c>
      <c r="R177" s="1">
        <f t="shared" si="64"/>
        <v>1</v>
      </c>
      <c r="S177" s="1">
        <f t="shared" si="65"/>
        <v>1</v>
      </c>
      <c r="T177" s="1" t="s">
        <v>437</v>
      </c>
      <c r="U177" s="1"/>
      <c r="V177" s="1"/>
      <c r="W177" s="1"/>
      <c r="X177" s="1"/>
      <c r="Y177" s="1">
        <v>3</v>
      </c>
      <c r="Z177" s="1">
        <v>0</v>
      </c>
      <c r="AA177" s="1"/>
      <c r="AB177" s="1">
        <v>0</v>
      </c>
      <c r="AC177" s="1">
        <v>1</v>
      </c>
      <c r="AD177" s="1">
        <v>60</v>
      </c>
      <c r="AE177" s="1" t="s">
        <v>417</v>
      </c>
      <c r="AF177" s="1">
        <v>3.5</v>
      </c>
      <c r="AG177" s="1">
        <v>0.35</v>
      </c>
      <c r="AH177" s="1">
        <v>2.5</v>
      </c>
      <c r="AI177" s="1">
        <v>0.35</v>
      </c>
      <c r="AJ177" s="1"/>
      <c r="AK177" s="1"/>
      <c r="AL177" s="1">
        <v>0</v>
      </c>
    </row>
    <row r="178" spans="1:38" x14ac:dyDescent="0.25">
      <c r="A178" s="181" t="s">
        <v>49</v>
      </c>
      <c r="B178" s="1">
        <v>2</v>
      </c>
      <c r="C178" s="1" t="s">
        <v>418</v>
      </c>
      <c r="D178" s="13">
        <v>39630</v>
      </c>
      <c r="E178" s="174">
        <f t="shared" si="48"/>
        <v>2505</v>
      </c>
      <c r="F178" s="201"/>
      <c r="G178" s="13">
        <v>41660</v>
      </c>
      <c r="H178" s="13">
        <f t="shared" si="66"/>
        <v>41486</v>
      </c>
      <c r="I178" s="13">
        <v>42135</v>
      </c>
      <c r="J178" s="13"/>
      <c r="K178" s="1">
        <f t="shared" si="45"/>
        <v>2030</v>
      </c>
      <c r="L178" s="1">
        <f t="shared" si="46"/>
        <v>174</v>
      </c>
      <c r="M178" s="1">
        <f t="shared" si="47"/>
        <v>475</v>
      </c>
      <c r="N178" s="1" t="s">
        <v>417</v>
      </c>
      <c r="O178" s="1">
        <v>5.15</v>
      </c>
      <c r="P178" s="1"/>
      <c r="Q178" s="1">
        <f t="shared" si="63"/>
        <v>1</v>
      </c>
      <c r="R178" s="1">
        <f t="shared" si="64"/>
        <v>1</v>
      </c>
      <c r="S178" s="1">
        <f t="shared" si="65"/>
        <v>1</v>
      </c>
      <c r="T178" s="1" t="s">
        <v>442</v>
      </c>
      <c r="U178" s="1"/>
      <c r="V178" s="1"/>
      <c r="W178" s="1"/>
      <c r="X178" s="1"/>
      <c r="Y178" s="1">
        <v>2</v>
      </c>
      <c r="Z178" s="1">
        <v>0</v>
      </c>
      <c r="AA178" s="1"/>
      <c r="AB178" s="1">
        <v>0</v>
      </c>
      <c r="AC178" s="1">
        <v>1</v>
      </c>
      <c r="AD178" s="172">
        <v>60</v>
      </c>
      <c r="AE178" s="1" t="s">
        <v>417</v>
      </c>
      <c r="AF178" s="1">
        <v>2</v>
      </c>
      <c r="AG178" s="1">
        <v>0.35</v>
      </c>
      <c r="AH178" s="1">
        <v>2.5</v>
      </c>
      <c r="AI178" s="1">
        <v>0.35</v>
      </c>
      <c r="AJ178" s="1"/>
      <c r="AK178" s="1"/>
      <c r="AL178" s="1">
        <v>0</v>
      </c>
    </row>
    <row r="179" spans="1:38" x14ac:dyDescent="0.25">
      <c r="A179" s="181" t="s">
        <v>49</v>
      </c>
      <c r="B179" s="1">
        <v>2</v>
      </c>
      <c r="C179" s="1" t="s">
        <v>418</v>
      </c>
      <c r="D179" s="13">
        <v>39630</v>
      </c>
      <c r="E179" s="174">
        <f t="shared" si="48"/>
        <v>2505</v>
      </c>
      <c r="F179" s="201"/>
      <c r="G179" s="13">
        <v>41813</v>
      </c>
      <c r="H179" s="13">
        <f t="shared" si="66"/>
        <v>41660</v>
      </c>
      <c r="I179" s="13">
        <v>42135</v>
      </c>
      <c r="J179" s="13"/>
      <c r="K179" s="1">
        <f t="shared" si="45"/>
        <v>2183</v>
      </c>
      <c r="L179" s="1">
        <f t="shared" si="46"/>
        <v>153</v>
      </c>
      <c r="M179" s="1">
        <f t="shared" si="47"/>
        <v>322</v>
      </c>
      <c r="N179" s="1" t="s">
        <v>417</v>
      </c>
      <c r="O179" s="1">
        <v>5.14</v>
      </c>
      <c r="P179" s="1"/>
      <c r="Q179" s="1"/>
      <c r="R179" s="1">
        <f t="shared" si="64"/>
        <v>1</v>
      </c>
      <c r="S179" s="1">
        <f t="shared" si="65"/>
        <v>1</v>
      </c>
      <c r="T179" s="1" t="s">
        <v>442</v>
      </c>
      <c r="U179" s="1"/>
      <c r="V179" s="1"/>
      <c r="W179" s="1"/>
      <c r="X179" s="1"/>
      <c r="Y179" s="1">
        <v>1</v>
      </c>
      <c r="Z179" s="1">
        <v>0</v>
      </c>
      <c r="AA179" s="1"/>
      <c r="AB179" s="1">
        <v>0</v>
      </c>
      <c r="AC179" s="1">
        <v>1</v>
      </c>
      <c r="AD179" s="172">
        <v>60</v>
      </c>
      <c r="AE179" s="1" t="s">
        <v>417</v>
      </c>
      <c r="AF179" s="1">
        <v>2</v>
      </c>
      <c r="AG179" s="1">
        <v>0.35</v>
      </c>
      <c r="AH179" s="1">
        <v>2.5</v>
      </c>
      <c r="AI179" s="1">
        <v>0.35</v>
      </c>
      <c r="AJ179" s="1"/>
      <c r="AK179" s="1"/>
      <c r="AL179" s="1">
        <v>0</v>
      </c>
    </row>
    <row r="180" spans="1:38" x14ac:dyDescent="0.25">
      <c r="A180" s="181" t="s">
        <v>49</v>
      </c>
      <c r="B180" s="1">
        <v>2</v>
      </c>
      <c r="C180" s="1" t="s">
        <v>418</v>
      </c>
      <c r="D180" s="13">
        <v>39630</v>
      </c>
      <c r="E180" s="174">
        <f t="shared" si="48"/>
        <v>2505</v>
      </c>
      <c r="F180" s="201"/>
      <c r="G180" s="13">
        <v>41967</v>
      </c>
      <c r="H180" s="13">
        <f t="shared" si="66"/>
        <v>41813</v>
      </c>
      <c r="I180" s="13">
        <v>42135</v>
      </c>
      <c r="J180" s="13"/>
      <c r="K180" s="1">
        <f t="shared" si="45"/>
        <v>2337</v>
      </c>
      <c r="L180" s="1">
        <f t="shared" si="46"/>
        <v>154</v>
      </c>
      <c r="M180" s="1">
        <f t="shared" si="47"/>
        <v>168</v>
      </c>
      <c r="N180" s="1" t="s">
        <v>417</v>
      </c>
      <c r="O180" s="1">
        <v>5.13</v>
      </c>
      <c r="P180" s="1"/>
      <c r="Q180" s="1"/>
      <c r="R180" s="1"/>
      <c r="S180" s="1">
        <f t="shared" si="65"/>
        <v>1</v>
      </c>
      <c r="T180" s="1" t="s">
        <v>442</v>
      </c>
      <c r="U180" s="1"/>
      <c r="V180" s="1"/>
      <c r="W180" s="1"/>
      <c r="X180" s="1"/>
      <c r="Y180" s="1">
        <v>2</v>
      </c>
      <c r="Z180" s="1">
        <v>0</v>
      </c>
      <c r="AA180" s="1"/>
      <c r="AB180" s="1">
        <v>0</v>
      </c>
      <c r="AC180" s="1">
        <v>0</v>
      </c>
      <c r="AD180" s="172">
        <v>60</v>
      </c>
      <c r="AE180" s="1" t="s">
        <v>417</v>
      </c>
      <c r="AF180" s="1">
        <v>2</v>
      </c>
      <c r="AG180" s="1">
        <v>0.35</v>
      </c>
      <c r="AH180" s="1">
        <v>2.5</v>
      </c>
      <c r="AI180" s="1">
        <v>0.35</v>
      </c>
      <c r="AJ180" s="1"/>
      <c r="AK180" s="1"/>
      <c r="AL180" s="1">
        <v>0</v>
      </c>
    </row>
    <row r="181" spans="1:38" x14ac:dyDescent="0.25">
      <c r="A181" s="181" t="s">
        <v>49</v>
      </c>
      <c r="B181" s="216">
        <v>2</v>
      </c>
      <c r="C181" s="1" t="s">
        <v>418</v>
      </c>
      <c r="D181" s="13">
        <v>39630</v>
      </c>
      <c r="E181" s="1">
        <f t="shared" si="48"/>
        <v>2505</v>
      </c>
      <c r="F181" s="1"/>
      <c r="G181" s="13">
        <v>42135</v>
      </c>
      <c r="H181" s="13">
        <f t="shared" si="66"/>
        <v>41967</v>
      </c>
      <c r="I181" s="13">
        <v>42135</v>
      </c>
      <c r="J181" s="13"/>
      <c r="K181" s="1">
        <f t="shared" si="45"/>
        <v>2505</v>
      </c>
      <c r="L181" s="1">
        <f t="shared" si="46"/>
        <v>168</v>
      </c>
      <c r="M181" s="1">
        <f t="shared" si="47"/>
        <v>0</v>
      </c>
      <c r="N181" s="1" t="s">
        <v>417</v>
      </c>
      <c r="O181" s="1">
        <v>5.07</v>
      </c>
      <c r="P181" s="1"/>
      <c r="Q181" s="1"/>
      <c r="R181" s="1"/>
      <c r="S181" s="1"/>
      <c r="T181" s="1"/>
      <c r="U181" s="1"/>
      <c r="V181" s="1"/>
      <c r="W181" s="1"/>
      <c r="X181" s="1"/>
      <c r="Y181" s="1">
        <v>1</v>
      </c>
      <c r="Z181" s="1">
        <v>0</v>
      </c>
      <c r="AA181" s="1"/>
      <c r="AB181" s="1">
        <v>0</v>
      </c>
      <c r="AC181" s="1">
        <v>0</v>
      </c>
      <c r="AD181" s="1">
        <v>60</v>
      </c>
      <c r="AE181" s="1" t="s">
        <v>417</v>
      </c>
      <c r="AF181" s="1">
        <v>3.5</v>
      </c>
      <c r="AG181" s="1">
        <v>0.35</v>
      </c>
      <c r="AH181" s="1">
        <v>2.5</v>
      </c>
      <c r="AI181" s="1">
        <v>0.35</v>
      </c>
      <c r="AJ181" s="1"/>
      <c r="AK181" s="1"/>
      <c r="AL181" s="1">
        <v>0</v>
      </c>
    </row>
    <row r="182" spans="1:38" x14ac:dyDescent="0.25">
      <c r="A182" s="188" t="s">
        <v>71</v>
      </c>
      <c r="B182" s="1">
        <v>2</v>
      </c>
      <c r="C182" s="1" t="s">
        <v>418</v>
      </c>
      <c r="D182" s="13">
        <v>39909</v>
      </c>
      <c r="E182" s="1">
        <f t="shared" si="48"/>
        <v>2261</v>
      </c>
      <c r="F182" s="1"/>
      <c r="G182" s="13">
        <v>40253</v>
      </c>
      <c r="H182" s="13">
        <v>39909</v>
      </c>
      <c r="I182" s="13">
        <v>42170</v>
      </c>
      <c r="J182" s="13"/>
      <c r="K182" s="1">
        <f t="shared" si="45"/>
        <v>344</v>
      </c>
      <c r="L182" s="1">
        <f t="shared" si="46"/>
        <v>344</v>
      </c>
      <c r="M182" s="1">
        <f t="shared" si="47"/>
        <v>1917</v>
      </c>
      <c r="N182" s="1" t="s">
        <v>417</v>
      </c>
      <c r="O182" s="1">
        <v>6.46</v>
      </c>
      <c r="P182" s="1">
        <f t="shared" si="62"/>
        <v>1</v>
      </c>
      <c r="Q182" s="1">
        <f t="shared" si="63"/>
        <v>1</v>
      </c>
      <c r="R182" s="1">
        <f t="shared" si="64"/>
        <v>1</v>
      </c>
      <c r="S182" s="1">
        <f t="shared" si="65"/>
        <v>1</v>
      </c>
      <c r="T182" s="1" t="s">
        <v>437</v>
      </c>
      <c r="U182" s="1"/>
      <c r="V182" s="1"/>
      <c r="W182" s="1"/>
      <c r="X182" s="1"/>
      <c r="Y182" s="1">
        <v>2</v>
      </c>
      <c r="Z182" s="1">
        <v>0</v>
      </c>
      <c r="AA182" s="1"/>
      <c r="AB182" s="1">
        <v>0</v>
      </c>
      <c r="AC182" s="1">
        <v>1</v>
      </c>
      <c r="AD182" s="1">
        <v>50</v>
      </c>
      <c r="AE182" s="1" t="s">
        <v>417</v>
      </c>
      <c r="AF182" s="1">
        <v>2.5</v>
      </c>
      <c r="AG182" s="1">
        <v>0.35</v>
      </c>
      <c r="AH182" s="1">
        <v>2.5</v>
      </c>
      <c r="AI182" s="1">
        <v>0.35</v>
      </c>
      <c r="AJ182" s="1"/>
      <c r="AK182" s="1"/>
      <c r="AL182" s="1">
        <v>0</v>
      </c>
    </row>
    <row r="183" spans="1:38" x14ac:dyDescent="0.25">
      <c r="A183" s="188" t="s">
        <v>71</v>
      </c>
      <c r="B183" s="1">
        <v>2</v>
      </c>
      <c r="C183" s="1" t="s">
        <v>418</v>
      </c>
      <c r="D183" s="13">
        <v>39909</v>
      </c>
      <c r="E183" s="1">
        <f t="shared" si="48"/>
        <v>2261</v>
      </c>
      <c r="F183" s="1"/>
      <c r="G183" s="13">
        <v>40603</v>
      </c>
      <c r="H183" s="13">
        <f>G182</f>
        <v>40253</v>
      </c>
      <c r="I183" s="13">
        <v>42170</v>
      </c>
      <c r="J183" s="13"/>
      <c r="K183" s="1">
        <f t="shared" si="45"/>
        <v>694</v>
      </c>
      <c r="L183" s="1">
        <f t="shared" si="46"/>
        <v>350</v>
      </c>
      <c r="M183" s="1">
        <f t="shared" si="47"/>
        <v>1567</v>
      </c>
      <c r="N183" s="1" t="s">
        <v>417</v>
      </c>
      <c r="O183" s="1">
        <v>6.41</v>
      </c>
      <c r="P183" s="1">
        <f t="shared" si="62"/>
        <v>1</v>
      </c>
      <c r="Q183" s="1">
        <f t="shared" si="63"/>
        <v>1</v>
      </c>
      <c r="R183" s="1">
        <f t="shared" si="64"/>
        <v>1</v>
      </c>
      <c r="S183" s="1">
        <f t="shared" si="65"/>
        <v>1</v>
      </c>
      <c r="T183" s="1" t="s">
        <v>437</v>
      </c>
      <c r="U183" s="1"/>
      <c r="V183" s="1"/>
      <c r="W183" s="1"/>
      <c r="X183" s="1"/>
      <c r="Y183" s="1">
        <v>1</v>
      </c>
      <c r="Z183" s="1">
        <v>0</v>
      </c>
      <c r="AA183" s="1"/>
      <c r="AB183" s="1">
        <v>0</v>
      </c>
      <c r="AC183" s="1">
        <v>27</v>
      </c>
      <c r="AD183" s="1">
        <v>50</v>
      </c>
      <c r="AE183" s="1" t="s">
        <v>417</v>
      </c>
      <c r="AF183" s="1">
        <v>2.5</v>
      </c>
      <c r="AG183" s="1">
        <v>0.35</v>
      </c>
      <c r="AH183" s="1">
        <v>2.5</v>
      </c>
      <c r="AI183" s="1">
        <v>0.35</v>
      </c>
      <c r="AJ183" s="1"/>
      <c r="AK183" s="1"/>
      <c r="AL183" s="1">
        <v>0</v>
      </c>
    </row>
    <row r="184" spans="1:38" x14ac:dyDescent="0.25">
      <c r="A184" s="188" t="s">
        <v>71</v>
      </c>
      <c r="B184" s="1">
        <v>2</v>
      </c>
      <c r="C184" s="1" t="s">
        <v>418</v>
      </c>
      <c r="D184" s="13">
        <v>39909</v>
      </c>
      <c r="E184" s="174">
        <f t="shared" si="48"/>
        <v>2261</v>
      </c>
      <c r="F184" s="201"/>
      <c r="G184" s="13">
        <v>40813</v>
      </c>
      <c r="H184" s="13">
        <f>G183</f>
        <v>40603</v>
      </c>
      <c r="I184" s="13">
        <v>42170</v>
      </c>
      <c r="J184" s="13"/>
      <c r="K184" s="1">
        <f t="shared" si="45"/>
        <v>904</v>
      </c>
      <c r="L184" s="1">
        <f t="shared" si="46"/>
        <v>210</v>
      </c>
      <c r="M184" s="1">
        <f t="shared" si="47"/>
        <v>1357</v>
      </c>
      <c r="N184" s="1" t="s">
        <v>417</v>
      </c>
      <c r="O184" s="1">
        <v>6.36</v>
      </c>
      <c r="P184" s="1">
        <f t="shared" si="62"/>
        <v>1</v>
      </c>
      <c r="Q184" s="1">
        <f t="shared" si="63"/>
        <v>1</v>
      </c>
      <c r="R184" s="1">
        <f t="shared" si="64"/>
        <v>1</v>
      </c>
      <c r="S184" s="1">
        <f t="shared" si="65"/>
        <v>1</v>
      </c>
      <c r="T184" s="1" t="s">
        <v>437</v>
      </c>
      <c r="U184" s="1"/>
      <c r="V184" s="1"/>
      <c r="W184" s="1"/>
      <c r="X184" s="1"/>
      <c r="Y184" s="1">
        <v>1</v>
      </c>
      <c r="Z184" s="1">
        <v>0</v>
      </c>
      <c r="AA184" s="1"/>
      <c r="AB184" s="1">
        <v>0</v>
      </c>
      <c r="AC184" s="1">
        <v>33</v>
      </c>
      <c r="AD184" s="172">
        <v>50</v>
      </c>
      <c r="AE184" s="1" t="s">
        <v>417</v>
      </c>
      <c r="AF184" s="1">
        <v>2</v>
      </c>
      <c r="AG184" s="1">
        <v>0.35</v>
      </c>
      <c r="AH184" s="1">
        <v>0.25</v>
      </c>
      <c r="AI184" s="1">
        <v>0.35</v>
      </c>
      <c r="AJ184" s="1"/>
      <c r="AK184" s="1"/>
      <c r="AL184" s="1">
        <v>0</v>
      </c>
    </row>
    <row r="185" spans="1:38" x14ac:dyDescent="0.25">
      <c r="A185" s="188" t="s">
        <v>71</v>
      </c>
      <c r="B185" s="1">
        <v>2</v>
      </c>
      <c r="C185" s="1" t="s">
        <v>418</v>
      </c>
      <c r="D185" s="13">
        <v>39909</v>
      </c>
      <c r="E185" s="174">
        <f t="shared" si="48"/>
        <v>2261</v>
      </c>
      <c r="F185" s="201"/>
      <c r="G185" s="13">
        <v>41009</v>
      </c>
      <c r="H185" s="13">
        <f t="shared" ref="H185:H191" si="67">G184</f>
        <v>40813</v>
      </c>
      <c r="I185" s="13">
        <v>42170</v>
      </c>
      <c r="J185" s="13"/>
      <c r="K185" s="1">
        <f t="shared" si="45"/>
        <v>1100</v>
      </c>
      <c r="L185" s="1">
        <f t="shared" si="46"/>
        <v>196</v>
      </c>
      <c r="M185" s="1">
        <f t="shared" si="47"/>
        <v>1161</v>
      </c>
      <c r="N185" s="1" t="s">
        <v>417</v>
      </c>
      <c r="O185" s="1">
        <v>6.17</v>
      </c>
      <c r="P185" s="1">
        <f t="shared" si="62"/>
        <v>1</v>
      </c>
      <c r="Q185" s="1">
        <f t="shared" si="63"/>
        <v>1</v>
      </c>
      <c r="R185" s="1">
        <f t="shared" si="64"/>
        <v>1</v>
      </c>
      <c r="S185" s="1">
        <f t="shared" si="65"/>
        <v>1</v>
      </c>
      <c r="T185" s="1" t="s">
        <v>437</v>
      </c>
      <c r="U185" s="1"/>
      <c r="V185" s="1"/>
      <c r="W185" s="1"/>
      <c r="X185" s="1"/>
      <c r="Y185" s="1">
        <v>1</v>
      </c>
      <c r="Z185" s="1">
        <v>0</v>
      </c>
      <c r="AA185" s="1"/>
      <c r="AB185" s="1">
        <v>0</v>
      </c>
      <c r="AC185" s="98">
        <v>17</v>
      </c>
      <c r="AD185" s="172">
        <v>50</v>
      </c>
      <c r="AE185" s="1" t="s">
        <v>417</v>
      </c>
      <c r="AF185" s="1">
        <v>2</v>
      </c>
      <c r="AG185" s="1">
        <v>0.35</v>
      </c>
      <c r="AH185" s="1">
        <v>0.25</v>
      </c>
      <c r="AI185" s="1">
        <v>0.35</v>
      </c>
      <c r="AJ185" s="1"/>
      <c r="AK185" s="1"/>
      <c r="AL185" s="1">
        <v>0</v>
      </c>
    </row>
    <row r="186" spans="1:38" x14ac:dyDescent="0.25">
      <c r="A186" s="188" t="s">
        <v>71</v>
      </c>
      <c r="B186" s="1">
        <v>2</v>
      </c>
      <c r="C186" s="1" t="s">
        <v>418</v>
      </c>
      <c r="D186" s="13">
        <v>39909</v>
      </c>
      <c r="E186" s="174">
        <f t="shared" si="48"/>
        <v>2261</v>
      </c>
      <c r="F186" s="201"/>
      <c r="G186" s="13">
        <v>41191</v>
      </c>
      <c r="H186" s="13">
        <f t="shared" si="67"/>
        <v>41009</v>
      </c>
      <c r="I186" s="13">
        <v>42170</v>
      </c>
      <c r="J186" s="13"/>
      <c r="K186" s="1">
        <f t="shared" si="45"/>
        <v>1282</v>
      </c>
      <c r="L186" s="1">
        <f t="shared" si="46"/>
        <v>182</v>
      </c>
      <c r="M186" s="1">
        <f t="shared" si="47"/>
        <v>979</v>
      </c>
      <c r="N186" s="1" t="s">
        <v>417</v>
      </c>
      <c r="O186" s="1">
        <v>5.96</v>
      </c>
      <c r="P186" s="1">
        <f t="shared" si="62"/>
        <v>1</v>
      </c>
      <c r="Q186" s="1">
        <f t="shared" si="63"/>
        <v>1</v>
      </c>
      <c r="R186" s="1">
        <f t="shared" si="64"/>
        <v>1</v>
      </c>
      <c r="S186" s="1">
        <f t="shared" si="65"/>
        <v>1</v>
      </c>
      <c r="T186" s="1" t="s">
        <v>437</v>
      </c>
      <c r="U186" s="1"/>
      <c r="V186" s="1"/>
      <c r="W186" s="1"/>
      <c r="X186" s="1"/>
      <c r="Y186" s="1">
        <v>1</v>
      </c>
      <c r="Z186" s="1">
        <v>0</v>
      </c>
      <c r="AA186" s="1"/>
      <c r="AB186" s="1">
        <v>0</v>
      </c>
      <c r="AC186" s="98">
        <v>7</v>
      </c>
      <c r="AD186" s="172">
        <v>50</v>
      </c>
      <c r="AE186" s="1" t="s">
        <v>417</v>
      </c>
      <c r="AF186" s="1">
        <v>2</v>
      </c>
      <c r="AG186" s="1">
        <v>0.35</v>
      </c>
      <c r="AH186" s="1">
        <v>0.25</v>
      </c>
      <c r="AI186" s="1">
        <v>0.35</v>
      </c>
      <c r="AJ186" s="1"/>
      <c r="AK186" s="1"/>
      <c r="AL186" s="1">
        <v>0</v>
      </c>
    </row>
    <row r="187" spans="1:38" x14ac:dyDescent="0.25">
      <c r="A187" s="188" t="s">
        <v>71</v>
      </c>
      <c r="B187" s="1">
        <v>2</v>
      </c>
      <c r="C187" s="1" t="s">
        <v>418</v>
      </c>
      <c r="D187" s="13">
        <v>39909</v>
      </c>
      <c r="E187" s="174">
        <f t="shared" si="48"/>
        <v>2261</v>
      </c>
      <c r="F187" s="201"/>
      <c r="G187" s="13">
        <v>41305</v>
      </c>
      <c r="H187" s="13">
        <f t="shared" si="67"/>
        <v>41191</v>
      </c>
      <c r="I187" s="13">
        <v>42170</v>
      </c>
      <c r="J187" s="13"/>
      <c r="K187" s="1">
        <f t="shared" si="45"/>
        <v>1396</v>
      </c>
      <c r="L187" s="1">
        <f t="shared" si="46"/>
        <v>114</v>
      </c>
      <c r="M187" s="1">
        <f t="shared" si="47"/>
        <v>865</v>
      </c>
      <c r="N187" s="1" t="s">
        <v>417</v>
      </c>
      <c r="O187" s="1">
        <v>5.89</v>
      </c>
      <c r="P187" s="1">
        <f t="shared" si="62"/>
        <v>1</v>
      </c>
      <c r="Q187" s="1">
        <f t="shared" si="63"/>
        <v>1</v>
      </c>
      <c r="R187" s="1">
        <f t="shared" si="64"/>
        <v>1</v>
      </c>
      <c r="S187" s="1">
        <f t="shared" si="65"/>
        <v>1</v>
      </c>
      <c r="T187" s="1" t="s">
        <v>437</v>
      </c>
      <c r="U187" s="1"/>
      <c r="V187" s="1"/>
      <c r="W187" s="1"/>
      <c r="X187" s="1"/>
      <c r="Y187" s="1">
        <v>1</v>
      </c>
      <c r="Z187" s="1">
        <v>1</v>
      </c>
      <c r="AA187" s="1"/>
      <c r="AB187" s="1">
        <v>0</v>
      </c>
      <c r="AC187" s="98">
        <v>3</v>
      </c>
      <c r="AD187" s="172">
        <v>50</v>
      </c>
      <c r="AE187" s="1" t="s">
        <v>417</v>
      </c>
      <c r="AF187" s="1">
        <v>2</v>
      </c>
      <c r="AG187" s="1">
        <v>0.35</v>
      </c>
      <c r="AH187" s="1">
        <v>0.25</v>
      </c>
      <c r="AI187" s="1">
        <v>0.35</v>
      </c>
      <c r="AJ187" s="1"/>
      <c r="AK187" s="1"/>
      <c r="AL187" s="1">
        <v>0</v>
      </c>
    </row>
    <row r="188" spans="1:38" x14ac:dyDescent="0.25">
      <c r="A188" s="188" t="s">
        <v>71</v>
      </c>
      <c r="B188" s="1">
        <v>2</v>
      </c>
      <c r="C188" s="1" t="s">
        <v>418</v>
      </c>
      <c r="D188" s="13">
        <v>39909</v>
      </c>
      <c r="E188" s="174">
        <f t="shared" si="48"/>
        <v>2261</v>
      </c>
      <c r="F188" s="201"/>
      <c r="G188" s="13">
        <v>41604</v>
      </c>
      <c r="H188" s="13">
        <f t="shared" si="67"/>
        <v>41305</v>
      </c>
      <c r="I188" s="13">
        <v>42170</v>
      </c>
      <c r="J188" s="13"/>
      <c r="K188" s="1">
        <f t="shared" si="45"/>
        <v>1695</v>
      </c>
      <c r="L188" s="1">
        <f t="shared" si="46"/>
        <v>299</v>
      </c>
      <c r="M188" s="1">
        <f t="shared" si="47"/>
        <v>566</v>
      </c>
      <c r="N188" s="1" t="s">
        <v>417</v>
      </c>
      <c r="O188" s="1">
        <v>5.34</v>
      </c>
      <c r="P188" s="1">
        <f t="shared" si="62"/>
        <v>1</v>
      </c>
      <c r="Q188" s="1">
        <f t="shared" si="63"/>
        <v>1</v>
      </c>
      <c r="R188" s="1">
        <f t="shared" si="64"/>
        <v>1</v>
      </c>
      <c r="S188" s="1">
        <f t="shared" si="65"/>
        <v>1</v>
      </c>
      <c r="T188" s="1" t="s">
        <v>437</v>
      </c>
      <c r="U188" s="1"/>
      <c r="V188" s="1"/>
      <c r="W188" s="1"/>
      <c r="X188" s="1"/>
      <c r="Y188" s="1">
        <v>1</v>
      </c>
      <c r="Z188" s="1">
        <v>0</v>
      </c>
      <c r="AA188" s="1"/>
      <c r="AB188" s="1">
        <v>0</v>
      </c>
      <c r="AC188" s="98">
        <v>0</v>
      </c>
      <c r="AD188" s="172">
        <v>50</v>
      </c>
      <c r="AE188" s="1" t="s">
        <v>417</v>
      </c>
      <c r="AF188" s="1">
        <v>2</v>
      </c>
      <c r="AG188" s="1">
        <v>0.35</v>
      </c>
      <c r="AH188" s="1">
        <v>0.25</v>
      </c>
      <c r="AI188" s="1">
        <v>0.35</v>
      </c>
      <c r="AJ188" s="1"/>
      <c r="AK188" s="1"/>
      <c r="AL188" s="1">
        <v>0</v>
      </c>
    </row>
    <row r="189" spans="1:38" x14ac:dyDescent="0.25">
      <c r="A189" s="188" t="s">
        <v>71</v>
      </c>
      <c r="B189" s="1">
        <v>2</v>
      </c>
      <c r="C189" s="1" t="s">
        <v>418</v>
      </c>
      <c r="D189" s="13">
        <v>39909</v>
      </c>
      <c r="E189" s="174">
        <f t="shared" si="48"/>
        <v>2261</v>
      </c>
      <c r="F189" s="201"/>
      <c r="G189" s="13">
        <v>41786</v>
      </c>
      <c r="H189" s="13">
        <f t="shared" si="67"/>
        <v>41604</v>
      </c>
      <c r="I189" s="13">
        <v>42170</v>
      </c>
      <c r="J189" s="13"/>
      <c r="K189" s="1">
        <f t="shared" si="45"/>
        <v>1877</v>
      </c>
      <c r="L189" s="1">
        <f t="shared" si="46"/>
        <v>182</v>
      </c>
      <c r="M189" s="1">
        <f t="shared" si="47"/>
        <v>384</v>
      </c>
      <c r="N189" s="1" t="s">
        <v>417</v>
      </c>
      <c r="O189" s="1">
        <v>5.28</v>
      </c>
      <c r="P189" s="1"/>
      <c r="Q189" s="1">
        <f t="shared" si="63"/>
        <v>1</v>
      </c>
      <c r="R189" s="1">
        <f t="shared" si="64"/>
        <v>1</v>
      </c>
      <c r="S189" s="1">
        <f t="shared" si="65"/>
        <v>1</v>
      </c>
      <c r="T189" s="1" t="s">
        <v>442</v>
      </c>
      <c r="U189" s="1"/>
      <c r="V189" s="1"/>
      <c r="W189" s="1"/>
      <c r="X189" s="1"/>
      <c r="Y189" s="1">
        <v>1</v>
      </c>
      <c r="Z189" s="1">
        <v>0</v>
      </c>
      <c r="AA189" s="1"/>
      <c r="AB189" s="1">
        <v>0</v>
      </c>
      <c r="AC189" s="98">
        <v>0</v>
      </c>
      <c r="AD189" s="172">
        <v>50</v>
      </c>
      <c r="AE189" s="1" t="s">
        <v>417</v>
      </c>
      <c r="AF189" s="1">
        <v>2</v>
      </c>
      <c r="AG189" s="1">
        <v>0.35</v>
      </c>
      <c r="AH189" s="1">
        <v>0.25</v>
      </c>
      <c r="AI189" s="1">
        <v>0.35</v>
      </c>
      <c r="AJ189" s="1"/>
      <c r="AK189" s="1"/>
      <c r="AL189" s="1">
        <v>0</v>
      </c>
    </row>
    <row r="190" spans="1:38" x14ac:dyDescent="0.25">
      <c r="A190" s="188" t="s">
        <v>71</v>
      </c>
      <c r="B190" s="1">
        <v>2</v>
      </c>
      <c r="C190" s="1" t="s">
        <v>418</v>
      </c>
      <c r="D190" s="13">
        <v>39909</v>
      </c>
      <c r="E190" s="174">
        <f t="shared" si="48"/>
        <v>2261</v>
      </c>
      <c r="F190" s="201"/>
      <c r="G190" s="13">
        <v>42031</v>
      </c>
      <c r="H190" s="13">
        <f t="shared" si="67"/>
        <v>41786</v>
      </c>
      <c r="I190" s="13">
        <v>42170</v>
      </c>
      <c r="J190" s="13"/>
      <c r="K190" s="1">
        <f t="shared" si="45"/>
        <v>2122</v>
      </c>
      <c r="L190" s="1">
        <f t="shared" si="46"/>
        <v>245</v>
      </c>
      <c r="M190" s="1">
        <f t="shared" si="47"/>
        <v>139</v>
      </c>
      <c r="N190" s="1" t="s">
        <v>417</v>
      </c>
      <c r="O190" s="1">
        <v>5.16</v>
      </c>
      <c r="P190" s="1"/>
      <c r="Q190" s="1"/>
      <c r="R190" s="1"/>
      <c r="S190" s="1">
        <f t="shared" si="65"/>
        <v>1</v>
      </c>
      <c r="T190" s="1" t="s">
        <v>442</v>
      </c>
      <c r="U190" s="1"/>
      <c r="V190" s="1"/>
      <c r="W190" s="1"/>
      <c r="X190" s="1"/>
      <c r="Y190" s="1">
        <v>2</v>
      </c>
      <c r="Z190" s="1">
        <v>1</v>
      </c>
      <c r="AA190" s="1"/>
      <c r="AB190" s="1">
        <v>0</v>
      </c>
      <c r="AC190" s="98">
        <v>0</v>
      </c>
      <c r="AD190" s="172">
        <v>50</v>
      </c>
      <c r="AE190" s="1" t="s">
        <v>417</v>
      </c>
      <c r="AF190" s="1">
        <v>2</v>
      </c>
      <c r="AG190" s="1">
        <v>0.35</v>
      </c>
      <c r="AH190" s="1">
        <v>0.25</v>
      </c>
      <c r="AI190" s="1">
        <v>0.35</v>
      </c>
      <c r="AJ190" s="1"/>
      <c r="AK190" s="1"/>
      <c r="AL190" s="1">
        <v>0</v>
      </c>
    </row>
    <row r="191" spans="1:38" x14ac:dyDescent="0.25">
      <c r="A191" s="188" t="s">
        <v>71</v>
      </c>
      <c r="B191" s="1">
        <v>2</v>
      </c>
      <c r="C191" s="1" t="s">
        <v>418</v>
      </c>
      <c r="D191" s="13">
        <v>39909</v>
      </c>
      <c r="E191" s="174">
        <f t="shared" si="48"/>
        <v>2261</v>
      </c>
      <c r="F191" s="201"/>
      <c r="G191" s="13">
        <v>42170</v>
      </c>
      <c r="H191" s="13">
        <f t="shared" si="67"/>
        <v>42031</v>
      </c>
      <c r="I191" s="13">
        <v>42170</v>
      </c>
      <c r="J191" s="13"/>
      <c r="K191" s="1">
        <f t="shared" si="45"/>
        <v>2261</v>
      </c>
      <c r="L191" s="1">
        <f t="shared" si="46"/>
        <v>139</v>
      </c>
      <c r="M191" s="1">
        <f t="shared" si="47"/>
        <v>0</v>
      </c>
      <c r="N191" s="1" t="s">
        <v>417</v>
      </c>
      <c r="O191" s="1">
        <v>5.16</v>
      </c>
      <c r="P191" s="1"/>
      <c r="Q191" s="1"/>
      <c r="R191" s="1"/>
      <c r="S191" s="1"/>
      <c r="T191" s="1"/>
      <c r="U191" s="1"/>
      <c r="V191" s="1"/>
      <c r="W191" s="1"/>
      <c r="X191" s="1"/>
      <c r="Y191" s="1">
        <v>1</v>
      </c>
      <c r="Z191" s="1">
        <v>2</v>
      </c>
      <c r="AA191" s="1"/>
      <c r="AB191" s="1">
        <v>0</v>
      </c>
      <c r="AC191" s="98">
        <v>0</v>
      </c>
      <c r="AD191" s="172">
        <v>50</v>
      </c>
      <c r="AE191" s="1" t="s">
        <v>417</v>
      </c>
      <c r="AF191" s="1">
        <v>2</v>
      </c>
      <c r="AG191" s="1">
        <v>0.35</v>
      </c>
      <c r="AH191" s="1">
        <v>0.25</v>
      </c>
      <c r="AI191" s="1">
        <v>0.35</v>
      </c>
      <c r="AJ191" s="1"/>
      <c r="AK191" s="1"/>
      <c r="AL191" s="1">
        <v>0</v>
      </c>
    </row>
    <row r="192" spans="1:38" x14ac:dyDescent="0.25">
      <c r="A192" s="185" t="s">
        <v>66</v>
      </c>
      <c r="B192" s="216">
        <v>2</v>
      </c>
      <c r="C192" s="1" t="s">
        <v>418</v>
      </c>
      <c r="D192" s="13">
        <v>39595</v>
      </c>
      <c r="E192" s="1">
        <f t="shared" si="48"/>
        <v>1393</v>
      </c>
      <c r="F192" s="1"/>
      <c r="G192" s="13">
        <v>40218</v>
      </c>
      <c r="H192" s="13">
        <v>39595</v>
      </c>
      <c r="I192" s="13">
        <v>40988</v>
      </c>
      <c r="J192" s="13"/>
      <c r="K192" s="1">
        <f t="shared" si="45"/>
        <v>623</v>
      </c>
      <c r="L192" s="1">
        <f t="shared" si="46"/>
        <v>623</v>
      </c>
      <c r="M192" s="1">
        <f t="shared" si="47"/>
        <v>770</v>
      </c>
      <c r="N192" s="1" t="s">
        <v>417</v>
      </c>
      <c r="O192" s="1">
        <v>6.36</v>
      </c>
      <c r="P192" s="1">
        <f t="shared" si="62"/>
        <v>1</v>
      </c>
      <c r="Q192" s="1">
        <f t="shared" si="63"/>
        <v>1</v>
      </c>
      <c r="R192" s="1">
        <f t="shared" si="64"/>
        <v>1</v>
      </c>
      <c r="S192" s="1">
        <f t="shared" si="65"/>
        <v>1</v>
      </c>
      <c r="T192" s="1" t="s">
        <v>437</v>
      </c>
      <c r="U192" s="1"/>
      <c r="V192" s="1"/>
      <c r="W192" s="1"/>
      <c r="X192" s="1"/>
      <c r="Y192" s="1">
        <v>0</v>
      </c>
      <c r="Z192" s="1">
        <v>0</v>
      </c>
      <c r="AA192" s="1"/>
      <c r="AB192" s="1">
        <v>0</v>
      </c>
      <c r="AC192" s="1">
        <v>0</v>
      </c>
      <c r="AD192" s="1">
        <v>60</v>
      </c>
      <c r="AE192" s="1" t="s">
        <v>417</v>
      </c>
      <c r="AF192" s="1">
        <v>2</v>
      </c>
      <c r="AG192" s="1">
        <v>0.35</v>
      </c>
      <c r="AH192" s="1">
        <v>3.5</v>
      </c>
      <c r="AI192" s="1">
        <v>0.35</v>
      </c>
      <c r="AJ192" s="1"/>
      <c r="AK192" s="1"/>
      <c r="AL192" s="1">
        <v>0</v>
      </c>
    </row>
    <row r="193" spans="1:38" x14ac:dyDescent="0.25">
      <c r="A193" s="185" t="s">
        <v>66</v>
      </c>
      <c r="B193" s="1">
        <v>2</v>
      </c>
      <c r="C193" s="1" t="s">
        <v>418</v>
      </c>
      <c r="D193" s="13">
        <v>39595</v>
      </c>
      <c r="E193" s="174">
        <f t="shared" si="48"/>
        <v>2611</v>
      </c>
      <c r="F193" s="201"/>
      <c r="G193" s="13">
        <v>40813</v>
      </c>
      <c r="H193" s="13">
        <f>G192</f>
        <v>40218</v>
      </c>
      <c r="I193" s="13">
        <v>42206</v>
      </c>
      <c r="J193" s="13"/>
      <c r="K193" s="1">
        <f t="shared" si="45"/>
        <v>1218</v>
      </c>
      <c r="L193" s="1">
        <f t="shared" si="46"/>
        <v>595</v>
      </c>
      <c r="M193" s="1">
        <f t="shared" si="47"/>
        <v>1393</v>
      </c>
      <c r="N193" s="1" t="s">
        <v>417</v>
      </c>
      <c r="O193" s="1">
        <v>5.72</v>
      </c>
      <c r="P193" s="1">
        <f t="shared" si="62"/>
        <v>1</v>
      </c>
      <c r="Q193" s="1">
        <f t="shared" si="63"/>
        <v>1</v>
      </c>
      <c r="R193" s="1">
        <f t="shared" si="64"/>
        <v>1</v>
      </c>
      <c r="S193" s="1">
        <f t="shared" si="65"/>
        <v>1</v>
      </c>
      <c r="T193" s="1" t="s">
        <v>437</v>
      </c>
      <c r="U193" s="1"/>
      <c r="V193" s="1"/>
      <c r="W193" s="1"/>
      <c r="X193" s="1"/>
      <c r="Y193" s="1">
        <v>1</v>
      </c>
      <c r="Z193" s="1">
        <v>0</v>
      </c>
      <c r="AA193" s="1"/>
      <c r="AB193" s="1"/>
      <c r="AC193" s="1"/>
      <c r="AD193" s="172">
        <v>60</v>
      </c>
      <c r="AE193" s="1" t="s">
        <v>417</v>
      </c>
      <c r="AF193" s="1">
        <v>2</v>
      </c>
      <c r="AG193" s="1">
        <v>0.35</v>
      </c>
      <c r="AH193" s="1">
        <v>3.5</v>
      </c>
      <c r="AI193" s="1">
        <v>0.35</v>
      </c>
      <c r="AJ193" s="1"/>
      <c r="AK193" s="1"/>
      <c r="AL193" s="1">
        <v>0</v>
      </c>
    </row>
    <row r="194" spans="1:38" x14ac:dyDescent="0.25">
      <c r="A194" s="185" t="s">
        <v>66</v>
      </c>
      <c r="B194" s="216">
        <v>2</v>
      </c>
      <c r="C194" s="1" t="s">
        <v>418</v>
      </c>
      <c r="D194" s="13">
        <v>39595</v>
      </c>
      <c r="E194" s="174">
        <f t="shared" si="48"/>
        <v>2611</v>
      </c>
      <c r="F194" s="1"/>
      <c r="G194" s="13">
        <v>40988</v>
      </c>
      <c r="H194" s="13">
        <f t="shared" ref="H194:H203" si="68">G193</f>
        <v>40813</v>
      </c>
      <c r="I194" s="13">
        <v>42206</v>
      </c>
      <c r="J194" s="13"/>
      <c r="K194" s="1">
        <f t="shared" ref="K194:K257" si="69">G194-D194</f>
        <v>1393</v>
      </c>
      <c r="L194" s="1">
        <f t="shared" ref="L194:L257" si="70">G194-H194</f>
        <v>175</v>
      </c>
      <c r="M194" s="1">
        <f t="shared" ref="M194:M257" si="71">I194-G194</f>
        <v>1218</v>
      </c>
      <c r="N194" s="1" t="s">
        <v>417</v>
      </c>
      <c r="O194" s="1">
        <v>5.32</v>
      </c>
      <c r="P194" s="1">
        <f t="shared" si="62"/>
        <v>1</v>
      </c>
      <c r="Q194" s="1">
        <f t="shared" si="63"/>
        <v>1</v>
      </c>
      <c r="R194" s="1">
        <f t="shared" si="64"/>
        <v>1</v>
      </c>
      <c r="S194" s="1">
        <f t="shared" si="65"/>
        <v>1</v>
      </c>
      <c r="T194" s="1" t="s">
        <v>437</v>
      </c>
      <c r="U194" s="1"/>
      <c r="V194" s="1"/>
      <c r="W194" s="1"/>
      <c r="X194" s="1"/>
      <c r="Y194" s="1">
        <v>0</v>
      </c>
      <c r="Z194" s="1">
        <v>0</v>
      </c>
      <c r="AA194" s="1"/>
      <c r="AB194" s="1">
        <v>0</v>
      </c>
      <c r="AC194" s="1">
        <v>0</v>
      </c>
      <c r="AD194" s="1">
        <v>60</v>
      </c>
      <c r="AE194" s="1" t="s">
        <v>417</v>
      </c>
      <c r="AF194" s="1">
        <v>2</v>
      </c>
      <c r="AG194" s="1">
        <v>0.35</v>
      </c>
      <c r="AH194" s="1">
        <v>3.5</v>
      </c>
      <c r="AI194" s="1">
        <v>0.35</v>
      </c>
      <c r="AJ194" s="1"/>
      <c r="AK194" s="1"/>
      <c r="AL194" s="1">
        <v>0</v>
      </c>
    </row>
    <row r="195" spans="1:38" x14ac:dyDescent="0.25">
      <c r="A195" s="185" t="s">
        <v>66</v>
      </c>
      <c r="B195" s="1">
        <v>2</v>
      </c>
      <c r="C195" s="1" t="s">
        <v>418</v>
      </c>
      <c r="D195" s="13">
        <v>39595</v>
      </c>
      <c r="E195" s="174">
        <f t="shared" ref="E195:E258" si="72">I195-D195</f>
        <v>2611</v>
      </c>
      <c r="F195" s="201"/>
      <c r="G195" s="13">
        <v>41184</v>
      </c>
      <c r="H195" s="13">
        <f t="shared" si="68"/>
        <v>40988</v>
      </c>
      <c r="I195" s="13">
        <v>42206</v>
      </c>
      <c r="J195" s="13"/>
      <c r="K195" s="1">
        <f t="shared" si="69"/>
        <v>1589</v>
      </c>
      <c r="L195" s="1">
        <f t="shared" si="70"/>
        <v>196</v>
      </c>
      <c r="M195" s="1">
        <f t="shared" si="71"/>
        <v>1022</v>
      </c>
      <c r="N195" s="1" t="s">
        <v>417</v>
      </c>
      <c r="O195" s="1">
        <v>5.21</v>
      </c>
      <c r="P195" s="1">
        <f t="shared" si="62"/>
        <v>1</v>
      </c>
      <c r="Q195" s="1">
        <f t="shared" si="63"/>
        <v>1</v>
      </c>
      <c r="R195" s="1">
        <f t="shared" si="64"/>
        <v>1</v>
      </c>
      <c r="S195" s="1">
        <f t="shared" si="65"/>
        <v>1</v>
      </c>
      <c r="T195" s="1" t="s">
        <v>437</v>
      </c>
      <c r="U195" s="1"/>
      <c r="V195" s="1"/>
      <c r="W195" s="1"/>
      <c r="X195" s="1"/>
      <c r="Y195" s="1">
        <v>0</v>
      </c>
      <c r="Z195" s="1">
        <v>0</v>
      </c>
      <c r="AA195" s="1"/>
      <c r="AB195" s="1"/>
      <c r="AC195" s="1"/>
      <c r="AD195" s="172">
        <v>60</v>
      </c>
      <c r="AE195" s="1" t="s">
        <v>417</v>
      </c>
      <c r="AF195" s="1">
        <v>2</v>
      </c>
      <c r="AG195" s="1">
        <v>0.35</v>
      </c>
      <c r="AH195" s="1">
        <v>3.5</v>
      </c>
      <c r="AI195" s="1">
        <v>0.35</v>
      </c>
      <c r="AJ195" s="1"/>
      <c r="AK195" s="1"/>
      <c r="AL195" s="1">
        <v>0</v>
      </c>
    </row>
    <row r="196" spans="1:38" x14ac:dyDescent="0.25">
      <c r="A196" s="185" t="s">
        <v>66</v>
      </c>
      <c r="B196" s="1">
        <v>2</v>
      </c>
      <c r="C196" s="1" t="s">
        <v>418</v>
      </c>
      <c r="D196" s="13">
        <v>39595</v>
      </c>
      <c r="E196" s="174">
        <f t="shared" si="72"/>
        <v>2611</v>
      </c>
      <c r="F196" s="201"/>
      <c r="G196" s="13">
        <v>41309</v>
      </c>
      <c r="H196" s="13">
        <f t="shared" si="68"/>
        <v>41184</v>
      </c>
      <c r="I196" s="13">
        <v>42206</v>
      </c>
      <c r="J196" s="13"/>
      <c r="K196" s="1">
        <f t="shared" si="69"/>
        <v>1714</v>
      </c>
      <c r="L196" s="1">
        <f t="shared" si="70"/>
        <v>125</v>
      </c>
      <c r="M196" s="1">
        <f t="shared" si="71"/>
        <v>897</v>
      </c>
      <c r="N196" s="1" t="s">
        <v>417</v>
      </c>
      <c r="O196" s="1">
        <v>5.17</v>
      </c>
      <c r="P196" s="1">
        <f t="shared" si="62"/>
        <v>1</v>
      </c>
      <c r="Q196" s="1">
        <f t="shared" si="63"/>
        <v>1</v>
      </c>
      <c r="R196" s="1">
        <f t="shared" si="64"/>
        <v>1</v>
      </c>
      <c r="S196" s="1">
        <f t="shared" si="65"/>
        <v>1</v>
      </c>
      <c r="T196" s="1" t="s">
        <v>437</v>
      </c>
      <c r="U196" s="1"/>
      <c r="V196" s="1"/>
      <c r="W196" s="1"/>
      <c r="X196" s="1"/>
      <c r="Y196" s="1">
        <v>0</v>
      </c>
      <c r="Z196" s="1">
        <v>0</v>
      </c>
      <c r="AA196" s="1"/>
      <c r="AB196" s="1"/>
      <c r="AC196" s="1"/>
      <c r="AD196" s="172">
        <v>60</v>
      </c>
      <c r="AE196" s="1" t="s">
        <v>417</v>
      </c>
      <c r="AF196" s="1">
        <v>2</v>
      </c>
      <c r="AG196" s="1">
        <v>0.35</v>
      </c>
      <c r="AH196" s="1">
        <v>3.5</v>
      </c>
      <c r="AI196" s="1">
        <v>0.35</v>
      </c>
      <c r="AJ196" s="1"/>
      <c r="AK196" s="1"/>
      <c r="AL196" s="1">
        <v>0</v>
      </c>
    </row>
    <row r="197" spans="1:38" x14ac:dyDescent="0.25">
      <c r="A197" s="185" t="s">
        <v>66</v>
      </c>
      <c r="B197" s="1">
        <v>2</v>
      </c>
      <c r="C197" s="1" t="s">
        <v>418</v>
      </c>
      <c r="D197" s="13">
        <v>39595</v>
      </c>
      <c r="E197" s="174">
        <f t="shared" si="72"/>
        <v>2611</v>
      </c>
      <c r="F197" s="201"/>
      <c r="G197" s="13">
        <v>41415</v>
      </c>
      <c r="H197" s="13">
        <f t="shared" si="68"/>
        <v>41309</v>
      </c>
      <c r="I197" s="13">
        <v>42206</v>
      </c>
      <c r="J197" s="13"/>
      <c r="K197" s="1">
        <f t="shared" si="69"/>
        <v>1820</v>
      </c>
      <c r="L197" s="1">
        <f t="shared" si="70"/>
        <v>106</v>
      </c>
      <c r="M197" s="1">
        <f t="shared" si="71"/>
        <v>791</v>
      </c>
      <c r="N197" s="1" t="s">
        <v>417</v>
      </c>
      <c r="O197" s="1">
        <v>5.15</v>
      </c>
      <c r="P197" s="1">
        <f t="shared" si="62"/>
        <v>1</v>
      </c>
      <c r="Q197" s="1">
        <f t="shared" si="63"/>
        <v>1</v>
      </c>
      <c r="R197" s="1">
        <f t="shared" si="64"/>
        <v>1</v>
      </c>
      <c r="S197" s="1">
        <f t="shared" si="65"/>
        <v>1</v>
      </c>
      <c r="T197" s="1" t="s">
        <v>437</v>
      </c>
      <c r="U197" s="1"/>
      <c r="V197" s="1"/>
      <c r="W197" s="1"/>
      <c r="X197" s="1"/>
      <c r="Y197" s="1">
        <v>0</v>
      </c>
      <c r="Z197" s="1">
        <v>0</v>
      </c>
      <c r="AA197" s="1"/>
      <c r="AB197" s="1"/>
      <c r="AC197" s="1"/>
      <c r="AD197" s="172">
        <v>60</v>
      </c>
      <c r="AE197" s="1" t="s">
        <v>417</v>
      </c>
      <c r="AF197" s="1">
        <v>2</v>
      </c>
      <c r="AG197" s="1">
        <v>0.35</v>
      </c>
      <c r="AH197" s="1">
        <v>3.5</v>
      </c>
      <c r="AI197" s="1">
        <v>0.35</v>
      </c>
      <c r="AJ197" s="1"/>
      <c r="AK197" s="1"/>
      <c r="AL197" s="1">
        <v>0</v>
      </c>
    </row>
    <row r="198" spans="1:38" x14ac:dyDescent="0.25">
      <c r="A198" s="185" t="s">
        <v>66</v>
      </c>
      <c r="B198" s="1">
        <v>2</v>
      </c>
      <c r="C198" s="1" t="s">
        <v>418</v>
      </c>
      <c r="D198" s="13">
        <v>39595</v>
      </c>
      <c r="E198" s="174">
        <f t="shared" si="72"/>
        <v>2611</v>
      </c>
      <c r="F198" s="201"/>
      <c r="G198" s="13">
        <v>41528</v>
      </c>
      <c r="H198" s="13">
        <f t="shared" si="68"/>
        <v>41415</v>
      </c>
      <c r="I198" s="13">
        <v>42206</v>
      </c>
      <c r="J198" s="13"/>
      <c r="K198" s="1">
        <f t="shared" si="69"/>
        <v>1933</v>
      </c>
      <c r="L198" s="1">
        <f t="shared" si="70"/>
        <v>113</v>
      </c>
      <c r="M198" s="1">
        <f t="shared" si="71"/>
        <v>678</v>
      </c>
      <c r="N198" s="1" t="s">
        <v>417</v>
      </c>
      <c r="O198" s="1">
        <v>5.14</v>
      </c>
      <c r="P198" s="1">
        <f t="shared" si="62"/>
        <v>1</v>
      </c>
      <c r="Q198" s="1">
        <f t="shared" si="63"/>
        <v>1</v>
      </c>
      <c r="R198" s="1">
        <f t="shared" si="64"/>
        <v>1</v>
      </c>
      <c r="S198" s="1">
        <f t="shared" si="65"/>
        <v>1</v>
      </c>
      <c r="T198" s="1" t="s">
        <v>437</v>
      </c>
      <c r="U198" s="1"/>
      <c r="V198" s="1"/>
      <c r="W198" s="1"/>
      <c r="X198" s="1"/>
      <c r="Y198" s="1">
        <v>0</v>
      </c>
      <c r="Z198" s="1">
        <v>0</v>
      </c>
      <c r="AA198" s="1"/>
      <c r="AB198" s="1"/>
      <c r="AC198" s="1"/>
      <c r="AD198" s="172">
        <v>60</v>
      </c>
      <c r="AE198" s="1" t="s">
        <v>417</v>
      </c>
      <c r="AF198" s="1">
        <v>2</v>
      </c>
      <c r="AG198" s="1">
        <v>0.35</v>
      </c>
      <c r="AH198" s="1">
        <v>3.5</v>
      </c>
      <c r="AI198" s="1">
        <v>0.35</v>
      </c>
      <c r="AJ198" s="1"/>
      <c r="AK198" s="1"/>
      <c r="AL198" s="1">
        <v>0</v>
      </c>
    </row>
    <row r="199" spans="1:38" x14ac:dyDescent="0.25">
      <c r="A199" s="185" t="s">
        <v>66</v>
      </c>
      <c r="B199" s="1">
        <v>2</v>
      </c>
      <c r="C199" s="1" t="s">
        <v>418</v>
      </c>
      <c r="D199" s="13">
        <v>39595</v>
      </c>
      <c r="E199" s="174">
        <f t="shared" si="72"/>
        <v>2611</v>
      </c>
      <c r="F199" s="201"/>
      <c r="G199" s="13">
        <v>41695</v>
      </c>
      <c r="H199" s="13">
        <f t="shared" si="68"/>
        <v>41528</v>
      </c>
      <c r="I199" s="13">
        <v>42206</v>
      </c>
      <c r="J199" s="13"/>
      <c r="K199" s="1">
        <f t="shared" si="69"/>
        <v>2100</v>
      </c>
      <c r="L199" s="1">
        <f t="shared" si="70"/>
        <v>167</v>
      </c>
      <c r="M199" s="1">
        <f t="shared" si="71"/>
        <v>511</v>
      </c>
      <c r="N199" s="1" t="s">
        <v>417</v>
      </c>
      <c r="O199" s="1">
        <v>5.13</v>
      </c>
      <c r="P199" s="1"/>
      <c r="Q199" s="1">
        <f t="shared" si="63"/>
        <v>1</v>
      </c>
      <c r="R199" s="1">
        <f t="shared" si="64"/>
        <v>1</v>
      </c>
      <c r="S199" s="1">
        <f t="shared" si="65"/>
        <v>1</v>
      </c>
      <c r="T199" s="1" t="s">
        <v>442</v>
      </c>
      <c r="U199" s="1"/>
      <c r="V199" s="1"/>
      <c r="W199" s="1"/>
      <c r="X199" s="1"/>
      <c r="Y199" s="1">
        <v>0</v>
      </c>
      <c r="Z199" s="1">
        <v>0</v>
      </c>
      <c r="AA199" s="1"/>
      <c r="AB199" s="1"/>
      <c r="AC199" s="1"/>
      <c r="AD199" s="172">
        <v>60</v>
      </c>
      <c r="AE199" s="1" t="s">
        <v>417</v>
      </c>
      <c r="AF199" s="1">
        <v>2</v>
      </c>
      <c r="AG199" s="1">
        <v>0.35</v>
      </c>
      <c r="AH199" s="1">
        <v>3</v>
      </c>
      <c r="AI199" s="1">
        <v>0.6</v>
      </c>
      <c r="AJ199" s="1"/>
      <c r="AK199" s="1"/>
      <c r="AL199" s="1">
        <v>0</v>
      </c>
    </row>
    <row r="200" spans="1:38" x14ac:dyDescent="0.25">
      <c r="A200" s="185" t="s">
        <v>66</v>
      </c>
      <c r="B200" s="1">
        <v>2</v>
      </c>
      <c r="C200" s="1" t="s">
        <v>418</v>
      </c>
      <c r="D200" s="13">
        <v>39595</v>
      </c>
      <c r="E200" s="174">
        <f t="shared" si="72"/>
        <v>2611</v>
      </c>
      <c r="F200" s="201"/>
      <c r="G200" s="13">
        <v>41919</v>
      </c>
      <c r="H200" s="13">
        <f t="shared" si="68"/>
        <v>41695</v>
      </c>
      <c r="I200" s="13">
        <v>42206</v>
      </c>
      <c r="J200" s="13"/>
      <c r="K200" s="1">
        <f t="shared" si="69"/>
        <v>2324</v>
      </c>
      <c r="L200" s="1">
        <f t="shared" si="70"/>
        <v>224</v>
      </c>
      <c r="M200" s="1">
        <f t="shared" si="71"/>
        <v>287</v>
      </c>
      <c r="N200" s="1" t="s">
        <v>417</v>
      </c>
      <c r="O200" s="1">
        <v>5.08</v>
      </c>
      <c r="P200" s="1"/>
      <c r="Q200" s="1"/>
      <c r="R200" s="1">
        <f t="shared" si="64"/>
        <v>1</v>
      </c>
      <c r="S200" s="1">
        <f t="shared" si="65"/>
        <v>1</v>
      </c>
      <c r="T200" s="1" t="s">
        <v>442</v>
      </c>
      <c r="U200" s="1"/>
      <c r="V200" s="1"/>
      <c r="W200" s="1"/>
      <c r="X200" s="1"/>
      <c r="Y200" s="1">
        <v>0</v>
      </c>
      <c r="Z200" s="1">
        <v>0</v>
      </c>
      <c r="AA200" s="1"/>
      <c r="AB200" s="1"/>
      <c r="AC200" s="1"/>
      <c r="AD200" s="172">
        <v>60</v>
      </c>
      <c r="AE200" s="1" t="s">
        <v>417</v>
      </c>
      <c r="AF200" s="1">
        <v>2</v>
      </c>
      <c r="AG200" s="1">
        <v>0.35</v>
      </c>
      <c r="AH200" s="1">
        <v>3</v>
      </c>
      <c r="AI200" s="1">
        <v>0.6</v>
      </c>
      <c r="AJ200" s="1"/>
      <c r="AK200" s="1"/>
      <c r="AL200" s="1">
        <v>0</v>
      </c>
    </row>
    <row r="201" spans="1:38" x14ac:dyDescent="0.25">
      <c r="A201" s="185" t="s">
        <v>66</v>
      </c>
      <c r="B201" s="1">
        <v>2</v>
      </c>
      <c r="C201" s="1" t="s">
        <v>418</v>
      </c>
      <c r="D201" s="13">
        <v>39595</v>
      </c>
      <c r="E201" s="174">
        <f t="shared" si="72"/>
        <v>2611</v>
      </c>
      <c r="F201" s="201"/>
      <c r="G201" s="13">
        <v>42045</v>
      </c>
      <c r="H201" s="13">
        <f t="shared" si="68"/>
        <v>41919</v>
      </c>
      <c r="I201" s="13">
        <v>42206</v>
      </c>
      <c r="J201" s="13"/>
      <c r="K201" s="1">
        <f t="shared" si="69"/>
        <v>2450</v>
      </c>
      <c r="L201" s="1">
        <f t="shared" si="70"/>
        <v>126</v>
      </c>
      <c r="M201" s="1">
        <f t="shared" si="71"/>
        <v>161</v>
      </c>
      <c r="N201" s="1" t="s">
        <v>417</v>
      </c>
      <c r="O201" s="1">
        <v>5</v>
      </c>
      <c r="P201" s="1"/>
      <c r="Q201" s="1"/>
      <c r="R201" s="1"/>
      <c r="S201" s="1">
        <f t="shared" si="65"/>
        <v>1</v>
      </c>
      <c r="T201" s="1" t="s">
        <v>442</v>
      </c>
      <c r="U201" s="1"/>
      <c r="V201" s="1"/>
      <c r="W201" s="1"/>
      <c r="X201" s="1"/>
      <c r="Y201" s="1">
        <v>0</v>
      </c>
      <c r="Z201" s="1">
        <v>0</v>
      </c>
      <c r="AA201" s="1"/>
      <c r="AB201" s="1"/>
      <c r="AC201" s="1"/>
      <c r="AD201" s="172">
        <v>60</v>
      </c>
      <c r="AE201" s="1" t="s">
        <v>417</v>
      </c>
      <c r="AF201" s="1">
        <v>2</v>
      </c>
      <c r="AG201" s="1">
        <v>0.35</v>
      </c>
      <c r="AH201" s="1">
        <v>3</v>
      </c>
      <c r="AI201" s="1">
        <v>0.6</v>
      </c>
      <c r="AJ201" s="1"/>
      <c r="AK201" s="1"/>
      <c r="AL201" s="1">
        <v>0</v>
      </c>
    </row>
    <row r="202" spans="1:38" x14ac:dyDescent="0.25">
      <c r="A202" s="185" t="s">
        <v>66</v>
      </c>
      <c r="B202" s="1">
        <v>2</v>
      </c>
      <c r="C202" s="1" t="s">
        <v>418</v>
      </c>
      <c r="D202" s="13">
        <v>39595</v>
      </c>
      <c r="E202" s="174">
        <f t="shared" si="72"/>
        <v>2611</v>
      </c>
      <c r="F202" s="201"/>
      <c r="G202" s="13">
        <v>42160</v>
      </c>
      <c r="H202" s="13">
        <f t="shared" si="68"/>
        <v>42045</v>
      </c>
      <c r="I202" s="13">
        <v>42206</v>
      </c>
      <c r="J202" s="13"/>
      <c r="K202" s="1">
        <f t="shared" si="69"/>
        <v>2565</v>
      </c>
      <c r="L202" s="1">
        <f t="shared" si="70"/>
        <v>115</v>
      </c>
      <c r="M202" s="1">
        <f t="shared" si="71"/>
        <v>46</v>
      </c>
      <c r="N202" s="1" t="s">
        <v>417</v>
      </c>
      <c r="O202" s="1">
        <v>4.8099999999999996</v>
      </c>
      <c r="P202" s="1"/>
      <c r="Q202" s="1"/>
      <c r="R202" s="1"/>
      <c r="S202" s="1"/>
      <c r="T202" s="1" t="s">
        <v>442</v>
      </c>
      <c r="U202" s="1"/>
      <c r="V202" s="1"/>
      <c r="W202" s="1"/>
      <c r="X202" s="1"/>
      <c r="Y202" s="1">
        <v>0</v>
      </c>
      <c r="Z202" s="1">
        <v>0</v>
      </c>
      <c r="AA202" s="1"/>
      <c r="AB202" s="1"/>
      <c r="AC202" s="1"/>
      <c r="AD202" s="172">
        <v>60</v>
      </c>
      <c r="AE202" s="1" t="s">
        <v>417</v>
      </c>
      <c r="AF202" s="1">
        <v>2.5</v>
      </c>
      <c r="AG202" s="1">
        <v>0.35</v>
      </c>
      <c r="AH202" s="1">
        <v>2.5</v>
      </c>
      <c r="AI202" s="1">
        <v>0.6</v>
      </c>
      <c r="AJ202" s="1"/>
      <c r="AK202" s="1"/>
      <c r="AL202" s="1">
        <v>0</v>
      </c>
    </row>
    <row r="203" spans="1:38" x14ac:dyDescent="0.25">
      <c r="A203" s="185" t="s">
        <v>66</v>
      </c>
      <c r="B203" s="1">
        <v>2</v>
      </c>
      <c r="C203" s="1" t="s">
        <v>418</v>
      </c>
      <c r="D203" s="13">
        <v>39595</v>
      </c>
      <c r="E203" s="174">
        <f t="shared" si="72"/>
        <v>2611</v>
      </c>
      <c r="F203" s="201"/>
      <c r="G203" s="13">
        <v>42206</v>
      </c>
      <c r="H203" s="13">
        <f t="shared" si="68"/>
        <v>42160</v>
      </c>
      <c r="I203" s="13">
        <v>42206</v>
      </c>
      <c r="J203" s="13"/>
      <c r="K203" s="1">
        <f t="shared" si="69"/>
        <v>2611</v>
      </c>
      <c r="L203" s="1">
        <f t="shared" si="70"/>
        <v>46</v>
      </c>
      <c r="M203" s="1">
        <f t="shared" si="71"/>
        <v>0</v>
      </c>
      <c r="N203" s="1" t="s">
        <v>434</v>
      </c>
      <c r="O203" s="1">
        <v>4.74</v>
      </c>
      <c r="P203" s="1"/>
      <c r="Q203" s="1"/>
      <c r="R203" s="1"/>
      <c r="S203" s="1"/>
      <c r="T203" s="1"/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/>
      <c r="AB203" s="1"/>
      <c r="AC203" s="1"/>
      <c r="AD203" s="172">
        <v>60</v>
      </c>
      <c r="AE203" s="1" t="s">
        <v>417</v>
      </c>
      <c r="AF203" s="1">
        <v>2</v>
      </c>
      <c r="AG203" s="1">
        <v>0.35</v>
      </c>
      <c r="AH203" s="1">
        <v>2.5</v>
      </c>
      <c r="AI203" s="1">
        <v>0.6</v>
      </c>
      <c r="AJ203" s="1"/>
      <c r="AK203" s="1"/>
      <c r="AL203" s="1">
        <v>0</v>
      </c>
    </row>
    <row r="204" spans="1:38" x14ac:dyDescent="0.25">
      <c r="A204" s="187" t="s">
        <v>70</v>
      </c>
      <c r="B204" s="216">
        <v>2</v>
      </c>
      <c r="C204" s="1" t="s">
        <v>418</v>
      </c>
      <c r="D204" s="13">
        <v>39682</v>
      </c>
      <c r="E204" s="174">
        <f t="shared" si="72"/>
        <v>2341</v>
      </c>
      <c r="F204" s="1"/>
      <c r="G204" s="13">
        <v>40076</v>
      </c>
      <c r="H204" s="13">
        <v>39682</v>
      </c>
      <c r="I204" s="13">
        <v>42023</v>
      </c>
      <c r="J204" s="13"/>
      <c r="K204" s="1">
        <f t="shared" si="69"/>
        <v>394</v>
      </c>
      <c r="L204" s="1">
        <f t="shared" si="70"/>
        <v>394</v>
      </c>
      <c r="M204" s="1">
        <f t="shared" si="71"/>
        <v>1947</v>
      </c>
      <c r="N204" s="1" t="s">
        <v>417</v>
      </c>
      <c r="O204" s="1">
        <v>6.4</v>
      </c>
      <c r="P204" s="1">
        <f t="shared" si="62"/>
        <v>1</v>
      </c>
      <c r="Q204" s="1">
        <f t="shared" si="63"/>
        <v>1</v>
      </c>
      <c r="R204" s="1">
        <f t="shared" si="64"/>
        <v>1</v>
      </c>
      <c r="S204" s="1">
        <f t="shared" si="65"/>
        <v>1</v>
      </c>
      <c r="T204" s="1" t="s">
        <v>437</v>
      </c>
      <c r="U204" s="1"/>
      <c r="V204" s="1"/>
      <c r="W204" s="1"/>
      <c r="X204" s="1"/>
      <c r="Y204" s="1">
        <v>64</v>
      </c>
      <c r="Z204" s="1">
        <v>0</v>
      </c>
      <c r="AA204" s="1"/>
      <c r="AB204" s="1">
        <v>0</v>
      </c>
      <c r="AC204" s="1">
        <v>0</v>
      </c>
      <c r="AD204" s="1">
        <v>60</v>
      </c>
      <c r="AE204" s="1" t="s">
        <v>417</v>
      </c>
      <c r="AF204" s="1">
        <v>2</v>
      </c>
      <c r="AG204" s="1">
        <v>0.35</v>
      </c>
      <c r="AH204" s="1">
        <v>3</v>
      </c>
      <c r="AI204" s="1">
        <v>0.35</v>
      </c>
      <c r="AJ204" s="1"/>
      <c r="AK204" s="1"/>
      <c r="AL204" s="1">
        <v>0</v>
      </c>
    </row>
    <row r="205" spans="1:38" x14ac:dyDescent="0.25">
      <c r="A205" s="187" t="s">
        <v>70</v>
      </c>
      <c r="B205" s="216">
        <v>2</v>
      </c>
      <c r="C205" s="1" t="s">
        <v>418</v>
      </c>
      <c r="D205" s="13">
        <v>39682</v>
      </c>
      <c r="E205" s="174">
        <f t="shared" si="72"/>
        <v>2341</v>
      </c>
      <c r="F205" s="1"/>
      <c r="G205" s="13">
        <v>40108</v>
      </c>
      <c r="H205" s="13">
        <f>G204</f>
        <v>40076</v>
      </c>
      <c r="I205" s="13">
        <v>42023</v>
      </c>
      <c r="J205" s="13"/>
      <c r="K205" s="1">
        <f t="shared" si="69"/>
        <v>426</v>
      </c>
      <c r="L205" s="1">
        <f t="shared" si="70"/>
        <v>32</v>
      </c>
      <c r="M205" s="1">
        <f t="shared" si="71"/>
        <v>1915</v>
      </c>
      <c r="N205" s="1" t="s">
        <v>417</v>
      </c>
      <c r="O205" s="1">
        <v>6.33</v>
      </c>
      <c r="P205" s="1">
        <f t="shared" si="62"/>
        <v>1</v>
      </c>
      <c r="Q205" s="1">
        <f t="shared" si="63"/>
        <v>1</v>
      </c>
      <c r="R205" s="1">
        <f t="shared" si="64"/>
        <v>1</v>
      </c>
      <c r="S205" s="1">
        <f t="shared" si="65"/>
        <v>1</v>
      </c>
      <c r="T205" s="1" t="s">
        <v>437</v>
      </c>
      <c r="U205" s="1"/>
      <c r="V205" s="1"/>
      <c r="W205" s="1"/>
      <c r="X205" s="1"/>
      <c r="Y205" s="1">
        <v>80</v>
      </c>
      <c r="Z205" s="1">
        <v>0</v>
      </c>
      <c r="AA205" s="1"/>
      <c r="AB205" s="1">
        <v>0</v>
      </c>
      <c r="AC205" s="1">
        <v>0</v>
      </c>
      <c r="AD205" s="1">
        <v>60</v>
      </c>
      <c r="AE205" s="1" t="s">
        <v>417</v>
      </c>
      <c r="AF205" s="1">
        <v>2</v>
      </c>
      <c r="AG205" s="1">
        <v>0.35</v>
      </c>
      <c r="AH205" s="1">
        <v>3</v>
      </c>
      <c r="AI205" s="1">
        <v>0.35</v>
      </c>
      <c r="AJ205" s="1"/>
      <c r="AK205" s="1"/>
      <c r="AL205" s="1">
        <v>0</v>
      </c>
    </row>
    <row r="206" spans="1:38" x14ac:dyDescent="0.25">
      <c r="A206" s="187" t="s">
        <v>70</v>
      </c>
      <c r="B206" s="216">
        <v>2</v>
      </c>
      <c r="C206" s="1" t="s">
        <v>418</v>
      </c>
      <c r="D206" s="13">
        <v>39682</v>
      </c>
      <c r="E206" s="174">
        <f t="shared" si="72"/>
        <v>2341</v>
      </c>
      <c r="F206" s="1"/>
      <c r="G206" s="13">
        <v>40274</v>
      </c>
      <c r="H206" s="13">
        <f t="shared" ref="H206:H219" si="73">G205</f>
        <v>40108</v>
      </c>
      <c r="I206" s="13">
        <v>42023</v>
      </c>
      <c r="J206" s="13"/>
      <c r="K206" s="1">
        <f t="shared" si="69"/>
        <v>592</v>
      </c>
      <c r="L206" s="1">
        <f t="shared" si="70"/>
        <v>166</v>
      </c>
      <c r="M206" s="1">
        <f t="shared" si="71"/>
        <v>1749</v>
      </c>
      <c r="N206" s="1" t="s">
        <v>417</v>
      </c>
      <c r="O206" s="1">
        <v>6.31</v>
      </c>
      <c r="P206" s="1">
        <f t="shared" si="62"/>
        <v>1</v>
      </c>
      <c r="Q206" s="1">
        <f t="shared" si="63"/>
        <v>1</v>
      </c>
      <c r="R206" s="1">
        <f t="shared" si="64"/>
        <v>1</v>
      </c>
      <c r="S206" s="1">
        <f t="shared" si="65"/>
        <v>1</v>
      </c>
      <c r="T206" s="1" t="s">
        <v>437</v>
      </c>
      <c r="U206" s="1"/>
      <c r="V206" s="1"/>
      <c r="W206" s="1"/>
      <c r="X206" s="1"/>
      <c r="Y206" s="1">
        <v>74</v>
      </c>
      <c r="Z206" s="1">
        <v>0</v>
      </c>
      <c r="AA206" s="1"/>
      <c r="AB206" s="1">
        <v>0</v>
      </c>
      <c r="AC206" s="1">
        <v>0</v>
      </c>
      <c r="AD206" s="1">
        <v>60</v>
      </c>
      <c r="AE206" s="1" t="s">
        <v>417</v>
      </c>
      <c r="AF206" s="1">
        <v>2</v>
      </c>
      <c r="AG206" s="1">
        <v>0.35</v>
      </c>
      <c r="AH206" s="1">
        <v>3</v>
      </c>
      <c r="AI206" s="1">
        <v>0.35</v>
      </c>
      <c r="AJ206" s="1"/>
      <c r="AK206" s="1"/>
      <c r="AL206" s="1">
        <v>0</v>
      </c>
    </row>
    <row r="207" spans="1:38" x14ac:dyDescent="0.25">
      <c r="A207" s="187" t="s">
        <v>70</v>
      </c>
      <c r="B207" s="216">
        <v>2</v>
      </c>
      <c r="C207" s="1" t="s">
        <v>418</v>
      </c>
      <c r="D207" s="13">
        <v>39682</v>
      </c>
      <c r="E207" s="174">
        <f t="shared" si="72"/>
        <v>2341</v>
      </c>
      <c r="F207" s="1"/>
      <c r="G207" s="13">
        <v>40652</v>
      </c>
      <c r="H207" s="13">
        <f t="shared" si="73"/>
        <v>40274</v>
      </c>
      <c r="I207" s="13">
        <v>42023</v>
      </c>
      <c r="J207" s="13"/>
      <c r="K207" s="1">
        <f t="shared" si="69"/>
        <v>970</v>
      </c>
      <c r="L207" s="1">
        <f t="shared" si="70"/>
        <v>378</v>
      </c>
      <c r="M207" s="1">
        <f t="shared" si="71"/>
        <v>1371</v>
      </c>
      <c r="N207" s="1" t="s">
        <v>417</v>
      </c>
      <c r="O207" s="1">
        <v>5.84</v>
      </c>
      <c r="P207" s="1">
        <f t="shared" si="62"/>
        <v>1</v>
      </c>
      <c r="Q207" s="1">
        <f t="shared" si="63"/>
        <v>1</v>
      </c>
      <c r="R207" s="1">
        <f t="shared" si="64"/>
        <v>1</v>
      </c>
      <c r="S207" s="1">
        <f t="shared" si="65"/>
        <v>1</v>
      </c>
      <c r="T207" s="1" t="s">
        <v>437</v>
      </c>
      <c r="U207" s="1"/>
      <c r="V207" s="1"/>
      <c r="W207" s="1"/>
      <c r="X207" s="1"/>
      <c r="Y207" s="1">
        <v>83</v>
      </c>
      <c r="Z207" s="1">
        <v>0</v>
      </c>
      <c r="AA207" s="1"/>
      <c r="AB207" s="1">
        <v>0</v>
      </c>
      <c r="AC207" s="1">
        <v>0</v>
      </c>
      <c r="AD207" s="1">
        <v>60</v>
      </c>
      <c r="AE207" s="1" t="s">
        <v>417</v>
      </c>
      <c r="AF207" s="1">
        <v>2</v>
      </c>
      <c r="AG207" s="1">
        <v>0.35</v>
      </c>
      <c r="AH207" s="1">
        <v>3</v>
      </c>
      <c r="AI207" s="1">
        <v>0.35</v>
      </c>
      <c r="AJ207" s="1"/>
      <c r="AK207" s="1"/>
      <c r="AL207" s="1">
        <v>0</v>
      </c>
    </row>
    <row r="208" spans="1:38" x14ac:dyDescent="0.25">
      <c r="A208" s="187" t="s">
        <v>70</v>
      </c>
      <c r="B208" s="1">
        <v>2</v>
      </c>
      <c r="C208" s="1" t="s">
        <v>418</v>
      </c>
      <c r="D208" s="13">
        <v>39682</v>
      </c>
      <c r="E208" s="174">
        <f t="shared" si="72"/>
        <v>2341</v>
      </c>
      <c r="F208" s="201"/>
      <c r="G208" s="13">
        <v>40813</v>
      </c>
      <c r="H208" s="13">
        <f t="shared" si="73"/>
        <v>40652</v>
      </c>
      <c r="I208" s="13">
        <v>42023</v>
      </c>
      <c r="J208" s="13"/>
      <c r="K208" s="1">
        <f t="shared" si="69"/>
        <v>1131</v>
      </c>
      <c r="L208" s="1">
        <f t="shared" si="70"/>
        <v>161</v>
      </c>
      <c r="M208" s="1">
        <f t="shared" si="71"/>
        <v>1210</v>
      </c>
      <c r="N208" s="1" t="s">
        <v>417</v>
      </c>
      <c r="O208" s="1">
        <v>5.39</v>
      </c>
      <c r="P208" s="1">
        <f t="shared" si="62"/>
        <v>1</v>
      </c>
      <c r="Q208" s="1">
        <f t="shared" si="63"/>
        <v>1</v>
      </c>
      <c r="R208" s="1">
        <f t="shared" si="64"/>
        <v>1</v>
      </c>
      <c r="S208" s="1">
        <f t="shared" si="65"/>
        <v>1</v>
      </c>
      <c r="T208" s="1" t="s">
        <v>437</v>
      </c>
      <c r="U208" s="1"/>
      <c r="V208" s="1"/>
      <c r="W208" s="1"/>
      <c r="X208" s="1"/>
      <c r="Y208" s="1">
        <v>87</v>
      </c>
      <c r="Z208" s="1">
        <v>0</v>
      </c>
      <c r="AA208" s="1"/>
      <c r="AB208" s="1">
        <v>0</v>
      </c>
      <c r="AC208" s="1">
        <v>0</v>
      </c>
      <c r="AD208" s="172">
        <v>60</v>
      </c>
      <c r="AE208" s="1" t="s">
        <v>417</v>
      </c>
      <c r="AF208" s="1">
        <v>2</v>
      </c>
      <c r="AG208" s="1">
        <v>0.35</v>
      </c>
      <c r="AH208" s="1">
        <v>3.5</v>
      </c>
      <c r="AI208" s="1">
        <v>0.35</v>
      </c>
      <c r="AJ208" s="1"/>
      <c r="AK208" s="1"/>
      <c r="AL208" s="1">
        <v>0</v>
      </c>
    </row>
    <row r="209" spans="1:38" x14ac:dyDescent="0.25">
      <c r="A209" s="187" t="s">
        <v>70</v>
      </c>
      <c r="B209" s="1">
        <v>2</v>
      </c>
      <c r="C209" s="1" t="s">
        <v>418</v>
      </c>
      <c r="D209" s="13">
        <v>39682</v>
      </c>
      <c r="E209" s="174">
        <f t="shared" si="72"/>
        <v>2341</v>
      </c>
      <c r="F209" s="201"/>
      <c r="G209" s="13">
        <v>40862</v>
      </c>
      <c r="H209" s="13">
        <f t="shared" si="73"/>
        <v>40813</v>
      </c>
      <c r="I209" s="13">
        <v>42023</v>
      </c>
      <c r="J209" s="13"/>
      <c r="K209" s="1">
        <f t="shared" si="69"/>
        <v>1180</v>
      </c>
      <c r="L209" s="1">
        <f t="shared" si="70"/>
        <v>49</v>
      </c>
      <c r="M209" s="1">
        <f t="shared" si="71"/>
        <v>1161</v>
      </c>
      <c r="N209" s="1" t="s">
        <v>417</v>
      </c>
      <c r="O209" s="1">
        <v>5.33</v>
      </c>
      <c r="P209" s="1">
        <f t="shared" si="62"/>
        <v>1</v>
      </c>
      <c r="Q209" s="1">
        <f t="shared" si="63"/>
        <v>1</v>
      </c>
      <c r="R209" s="1">
        <f t="shared" si="64"/>
        <v>1</v>
      </c>
      <c r="S209" s="1">
        <f t="shared" si="65"/>
        <v>1</v>
      </c>
      <c r="T209" s="1" t="s">
        <v>437</v>
      </c>
      <c r="U209" s="1"/>
      <c r="V209" s="1"/>
      <c r="W209" s="1"/>
      <c r="X209" s="1"/>
      <c r="Y209" s="1">
        <v>86</v>
      </c>
      <c r="Z209" s="1">
        <v>0</v>
      </c>
      <c r="AA209" s="1"/>
      <c r="AB209" s="1">
        <v>0</v>
      </c>
      <c r="AC209" s="1">
        <v>0</v>
      </c>
      <c r="AD209" s="172">
        <v>60</v>
      </c>
      <c r="AE209" s="1" t="s">
        <v>417</v>
      </c>
      <c r="AF209" s="1">
        <v>2</v>
      </c>
      <c r="AG209" s="1">
        <v>0.35</v>
      </c>
      <c r="AH209" s="1">
        <v>3.5</v>
      </c>
      <c r="AI209" s="1">
        <v>0.35</v>
      </c>
      <c r="AJ209" s="1"/>
      <c r="AK209" s="1"/>
      <c r="AL209" s="1">
        <v>0</v>
      </c>
    </row>
    <row r="210" spans="1:38" x14ac:dyDescent="0.25">
      <c r="A210" s="187" t="s">
        <v>70</v>
      </c>
      <c r="B210" s="1">
        <v>2</v>
      </c>
      <c r="C210" s="1" t="s">
        <v>418</v>
      </c>
      <c r="D210" s="13">
        <v>39682</v>
      </c>
      <c r="E210" s="174">
        <f t="shared" si="72"/>
        <v>2341</v>
      </c>
      <c r="F210" s="201"/>
      <c r="G210" s="13">
        <v>41051</v>
      </c>
      <c r="H210" s="13">
        <f t="shared" si="73"/>
        <v>40862</v>
      </c>
      <c r="I210" s="13">
        <v>42023</v>
      </c>
      <c r="J210" s="13"/>
      <c r="K210" s="1">
        <f t="shared" si="69"/>
        <v>1369</v>
      </c>
      <c r="L210" s="1">
        <f t="shared" si="70"/>
        <v>189</v>
      </c>
      <c r="M210" s="1">
        <f t="shared" si="71"/>
        <v>972</v>
      </c>
      <c r="N210" s="1" t="s">
        <v>417</v>
      </c>
      <c r="O210" s="1">
        <v>5.21</v>
      </c>
      <c r="P210" s="1">
        <f t="shared" si="62"/>
        <v>1</v>
      </c>
      <c r="Q210" s="1">
        <f t="shared" si="63"/>
        <v>1</v>
      </c>
      <c r="R210" s="1">
        <f t="shared" si="64"/>
        <v>1</v>
      </c>
      <c r="S210" s="1">
        <f t="shared" si="65"/>
        <v>1</v>
      </c>
      <c r="T210" s="1" t="s">
        <v>437</v>
      </c>
      <c r="U210" s="1"/>
      <c r="V210" s="1"/>
      <c r="W210" s="1"/>
      <c r="X210" s="1"/>
      <c r="Y210" s="1">
        <v>87</v>
      </c>
      <c r="Z210" s="1">
        <v>0</v>
      </c>
      <c r="AA210" s="1"/>
      <c r="AB210" s="1">
        <v>0</v>
      </c>
      <c r="AC210" s="1">
        <v>0</v>
      </c>
      <c r="AD210" s="172">
        <v>60</v>
      </c>
      <c r="AE210" s="1" t="s">
        <v>417</v>
      </c>
      <c r="AF210" s="1">
        <v>2</v>
      </c>
      <c r="AG210" s="1">
        <v>0.35</v>
      </c>
      <c r="AH210" s="1">
        <v>3.5</v>
      </c>
      <c r="AI210" s="1">
        <v>0.35</v>
      </c>
      <c r="AJ210" s="1"/>
      <c r="AK210" s="1"/>
      <c r="AL210" s="1">
        <v>0</v>
      </c>
    </row>
    <row r="211" spans="1:38" x14ac:dyDescent="0.25">
      <c r="A211" s="187" t="s">
        <v>70</v>
      </c>
      <c r="B211" s="1">
        <v>2</v>
      </c>
      <c r="C211" s="1" t="s">
        <v>418</v>
      </c>
      <c r="D211" s="13">
        <v>39682</v>
      </c>
      <c r="E211" s="174">
        <f t="shared" si="72"/>
        <v>2341</v>
      </c>
      <c r="F211" s="201"/>
      <c r="G211" s="13">
        <v>41212</v>
      </c>
      <c r="H211" s="13">
        <f t="shared" si="73"/>
        <v>41051</v>
      </c>
      <c r="I211" s="13">
        <v>42023</v>
      </c>
      <c r="J211" s="13"/>
      <c r="K211" s="1">
        <f t="shared" si="69"/>
        <v>1530</v>
      </c>
      <c r="L211" s="1">
        <f t="shared" si="70"/>
        <v>161</v>
      </c>
      <c r="M211" s="1">
        <f t="shared" si="71"/>
        <v>811</v>
      </c>
      <c r="N211" s="1" t="s">
        <v>417</v>
      </c>
      <c r="O211" s="1">
        <v>5.16</v>
      </c>
      <c r="P211" s="1">
        <f t="shared" si="62"/>
        <v>1</v>
      </c>
      <c r="Q211" s="1">
        <f t="shared" si="63"/>
        <v>1</v>
      </c>
      <c r="R211" s="1">
        <f t="shared" si="64"/>
        <v>1</v>
      </c>
      <c r="S211" s="1">
        <f t="shared" si="65"/>
        <v>1</v>
      </c>
      <c r="T211" s="1" t="s">
        <v>437</v>
      </c>
      <c r="U211" s="1"/>
      <c r="V211" s="1"/>
      <c r="W211" s="1"/>
      <c r="X211" s="1"/>
      <c r="Y211" s="1">
        <v>88</v>
      </c>
      <c r="Z211" s="1">
        <v>0</v>
      </c>
      <c r="AA211" s="1"/>
      <c r="AB211" s="1">
        <v>0</v>
      </c>
      <c r="AC211" s="1">
        <v>0</v>
      </c>
      <c r="AD211" s="172">
        <v>60</v>
      </c>
      <c r="AE211" s="1" t="s">
        <v>417</v>
      </c>
      <c r="AF211" s="1">
        <v>2</v>
      </c>
      <c r="AG211" s="1">
        <v>0.35</v>
      </c>
      <c r="AH211" s="1">
        <v>3.5</v>
      </c>
      <c r="AI211" s="1">
        <v>0.35</v>
      </c>
      <c r="AJ211" s="1"/>
      <c r="AK211" s="1"/>
      <c r="AL211" s="1">
        <v>0</v>
      </c>
    </row>
    <row r="212" spans="1:38" x14ac:dyDescent="0.25">
      <c r="A212" s="187" t="s">
        <v>70</v>
      </c>
      <c r="B212" s="1">
        <v>2</v>
      </c>
      <c r="C212" s="1" t="s">
        <v>418</v>
      </c>
      <c r="D212" s="13">
        <v>39682</v>
      </c>
      <c r="E212" s="174">
        <f t="shared" si="72"/>
        <v>2341</v>
      </c>
      <c r="F212" s="201"/>
      <c r="G212" s="13">
        <v>41324</v>
      </c>
      <c r="H212" s="13">
        <f t="shared" si="73"/>
        <v>41212</v>
      </c>
      <c r="I212" s="13">
        <v>42023</v>
      </c>
      <c r="J212" s="13"/>
      <c r="K212" s="1">
        <f t="shared" si="69"/>
        <v>1642</v>
      </c>
      <c r="L212" s="1">
        <f t="shared" si="70"/>
        <v>112</v>
      </c>
      <c r="M212" s="1">
        <f t="shared" si="71"/>
        <v>699</v>
      </c>
      <c r="N212" s="1" t="s">
        <v>417</v>
      </c>
      <c r="O212" s="1">
        <v>5.14</v>
      </c>
      <c r="P212" s="1">
        <f t="shared" si="62"/>
        <v>1</v>
      </c>
      <c r="Q212" s="1">
        <f t="shared" si="63"/>
        <v>1</v>
      </c>
      <c r="R212" s="1">
        <f t="shared" si="64"/>
        <v>1</v>
      </c>
      <c r="S212" s="1">
        <f t="shared" si="65"/>
        <v>1</v>
      </c>
      <c r="T212" s="1" t="s">
        <v>437</v>
      </c>
      <c r="U212" s="1"/>
      <c r="V212" s="1"/>
      <c r="W212" s="1"/>
      <c r="X212" s="1"/>
      <c r="Y212" s="1">
        <v>87</v>
      </c>
      <c r="Z212" s="1">
        <v>0</v>
      </c>
      <c r="AA212" s="1"/>
      <c r="AB212" s="1">
        <v>0</v>
      </c>
      <c r="AC212" s="1">
        <v>0</v>
      </c>
      <c r="AD212" s="172">
        <v>60</v>
      </c>
      <c r="AE212" s="1" t="s">
        <v>417</v>
      </c>
      <c r="AF212" s="1">
        <v>2</v>
      </c>
      <c r="AG212" s="1">
        <v>0.35</v>
      </c>
      <c r="AH212" s="1">
        <v>3.5</v>
      </c>
      <c r="AI212" s="1">
        <v>0.35</v>
      </c>
      <c r="AJ212" s="1"/>
      <c r="AK212" s="1"/>
      <c r="AL212" s="1">
        <v>0</v>
      </c>
    </row>
    <row r="213" spans="1:38" x14ac:dyDescent="0.25">
      <c r="A213" s="187" t="s">
        <v>70</v>
      </c>
      <c r="B213" s="1">
        <v>2</v>
      </c>
      <c r="C213" s="1" t="s">
        <v>418</v>
      </c>
      <c r="D213" s="13">
        <v>39682</v>
      </c>
      <c r="E213" s="174">
        <f t="shared" si="72"/>
        <v>2341</v>
      </c>
      <c r="F213" s="201"/>
      <c r="G213" s="13">
        <v>41450</v>
      </c>
      <c r="H213" s="13">
        <f t="shared" si="73"/>
        <v>41324</v>
      </c>
      <c r="I213" s="13">
        <v>42023</v>
      </c>
      <c r="J213" s="13"/>
      <c r="K213" s="1">
        <f t="shared" si="69"/>
        <v>1768</v>
      </c>
      <c r="L213" s="1">
        <f t="shared" si="70"/>
        <v>126</v>
      </c>
      <c r="M213" s="1">
        <f t="shared" si="71"/>
        <v>573</v>
      </c>
      <c r="N213" s="1" t="s">
        <v>417</v>
      </c>
      <c r="O213" s="1">
        <v>5.14</v>
      </c>
      <c r="P213" s="1">
        <f t="shared" si="62"/>
        <v>1</v>
      </c>
      <c r="Q213" s="1">
        <f t="shared" si="63"/>
        <v>1</v>
      </c>
      <c r="R213" s="1">
        <f t="shared" si="64"/>
        <v>1</v>
      </c>
      <c r="S213" s="1">
        <f t="shared" si="65"/>
        <v>1</v>
      </c>
      <c r="T213" s="1" t="s">
        <v>437</v>
      </c>
      <c r="U213" s="1"/>
      <c r="V213" s="1"/>
      <c r="W213" s="1"/>
      <c r="X213" s="1"/>
      <c r="Y213" s="1">
        <v>88</v>
      </c>
      <c r="Z213" s="1">
        <v>0</v>
      </c>
      <c r="AA213" s="1"/>
      <c r="AB213" s="1">
        <v>0</v>
      </c>
      <c r="AC213" s="1">
        <v>0</v>
      </c>
      <c r="AD213" s="172">
        <v>60</v>
      </c>
      <c r="AE213" s="1" t="s">
        <v>417</v>
      </c>
      <c r="AF213" s="1">
        <v>2</v>
      </c>
      <c r="AG213" s="1">
        <v>0.35</v>
      </c>
      <c r="AH213" s="1">
        <v>3.5</v>
      </c>
      <c r="AI213" s="1">
        <v>0.35</v>
      </c>
      <c r="AJ213" s="1"/>
      <c r="AK213" s="1"/>
      <c r="AL213" s="1">
        <v>0</v>
      </c>
    </row>
    <row r="214" spans="1:38" x14ac:dyDescent="0.25">
      <c r="A214" s="187" t="s">
        <v>70</v>
      </c>
      <c r="B214" s="1">
        <v>2</v>
      </c>
      <c r="C214" s="1" t="s">
        <v>418</v>
      </c>
      <c r="D214" s="13">
        <v>39682</v>
      </c>
      <c r="E214" s="174">
        <f t="shared" si="72"/>
        <v>2341</v>
      </c>
      <c r="F214" s="201"/>
      <c r="G214" s="13">
        <v>41528</v>
      </c>
      <c r="H214" s="13">
        <f t="shared" si="73"/>
        <v>41450</v>
      </c>
      <c r="I214" s="13">
        <v>42023</v>
      </c>
      <c r="J214" s="13"/>
      <c r="K214" s="1">
        <f t="shared" si="69"/>
        <v>1846</v>
      </c>
      <c r="L214" s="1">
        <f t="shared" si="70"/>
        <v>78</v>
      </c>
      <c r="M214" s="1">
        <f t="shared" si="71"/>
        <v>495</v>
      </c>
      <c r="N214" s="1" t="s">
        <v>417</v>
      </c>
      <c r="O214" s="1">
        <v>5.13</v>
      </c>
      <c r="P214" s="1"/>
      <c r="Q214" s="1">
        <f t="shared" si="63"/>
        <v>1</v>
      </c>
      <c r="R214" s="1">
        <f t="shared" si="64"/>
        <v>1</v>
      </c>
      <c r="S214" s="1">
        <f t="shared" si="65"/>
        <v>1</v>
      </c>
      <c r="T214" s="1" t="s">
        <v>442</v>
      </c>
      <c r="U214" s="1"/>
      <c r="V214" s="1"/>
      <c r="W214" s="1"/>
      <c r="X214" s="1"/>
      <c r="Y214" s="1">
        <v>87</v>
      </c>
      <c r="Z214" s="1">
        <v>0</v>
      </c>
      <c r="AA214" s="1"/>
      <c r="AB214" s="1">
        <v>0</v>
      </c>
      <c r="AC214" s="1">
        <v>0</v>
      </c>
      <c r="AD214" s="172">
        <v>60</v>
      </c>
      <c r="AE214" s="1" t="s">
        <v>417</v>
      </c>
      <c r="AF214" s="1">
        <v>2</v>
      </c>
      <c r="AG214" s="1">
        <v>0.35</v>
      </c>
      <c r="AH214" s="1">
        <v>3.5</v>
      </c>
      <c r="AI214" s="1">
        <v>0.35</v>
      </c>
      <c r="AJ214" s="1"/>
      <c r="AK214" s="1"/>
      <c r="AL214" s="1">
        <v>0</v>
      </c>
    </row>
    <row r="215" spans="1:38" x14ac:dyDescent="0.25">
      <c r="A215" s="187" t="s">
        <v>70</v>
      </c>
      <c r="B215" s="1">
        <v>2</v>
      </c>
      <c r="C215" s="1" t="s">
        <v>418</v>
      </c>
      <c r="D215" s="13">
        <v>39682</v>
      </c>
      <c r="E215" s="174">
        <f t="shared" si="72"/>
        <v>2341</v>
      </c>
      <c r="F215" s="201"/>
      <c r="G215" s="13">
        <v>41687</v>
      </c>
      <c r="H215" s="13">
        <f t="shared" si="73"/>
        <v>41528</v>
      </c>
      <c r="I215" s="13">
        <v>42023</v>
      </c>
      <c r="J215" s="13"/>
      <c r="K215" s="1">
        <f t="shared" si="69"/>
        <v>2005</v>
      </c>
      <c r="L215" s="1">
        <f t="shared" si="70"/>
        <v>159</v>
      </c>
      <c r="M215" s="1">
        <f t="shared" si="71"/>
        <v>336</v>
      </c>
      <c r="N215" s="1" t="s">
        <v>417</v>
      </c>
      <c r="O215" s="1">
        <v>5.1100000000000003</v>
      </c>
      <c r="P215" s="1"/>
      <c r="Q215" s="1"/>
      <c r="R215" s="1">
        <f t="shared" si="64"/>
        <v>1</v>
      </c>
      <c r="S215" s="1">
        <f t="shared" si="65"/>
        <v>1</v>
      </c>
      <c r="T215" s="1" t="s">
        <v>442</v>
      </c>
      <c r="U215" s="1"/>
      <c r="V215" s="1"/>
      <c r="W215" s="1"/>
      <c r="X215" s="1"/>
      <c r="Y215" s="1">
        <v>84</v>
      </c>
      <c r="Z215" s="1">
        <v>0</v>
      </c>
      <c r="AA215" s="1"/>
      <c r="AB215" s="1">
        <v>0</v>
      </c>
      <c r="AC215" s="1">
        <v>0</v>
      </c>
      <c r="AD215" s="172">
        <v>60</v>
      </c>
      <c r="AE215" s="1" t="s">
        <v>417</v>
      </c>
      <c r="AF215" s="1">
        <v>2</v>
      </c>
      <c r="AG215" s="1">
        <v>0.35</v>
      </c>
      <c r="AH215" s="1">
        <v>3.5</v>
      </c>
      <c r="AI215" s="1">
        <v>0.35</v>
      </c>
      <c r="AJ215" s="1"/>
      <c r="AK215" s="1"/>
      <c r="AL215" s="1">
        <v>0</v>
      </c>
    </row>
    <row r="216" spans="1:38" x14ac:dyDescent="0.25">
      <c r="A216" s="187" t="s">
        <v>70</v>
      </c>
      <c r="B216" s="1">
        <v>2</v>
      </c>
      <c r="C216" s="1" t="s">
        <v>418</v>
      </c>
      <c r="D216" s="13">
        <v>39682</v>
      </c>
      <c r="E216" s="174">
        <f t="shared" si="72"/>
        <v>2341</v>
      </c>
      <c r="F216" s="201"/>
      <c r="G216" s="13">
        <v>41772</v>
      </c>
      <c r="H216" s="13">
        <f t="shared" si="73"/>
        <v>41687</v>
      </c>
      <c r="I216" s="13">
        <v>42023</v>
      </c>
      <c r="J216" s="13"/>
      <c r="K216" s="1">
        <f t="shared" si="69"/>
        <v>2090</v>
      </c>
      <c r="L216" s="1">
        <f t="shared" si="70"/>
        <v>85</v>
      </c>
      <c r="M216" s="1">
        <f t="shared" si="71"/>
        <v>251</v>
      </c>
      <c r="N216" s="1" t="s">
        <v>417</v>
      </c>
      <c r="O216" s="1">
        <v>5.0999999999999996</v>
      </c>
      <c r="P216" s="1"/>
      <c r="Q216" s="1"/>
      <c r="R216" s="1">
        <f t="shared" si="64"/>
        <v>1</v>
      </c>
      <c r="S216" s="1">
        <f t="shared" si="65"/>
        <v>1</v>
      </c>
      <c r="T216" s="1" t="s">
        <v>442</v>
      </c>
      <c r="U216" s="1"/>
      <c r="V216" s="1"/>
      <c r="W216" s="1"/>
      <c r="X216" s="1"/>
      <c r="Y216" s="1">
        <v>84</v>
      </c>
      <c r="Z216" s="1">
        <v>0</v>
      </c>
      <c r="AA216" s="1"/>
      <c r="AB216" s="1">
        <v>0</v>
      </c>
      <c r="AC216" s="1">
        <v>0</v>
      </c>
      <c r="AD216" s="172">
        <v>60</v>
      </c>
      <c r="AE216" s="1" t="s">
        <v>417</v>
      </c>
      <c r="AF216" s="1">
        <v>2</v>
      </c>
      <c r="AG216" s="1">
        <v>0.35</v>
      </c>
      <c r="AH216" s="1">
        <v>3.5</v>
      </c>
      <c r="AI216" s="1">
        <v>0.35</v>
      </c>
      <c r="AJ216" s="1"/>
      <c r="AK216" s="1"/>
      <c r="AL216" s="1">
        <v>0</v>
      </c>
    </row>
    <row r="217" spans="1:38" x14ac:dyDescent="0.25">
      <c r="A217" s="187" t="s">
        <v>70</v>
      </c>
      <c r="B217" s="1">
        <v>2</v>
      </c>
      <c r="C217" s="1" t="s">
        <v>418</v>
      </c>
      <c r="D217" s="13">
        <v>39682</v>
      </c>
      <c r="E217" s="174">
        <f t="shared" si="72"/>
        <v>2341</v>
      </c>
      <c r="F217" s="201"/>
      <c r="G217" s="13">
        <v>41835</v>
      </c>
      <c r="H217" s="13">
        <f t="shared" si="73"/>
        <v>41772</v>
      </c>
      <c r="I217" s="13">
        <v>42023</v>
      </c>
      <c r="J217" s="13"/>
      <c r="K217" s="1">
        <f t="shared" si="69"/>
        <v>2153</v>
      </c>
      <c r="L217" s="1">
        <f t="shared" si="70"/>
        <v>63</v>
      </c>
      <c r="M217" s="1">
        <f t="shared" si="71"/>
        <v>188</v>
      </c>
      <c r="N217" s="1" t="s">
        <v>417</v>
      </c>
      <c r="O217" s="1">
        <v>5.07</v>
      </c>
      <c r="P217" s="1"/>
      <c r="Q217" s="1"/>
      <c r="R217" s="1">
        <f t="shared" si="64"/>
        <v>1</v>
      </c>
      <c r="S217" s="1">
        <f t="shared" si="65"/>
        <v>1</v>
      </c>
      <c r="T217" s="1" t="s">
        <v>442</v>
      </c>
      <c r="U217" s="1"/>
      <c r="V217" s="1"/>
      <c r="W217" s="1"/>
      <c r="X217" s="1"/>
      <c r="Y217" s="1">
        <v>80</v>
      </c>
      <c r="Z217" s="1">
        <v>0</v>
      </c>
      <c r="AA217" s="1"/>
      <c r="AB217" s="1">
        <v>0</v>
      </c>
      <c r="AC217" s="1">
        <v>0</v>
      </c>
      <c r="AD217" s="172">
        <v>60</v>
      </c>
      <c r="AE217" s="1" t="s">
        <v>417</v>
      </c>
      <c r="AF217" s="1">
        <v>2</v>
      </c>
      <c r="AG217" s="1">
        <v>0.35</v>
      </c>
      <c r="AH217" s="1">
        <v>3.5</v>
      </c>
      <c r="AI217" s="1">
        <v>0.35</v>
      </c>
      <c r="AJ217" s="1"/>
      <c r="AK217" s="1"/>
      <c r="AL217" s="1">
        <v>0</v>
      </c>
    </row>
    <row r="218" spans="1:38" x14ac:dyDescent="0.25">
      <c r="A218" s="187" t="s">
        <v>70</v>
      </c>
      <c r="B218" s="1">
        <v>2</v>
      </c>
      <c r="C218" s="1" t="s">
        <v>418</v>
      </c>
      <c r="D218" s="13">
        <v>39682</v>
      </c>
      <c r="E218" s="174">
        <f t="shared" si="72"/>
        <v>2341</v>
      </c>
      <c r="F218" s="201"/>
      <c r="G218" s="13">
        <v>41914</v>
      </c>
      <c r="H218" s="13">
        <f t="shared" si="73"/>
        <v>41835</v>
      </c>
      <c r="I218" s="13">
        <v>42023</v>
      </c>
      <c r="J218" s="13"/>
      <c r="K218" s="1">
        <f t="shared" si="69"/>
        <v>2232</v>
      </c>
      <c r="L218" s="1">
        <f t="shared" si="70"/>
        <v>79</v>
      </c>
      <c r="M218" s="1">
        <f t="shared" si="71"/>
        <v>109</v>
      </c>
      <c r="N218" s="1" t="s">
        <v>417</v>
      </c>
      <c r="O218" s="1">
        <v>5.04</v>
      </c>
      <c r="P218" s="1"/>
      <c r="Q218" s="1"/>
      <c r="R218" s="1"/>
      <c r="S218" s="1">
        <f t="shared" si="65"/>
        <v>1</v>
      </c>
      <c r="T218" s="1" t="s">
        <v>442</v>
      </c>
      <c r="U218" s="1"/>
      <c r="V218" s="1"/>
      <c r="W218" s="1"/>
      <c r="X218" s="1"/>
      <c r="Y218" s="1">
        <v>81</v>
      </c>
      <c r="Z218" s="1">
        <v>0</v>
      </c>
      <c r="AA218" s="1"/>
      <c r="AB218" s="1">
        <v>0</v>
      </c>
      <c r="AC218" s="1">
        <v>0</v>
      </c>
      <c r="AD218" s="172">
        <v>60</v>
      </c>
      <c r="AE218" s="1" t="s">
        <v>417</v>
      </c>
      <c r="AF218" s="1">
        <v>2</v>
      </c>
      <c r="AG218" s="1">
        <v>0.35</v>
      </c>
      <c r="AH218" s="1">
        <v>3.5</v>
      </c>
      <c r="AI218" s="1">
        <v>0.35</v>
      </c>
      <c r="AJ218" s="1"/>
      <c r="AK218" s="1"/>
      <c r="AL218" s="1">
        <v>0</v>
      </c>
    </row>
    <row r="219" spans="1:38" x14ac:dyDescent="0.25">
      <c r="A219" s="187" t="s">
        <v>70</v>
      </c>
      <c r="B219" s="1">
        <v>2</v>
      </c>
      <c r="C219" s="1" t="s">
        <v>418</v>
      </c>
      <c r="D219" s="13">
        <v>39682</v>
      </c>
      <c r="E219" s="174">
        <f t="shared" si="72"/>
        <v>2341</v>
      </c>
      <c r="F219" s="201"/>
      <c r="G219" s="13">
        <v>42023</v>
      </c>
      <c r="H219" s="13">
        <f t="shared" si="73"/>
        <v>41914</v>
      </c>
      <c r="I219" s="13">
        <v>42023</v>
      </c>
      <c r="J219" s="13"/>
      <c r="K219" s="1">
        <f t="shared" si="69"/>
        <v>2341</v>
      </c>
      <c r="L219" s="1">
        <f t="shared" si="70"/>
        <v>109</v>
      </c>
      <c r="M219" s="1">
        <f t="shared" si="71"/>
        <v>0</v>
      </c>
      <c r="N219" s="1" t="s">
        <v>417</v>
      </c>
      <c r="O219" s="1">
        <v>4.9400000000000004</v>
      </c>
      <c r="P219" s="1"/>
      <c r="Q219" s="1"/>
      <c r="R219" s="1"/>
      <c r="S219" s="1"/>
      <c r="T219" s="1"/>
      <c r="U219" s="1"/>
      <c r="V219" s="1"/>
      <c r="W219" s="1"/>
      <c r="X219" s="1"/>
      <c r="Y219" s="1">
        <v>81</v>
      </c>
      <c r="Z219" s="1">
        <v>0</v>
      </c>
      <c r="AA219" s="1"/>
      <c r="AB219" s="1">
        <v>0</v>
      </c>
      <c r="AC219" s="1">
        <v>0</v>
      </c>
      <c r="AD219" s="172">
        <v>60</v>
      </c>
      <c r="AE219" s="1" t="s">
        <v>417</v>
      </c>
      <c r="AF219" s="1">
        <v>2</v>
      </c>
      <c r="AG219" s="1">
        <v>0.35</v>
      </c>
      <c r="AH219" s="1">
        <v>3.5</v>
      </c>
      <c r="AI219" s="1">
        <v>0.35</v>
      </c>
      <c r="AJ219" s="1"/>
      <c r="AK219" s="1"/>
      <c r="AL219" s="1">
        <v>0</v>
      </c>
    </row>
    <row r="220" spans="1:38" x14ac:dyDescent="0.25">
      <c r="A220" s="189" t="s">
        <v>97</v>
      </c>
      <c r="B220" s="1">
        <v>2</v>
      </c>
      <c r="C220" s="1" t="s">
        <v>418</v>
      </c>
      <c r="D220" s="13">
        <v>39147</v>
      </c>
      <c r="E220" s="1">
        <f t="shared" si="72"/>
        <v>2289</v>
      </c>
      <c r="F220" s="1"/>
      <c r="G220" s="13">
        <v>40197</v>
      </c>
      <c r="H220" s="13">
        <v>39147</v>
      </c>
      <c r="I220" s="13">
        <v>41436</v>
      </c>
      <c r="J220" s="13"/>
      <c r="K220" s="1">
        <f t="shared" si="69"/>
        <v>1050</v>
      </c>
      <c r="L220" s="1">
        <f t="shared" si="70"/>
        <v>1050</v>
      </c>
      <c r="M220" s="1">
        <f t="shared" si="71"/>
        <v>1239</v>
      </c>
      <c r="N220" s="1" t="s">
        <v>417</v>
      </c>
      <c r="O220" s="1">
        <v>5.85</v>
      </c>
      <c r="P220" s="1">
        <f t="shared" si="62"/>
        <v>1</v>
      </c>
      <c r="Q220" s="1">
        <f t="shared" si="63"/>
        <v>1</v>
      </c>
      <c r="R220" s="1">
        <f t="shared" si="64"/>
        <v>1</v>
      </c>
      <c r="S220" s="1">
        <f t="shared" si="65"/>
        <v>1</v>
      </c>
      <c r="T220" s="1" t="s">
        <v>437</v>
      </c>
      <c r="U220" s="1"/>
      <c r="V220" s="1"/>
      <c r="W220" s="1"/>
      <c r="X220" s="1"/>
      <c r="Y220" s="1">
        <v>99</v>
      </c>
      <c r="Z220" s="1">
        <v>99</v>
      </c>
      <c r="AA220" s="1"/>
      <c r="AB220" s="1">
        <v>0</v>
      </c>
      <c r="AC220" s="1">
        <v>0</v>
      </c>
      <c r="AD220" s="1">
        <v>60</v>
      </c>
      <c r="AE220" s="1" t="s">
        <v>434</v>
      </c>
      <c r="AF220" s="1">
        <v>2.5</v>
      </c>
      <c r="AG220" s="1">
        <v>0.5</v>
      </c>
      <c r="AH220" s="1">
        <v>2.5</v>
      </c>
      <c r="AI220" s="1">
        <v>0.5</v>
      </c>
      <c r="AJ220" s="1"/>
      <c r="AK220" s="1"/>
      <c r="AL220" s="1">
        <v>0</v>
      </c>
    </row>
    <row r="221" spans="1:38" x14ac:dyDescent="0.25">
      <c r="A221" s="189" t="s">
        <v>97</v>
      </c>
      <c r="B221" s="1">
        <v>2</v>
      </c>
      <c r="C221" s="1" t="s">
        <v>418</v>
      </c>
      <c r="D221" s="13">
        <v>39147</v>
      </c>
      <c r="E221" s="1">
        <f t="shared" si="72"/>
        <v>2289</v>
      </c>
      <c r="F221" s="1"/>
      <c r="G221" s="13">
        <v>40750</v>
      </c>
      <c r="H221" s="13">
        <f>G220</f>
        <v>40197</v>
      </c>
      <c r="I221" s="13">
        <v>41436</v>
      </c>
      <c r="J221" s="13"/>
      <c r="K221" s="1">
        <f t="shared" si="69"/>
        <v>1603</v>
      </c>
      <c r="L221" s="1">
        <f t="shared" si="70"/>
        <v>553</v>
      </c>
      <c r="M221" s="1">
        <f t="shared" si="71"/>
        <v>686</v>
      </c>
      <c r="N221" s="1" t="s">
        <v>417</v>
      </c>
      <c r="O221" s="1">
        <v>5.15</v>
      </c>
      <c r="P221" s="1">
        <f t="shared" si="62"/>
        <v>1</v>
      </c>
      <c r="Q221" s="1">
        <f t="shared" si="63"/>
        <v>1</v>
      </c>
      <c r="R221" s="1">
        <f t="shared" si="64"/>
        <v>1</v>
      </c>
      <c r="S221" s="1">
        <f t="shared" si="65"/>
        <v>1</v>
      </c>
      <c r="T221" s="1" t="s">
        <v>437</v>
      </c>
      <c r="U221" s="1"/>
      <c r="V221" s="1"/>
      <c r="W221" s="1"/>
      <c r="X221" s="1"/>
      <c r="Y221" s="1">
        <v>99</v>
      </c>
      <c r="Z221" s="1">
        <v>91</v>
      </c>
      <c r="AA221" s="1"/>
      <c r="AB221" s="1">
        <v>0</v>
      </c>
      <c r="AC221" s="1">
        <v>0</v>
      </c>
      <c r="AD221" s="1">
        <v>60</v>
      </c>
      <c r="AE221" s="1" t="s">
        <v>434</v>
      </c>
      <c r="AF221" s="1">
        <v>2.5</v>
      </c>
      <c r="AG221" s="1">
        <v>0.5</v>
      </c>
      <c r="AH221" s="1">
        <v>2.5</v>
      </c>
      <c r="AI221" s="1">
        <v>0.5</v>
      </c>
      <c r="AJ221" s="1"/>
      <c r="AK221" s="1"/>
      <c r="AL221" s="1">
        <v>0</v>
      </c>
    </row>
    <row r="222" spans="1:38" x14ac:dyDescent="0.25">
      <c r="A222" s="189" t="s">
        <v>97</v>
      </c>
      <c r="B222" s="1">
        <v>2</v>
      </c>
      <c r="C222" s="1" t="s">
        <v>418</v>
      </c>
      <c r="D222" s="13">
        <v>39147</v>
      </c>
      <c r="E222" s="174">
        <f t="shared" si="72"/>
        <v>2289</v>
      </c>
      <c r="F222" s="201"/>
      <c r="G222" s="13">
        <v>40960</v>
      </c>
      <c r="H222" s="13">
        <f t="shared" ref="H222:H227" si="74">G221</f>
        <v>40750</v>
      </c>
      <c r="I222" s="13">
        <v>41436</v>
      </c>
      <c r="J222" s="13"/>
      <c r="K222" s="1">
        <f t="shared" si="69"/>
        <v>1813</v>
      </c>
      <c r="L222" s="1">
        <f t="shared" si="70"/>
        <v>210</v>
      </c>
      <c r="M222" s="1">
        <f t="shared" si="71"/>
        <v>476</v>
      </c>
      <c r="N222" s="1" t="s">
        <v>417</v>
      </c>
      <c r="O222" s="1">
        <v>5.13</v>
      </c>
      <c r="P222" s="1"/>
      <c r="Q222" s="1">
        <f t="shared" si="63"/>
        <v>1</v>
      </c>
      <c r="R222" s="1">
        <f t="shared" si="64"/>
        <v>1</v>
      </c>
      <c r="S222" s="1">
        <f t="shared" si="65"/>
        <v>1</v>
      </c>
      <c r="T222" s="1" t="s">
        <v>442</v>
      </c>
      <c r="U222" s="1"/>
      <c r="V222" s="1"/>
      <c r="W222" s="1"/>
      <c r="X222" s="1"/>
      <c r="Y222" s="1">
        <v>99</v>
      </c>
      <c r="Z222" s="1">
        <v>95</v>
      </c>
      <c r="AA222" s="1"/>
      <c r="AB222" s="1">
        <v>0</v>
      </c>
      <c r="AC222" s="98">
        <v>0</v>
      </c>
      <c r="AD222" s="172">
        <v>60</v>
      </c>
      <c r="AE222" s="1" t="s">
        <v>434</v>
      </c>
      <c r="AF222" s="1">
        <v>2.5</v>
      </c>
      <c r="AG222" s="1">
        <v>0.5</v>
      </c>
      <c r="AH222" s="1">
        <v>2.5</v>
      </c>
      <c r="AI222" s="1">
        <v>0.5</v>
      </c>
      <c r="AJ222" s="1"/>
      <c r="AK222" s="1"/>
      <c r="AL222" s="1">
        <v>0</v>
      </c>
    </row>
    <row r="223" spans="1:38" x14ac:dyDescent="0.25">
      <c r="A223" s="189" t="s">
        <v>97</v>
      </c>
      <c r="B223" s="1">
        <v>2</v>
      </c>
      <c r="C223" s="1" t="s">
        <v>418</v>
      </c>
      <c r="D223" s="13">
        <v>39147</v>
      </c>
      <c r="E223" s="174">
        <f t="shared" si="72"/>
        <v>2289</v>
      </c>
      <c r="F223" s="201"/>
      <c r="G223" s="13">
        <v>41138</v>
      </c>
      <c r="H223" s="13">
        <f t="shared" si="74"/>
        <v>40960</v>
      </c>
      <c r="I223" s="13">
        <v>41436</v>
      </c>
      <c r="J223" s="13"/>
      <c r="K223" s="1">
        <f t="shared" si="69"/>
        <v>1991</v>
      </c>
      <c r="L223" s="1">
        <f t="shared" si="70"/>
        <v>178</v>
      </c>
      <c r="M223" s="1">
        <f t="shared" si="71"/>
        <v>298</v>
      </c>
      <c r="N223" s="1" t="s">
        <v>417</v>
      </c>
      <c r="O223" s="1">
        <v>5.1100000000000003</v>
      </c>
      <c r="P223" s="1"/>
      <c r="Q223" s="1"/>
      <c r="R223" s="1">
        <f t="shared" si="64"/>
        <v>1</v>
      </c>
      <c r="S223" s="1">
        <f t="shared" si="65"/>
        <v>1</v>
      </c>
      <c r="T223" s="1" t="s">
        <v>442</v>
      </c>
      <c r="U223" s="1"/>
      <c r="V223" s="1"/>
      <c r="W223" s="1"/>
      <c r="X223" s="1"/>
      <c r="Y223" s="1">
        <v>99</v>
      </c>
      <c r="Z223" s="1">
        <v>100</v>
      </c>
      <c r="AA223" s="1"/>
      <c r="AB223" s="1">
        <v>0</v>
      </c>
      <c r="AC223" s="98">
        <v>0</v>
      </c>
      <c r="AD223" s="172">
        <v>60</v>
      </c>
      <c r="AE223" s="1" t="s">
        <v>434</v>
      </c>
      <c r="AF223" s="1">
        <v>2.5</v>
      </c>
      <c r="AG223" s="1">
        <v>0.5</v>
      </c>
      <c r="AH223" s="1">
        <v>2.5</v>
      </c>
      <c r="AI223" s="1">
        <v>0.5</v>
      </c>
      <c r="AJ223" s="1"/>
      <c r="AK223" s="1"/>
      <c r="AL223" s="1">
        <v>0</v>
      </c>
    </row>
    <row r="224" spans="1:38" x14ac:dyDescent="0.25">
      <c r="A224" s="189" t="s">
        <v>97</v>
      </c>
      <c r="B224" s="1">
        <v>2</v>
      </c>
      <c r="C224" s="1" t="s">
        <v>418</v>
      </c>
      <c r="D224" s="13">
        <v>39147</v>
      </c>
      <c r="E224" s="1">
        <f t="shared" si="72"/>
        <v>2289</v>
      </c>
      <c r="F224" s="1"/>
      <c r="G224" s="13">
        <v>41163</v>
      </c>
      <c r="H224" s="13">
        <f t="shared" si="74"/>
        <v>41138</v>
      </c>
      <c r="I224" s="13">
        <v>41436</v>
      </c>
      <c r="J224" s="13"/>
      <c r="K224" s="1">
        <f t="shared" si="69"/>
        <v>2016</v>
      </c>
      <c r="L224" s="1">
        <f t="shared" si="70"/>
        <v>25</v>
      </c>
      <c r="M224" s="1">
        <f t="shared" si="71"/>
        <v>273</v>
      </c>
      <c r="N224" s="1" t="s">
        <v>417</v>
      </c>
      <c r="O224" s="1">
        <v>5.1100000000000003</v>
      </c>
      <c r="P224" s="1"/>
      <c r="Q224" s="1"/>
      <c r="R224" s="1">
        <f t="shared" si="64"/>
        <v>1</v>
      </c>
      <c r="S224" s="1">
        <f t="shared" si="65"/>
        <v>1</v>
      </c>
      <c r="T224" s="1" t="s">
        <v>442</v>
      </c>
      <c r="U224" s="1"/>
      <c r="V224" s="1"/>
      <c r="W224" s="1"/>
      <c r="X224" s="1"/>
      <c r="Y224" s="1">
        <v>100</v>
      </c>
      <c r="Z224" s="1">
        <v>2</v>
      </c>
      <c r="AA224" s="1"/>
      <c r="AB224" s="1">
        <v>0</v>
      </c>
      <c r="AC224" s="1">
        <v>0</v>
      </c>
      <c r="AD224" s="1">
        <v>60</v>
      </c>
      <c r="AE224" s="1" t="s">
        <v>434</v>
      </c>
      <c r="AF224" s="1">
        <v>2.5</v>
      </c>
      <c r="AG224" s="1">
        <v>0.5</v>
      </c>
      <c r="AH224" s="1">
        <v>2.5</v>
      </c>
      <c r="AI224" s="1">
        <v>0.5</v>
      </c>
      <c r="AJ224" s="1"/>
      <c r="AK224" s="1"/>
      <c r="AL224" s="1">
        <v>0</v>
      </c>
    </row>
    <row r="225" spans="1:38" x14ac:dyDescent="0.25">
      <c r="A225" s="189" t="s">
        <v>97</v>
      </c>
      <c r="B225" s="1">
        <v>2</v>
      </c>
      <c r="C225" s="1" t="s">
        <v>418</v>
      </c>
      <c r="D225" s="13">
        <v>39147</v>
      </c>
      <c r="E225" s="174">
        <f t="shared" si="72"/>
        <v>2289</v>
      </c>
      <c r="F225" s="201"/>
      <c r="G225" s="13">
        <v>41345</v>
      </c>
      <c r="H225" s="13">
        <f t="shared" si="74"/>
        <v>41163</v>
      </c>
      <c r="I225" s="13">
        <v>41436</v>
      </c>
      <c r="J225" s="13"/>
      <c r="K225" s="1">
        <f t="shared" si="69"/>
        <v>2198</v>
      </c>
      <c r="L225" s="1">
        <f t="shared" si="70"/>
        <v>182</v>
      </c>
      <c r="M225" s="1">
        <f t="shared" si="71"/>
        <v>91</v>
      </c>
      <c r="N225" s="1" t="s">
        <v>417</v>
      </c>
      <c r="O225" s="1">
        <v>4.9800000000000004</v>
      </c>
      <c r="P225" s="1"/>
      <c r="Q225" s="1"/>
      <c r="R225" s="1"/>
      <c r="S225" s="1">
        <f t="shared" si="65"/>
        <v>1</v>
      </c>
      <c r="T225" s="1" t="s">
        <v>442</v>
      </c>
      <c r="U225" s="1"/>
      <c r="V225" s="1"/>
      <c r="W225" s="1"/>
      <c r="X225" s="1"/>
      <c r="Y225" s="1">
        <v>100</v>
      </c>
      <c r="Z225" s="1">
        <v>1</v>
      </c>
      <c r="AA225" s="1"/>
      <c r="AB225" s="1">
        <v>0</v>
      </c>
      <c r="AC225" s="98">
        <v>0</v>
      </c>
      <c r="AD225" s="172">
        <v>60</v>
      </c>
      <c r="AE225" s="1" t="s">
        <v>434</v>
      </c>
      <c r="AF225" s="1">
        <v>2.5</v>
      </c>
      <c r="AG225" s="1">
        <v>0.5</v>
      </c>
      <c r="AH225" s="1">
        <v>2.5</v>
      </c>
      <c r="AI225" s="1">
        <v>0.5</v>
      </c>
      <c r="AJ225" s="1"/>
      <c r="AK225" s="1"/>
      <c r="AL225" s="1">
        <v>0</v>
      </c>
    </row>
    <row r="226" spans="1:38" x14ac:dyDescent="0.25">
      <c r="A226" s="189" t="s">
        <v>97</v>
      </c>
      <c r="B226" s="1">
        <v>2</v>
      </c>
      <c r="C226" s="1" t="s">
        <v>418</v>
      </c>
      <c r="D226" s="13">
        <v>39147</v>
      </c>
      <c r="E226" s="174">
        <f t="shared" si="72"/>
        <v>2289</v>
      </c>
      <c r="F226" s="201"/>
      <c r="G226" s="13">
        <v>41401</v>
      </c>
      <c r="H226" s="13">
        <f t="shared" si="74"/>
        <v>41345</v>
      </c>
      <c r="I226" s="13">
        <v>41436</v>
      </c>
      <c r="J226" s="13"/>
      <c r="K226" s="1">
        <f t="shared" si="69"/>
        <v>2254</v>
      </c>
      <c r="L226" s="1">
        <f t="shared" si="70"/>
        <v>56</v>
      </c>
      <c r="M226" s="1">
        <f t="shared" si="71"/>
        <v>35</v>
      </c>
      <c r="N226" s="1" t="s">
        <v>417</v>
      </c>
      <c r="O226" s="1">
        <v>4.88</v>
      </c>
      <c r="P226" s="1"/>
      <c r="Q226" s="1"/>
      <c r="R226" s="1"/>
      <c r="S226" s="1"/>
      <c r="T226" s="1" t="s">
        <v>442</v>
      </c>
      <c r="U226" s="1"/>
      <c r="V226" s="1"/>
      <c r="W226" s="1"/>
      <c r="X226" s="1"/>
      <c r="Y226" s="1">
        <v>100</v>
      </c>
      <c r="Z226" s="1">
        <v>0</v>
      </c>
      <c r="AA226" s="1"/>
      <c r="AB226" s="1">
        <v>0</v>
      </c>
      <c r="AC226" s="98">
        <v>0</v>
      </c>
      <c r="AD226" s="172">
        <v>60</v>
      </c>
      <c r="AE226" s="1" t="s">
        <v>434</v>
      </c>
      <c r="AF226" s="1">
        <v>2.5</v>
      </c>
      <c r="AG226" s="1">
        <v>0.5</v>
      </c>
      <c r="AH226" s="1">
        <v>2.5</v>
      </c>
      <c r="AI226" s="1">
        <v>0.5</v>
      </c>
      <c r="AJ226" s="1"/>
      <c r="AK226" s="1"/>
      <c r="AL226" s="1">
        <v>0</v>
      </c>
    </row>
    <row r="227" spans="1:38" x14ac:dyDescent="0.25">
      <c r="A227" s="189" t="s">
        <v>97</v>
      </c>
      <c r="B227" s="1">
        <v>2</v>
      </c>
      <c r="C227" s="1" t="s">
        <v>418</v>
      </c>
      <c r="D227" s="13">
        <v>39147</v>
      </c>
      <c r="E227" s="174">
        <f t="shared" si="72"/>
        <v>2289</v>
      </c>
      <c r="F227" s="201"/>
      <c r="G227" s="13">
        <v>41436</v>
      </c>
      <c r="H227" s="13">
        <f t="shared" si="74"/>
        <v>41401</v>
      </c>
      <c r="I227" s="13">
        <v>41436</v>
      </c>
      <c r="J227" s="13"/>
      <c r="K227" s="1">
        <f t="shared" si="69"/>
        <v>2289</v>
      </c>
      <c r="L227" s="1">
        <f t="shared" si="70"/>
        <v>35</v>
      </c>
      <c r="M227" s="1">
        <f t="shared" si="71"/>
        <v>0</v>
      </c>
      <c r="N227" s="1" t="s">
        <v>434</v>
      </c>
      <c r="O227" s="1">
        <v>4.8</v>
      </c>
      <c r="P227" s="1"/>
      <c r="Q227" s="1"/>
      <c r="R227" s="1"/>
      <c r="S227" s="1"/>
      <c r="T227" s="1"/>
      <c r="U227" s="1">
        <v>0</v>
      </c>
      <c r="V227" s="1">
        <v>0</v>
      </c>
      <c r="W227" s="1">
        <v>0</v>
      </c>
      <c r="X227" s="1">
        <v>0</v>
      </c>
      <c r="Y227" s="1">
        <v>99</v>
      </c>
      <c r="Z227" s="1">
        <v>0</v>
      </c>
      <c r="AA227" s="1"/>
      <c r="AB227" s="1">
        <v>0</v>
      </c>
      <c r="AC227" s="98">
        <v>0</v>
      </c>
      <c r="AD227" s="172">
        <v>60</v>
      </c>
      <c r="AE227" s="1" t="s">
        <v>417</v>
      </c>
      <c r="AF227" s="1">
        <v>2.5</v>
      </c>
      <c r="AG227" s="1">
        <v>0.5</v>
      </c>
      <c r="AH227" s="1">
        <v>2.5</v>
      </c>
      <c r="AI227" s="1">
        <v>0.5</v>
      </c>
      <c r="AJ227" s="1"/>
      <c r="AK227" s="1"/>
      <c r="AL227" s="1">
        <v>0</v>
      </c>
    </row>
    <row r="228" spans="1:38" x14ac:dyDescent="0.25">
      <c r="A228" s="192" t="s">
        <v>75</v>
      </c>
      <c r="B228" s="1">
        <v>2</v>
      </c>
      <c r="C228" s="1" t="s">
        <v>418</v>
      </c>
      <c r="D228" s="13">
        <v>39231</v>
      </c>
      <c r="E228" s="1">
        <f t="shared" si="72"/>
        <v>2561</v>
      </c>
      <c r="F228" s="1"/>
      <c r="G228" s="13">
        <v>40134</v>
      </c>
      <c r="H228" s="13">
        <v>39231</v>
      </c>
      <c r="I228" s="13">
        <v>41792</v>
      </c>
      <c r="J228" s="13"/>
      <c r="K228" s="1">
        <f t="shared" si="69"/>
        <v>903</v>
      </c>
      <c r="L228" s="1">
        <f t="shared" si="70"/>
        <v>903</v>
      </c>
      <c r="M228" s="1">
        <f t="shared" si="71"/>
        <v>1658</v>
      </c>
      <c r="N228" s="1" t="s">
        <v>417</v>
      </c>
      <c r="O228" s="1">
        <v>6.05</v>
      </c>
      <c r="P228" s="1">
        <f t="shared" si="62"/>
        <v>1</v>
      </c>
      <c r="Q228" s="1">
        <f t="shared" si="63"/>
        <v>1</v>
      </c>
      <c r="R228" s="1">
        <f t="shared" si="64"/>
        <v>1</v>
      </c>
      <c r="S228" s="1">
        <f t="shared" si="65"/>
        <v>1</v>
      </c>
      <c r="T228" s="1" t="s">
        <v>437</v>
      </c>
      <c r="U228" s="1"/>
      <c r="V228" s="1"/>
      <c r="W228" s="1"/>
      <c r="X228" s="1"/>
      <c r="Y228" s="1">
        <v>8</v>
      </c>
      <c r="Z228" s="1">
        <v>0</v>
      </c>
      <c r="AA228" s="1"/>
      <c r="AB228" s="1">
        <v>1</v>
      </c>
      <c r="AC228" s="1">
        <v>0</v>
      </c>
      <c r="AD228" s="1">
        <v>60</v>
      </c>
      <c r="AE228" s="1" t="s">
        <v>417</v>
      </c>
      <c r="AF228" s="1">
        <v>2</v>
      </c>
      <c r="AG228" s="1">
        <v>0.35</v>
      </c>
      <c r="AH228" s="1">
        <v>2.5</v>
      </c>
      <c r="AI228" s="1">
        <v>0.35</v>
      </c>
      <c r="AJ228" s="1"/>
      <c r="AK228" s="1"/>
      <c r="AL228" s="1">
        <v>0</v>
      </c>
    </row>
    <row r="229" spans="1:38" x14ac:dyDescent="0.25">
      <c r="A229" s="192" t="s">
        <v>75</v>
      </c>
      <c r="B229" s="1">
        <v>2</v>
      </c>
      <c r="C229" s="1" t="s">
        <v>418</v>
      </c>
      <c r="D229" s="13">
        <v>39231</v>
      </c>
      <c r="E229" s="1">
        <f t="shared" si="72"/>
        <v>2561</v>
      </c>
      <c r="F229" s="1"/>
      <c r="G229" s="13">
        <v>40316</v>
      </c>
      <c r="H229" s="13">
        <f>G228</f>
        <v>40134</v>
      </c>
      <c r="I229" s="13">
        <v>41792</v>
      </c>
      <c r="J229" s="13"/>
      <c r="K229" s="1">
        <f t="shared" si="69"/>
        <v>1085</v>
      </c>
      <c r="L229" s="1">
        <f t="shared" si="70"/>
        <v>182</v>
      </c>
      <c r="M229" s="1">
        <f t="shared" si="71"/>
        <v>1476</v>
      </c>
      <c r="N229" s="1" t="s">
        <v>417</v>
      </c>
      <c r="O229" s="1">
        <v>5.91</v>
      </c>
      <c r="P229" s="1">
        <f t="shared" si="62"/>
        <v>1</v>
      </c>
      <c r="Q229" s="1">
        <f t="shared" si="63"/>
        <v>1</v>
      </c>
      <c r="R229" s="1">
        <f t="shared" si="64"/>
        <v>1</v>
      </c>
      <c r="S229" s="1">
        <f t="shared" si="65"/>
        <v>1</v>
      </c>
      <c r="T229" s="1" t="s">
        <v>437</v>
      </c>
      <c r="U229" s="1"/>
      <c r="V229" s="1"/>
      <c r="W229" s="1"/>
      <c r="X229" s="1"/>
      <c r="Y229" s="1">
        <v>5</v>
      </c>
      <c r="Z229" s="1">
        <v>0</v>
      </c>
      <c r="AA229" s="1"/>
      <c r="AB229" s="1">
        <v>0</v>
      </c>
      <c r="AC229" s="1">
        <v>0</v>
      </c>
      <c r="AD229" s="1">
        <v>60</v>
      </c>
      <c r="AE229" s="1" t="s">
        <v>417</v>
      </c>
      <c r="AF229" s="1">
        <v>2</v>
      </c>
      <c r="AG229" s="1">
        <v>0.35</v>
      </c>
      <c r="AH229" s="1">
        <v>2.5</v>
      </c>
      <c r="AI229" s="1">
        <v>0.35</v>
      </c>
      <c r="AJ229" s="1"/>
      <c r="AK229" s="1"/>
      <c r="AL229" s="1">
        <v>0</v>
      </c>
    </row>
    <row r="230" spans="1:38" x14ac:dyDescent="0.25">
      <c r="A230" s="192" t="s">
        <v>75</v>
      </c>
      <c r="B230" s="1">
        <v>2</v>
      </c>
      <c r="C230" s="1" t="s">
        <v>418</v>
      </c>
      <c r="D230" s="13">
        <v>39231</v>
      </c>
      <c r="E230" s="174">
        <f t="shared" si="72"/>
        <v>2561</v>
      </c>
      <c r="F230" s="201"/>
      <c r="G230" s="13">
        <v>40730</v>
      </c>
      <c r="H230" s="13">
        <f>G229</f>
        <v>40316</v>
      </c>
      <c r="I230" s="13">
        <v>41792</v>
      </c>
      <c r="J230" s="13"/>
      <c r="K230" s="1">
        <f t="shared" si="69"/>
        <v>1499</v>
      </c>
      <c r="L230" s="1">
        <f t="shared" si="70"/>
        <v>414</v>
      </c>
      <c r="M230" s="1">
        <f t="shared" si="71"/>
        <v>1062</v>
      </c>
      <c r="N230" s="1" t="s">
        <v>417</v>
      </c>
      <c r="O230" s="1">
        <v>5.26</v>
      </c>
      <c r="P230" s="1">
        <f t="shared" si="62"/>
        <v>1</v>
      </c>
      <c r="Q230" s="1">
        <f t="shared" si="63"/>
        <v>1</v>
      </c>
      <c r="R230" s="1">
        <f t="shared" si="64"/>
        <v>1</v>
      </c>
      <c r="S230" s="1">
        <f t="shared" si="65"/>
        <v>1</v>
      </c>
      <c r="T230" s="1" t="s">
        <v>437</v>
      </c>
      <c r="U230" s="1"/>
      <c r="V230" s="1"/>
      <c r="W230" s="1"/>
      <c r="X230" s="1"/>
      <c r="Y230" s="1">
        <v>3</v>
      </c>
      <c r="Z230" s="1">
        <v>0</v>
      </c>
      <c r="AA230" s="1"/>
      <c r="AB230" s="1">
        <v>0</v>
      </c>
      <c r="AC230" s="98">
        <v>0</v>
      </c>
      <c r="AD230" s="172">
        <v>60</v>
      </c>
      <c r="AE230" s="1" t="s">
        <v>417</v>
      </c>
      <c r="AF230" s="1">
        <v>2</v>
      </c>
      <c r="AG230" s="1">
        <v>0.35</v>
      </c>
      <c r="AH230" s="1">
        <v>2.5</v>
      </c>
      <c r="AI230" s="1">
        <v>0.35</v>
      </c>
      <c r="AJ230" s="1"/>
      <c r="AK230" s="1"/>
      <c r="AL230" s="1">
        <v>0</v>
      </c>
    </row>
    <row r="231" spans="1:38" x14ac:dyDescent="0.25">
      <c r="A231" s="192" t="s">
        <v>75</v>
      </c>
      <c r="B231" s="1">
        <v>2</v>
      </c>
      <c r="C231" s="1" t="s">
        <v>418</v>
      </c>
      <c r="D231" s="13">
        <v>39231</v>
      </c>
      <c r="E231" s="174">
        <f t="shared" si="72"/>
        <v>2561</v>
      </c>
      <c r="F231" s="201"/>
      <c r="G231" s="13">
        <v>40940</v>
      </c>
      <c r="H231" s="13">
        <f t="shared" ref="H231:H238" si="75">G230</f>
        <v>40730</v>
      </c>
      <c r="I231" s="13">
        <v>41792</v>
      </c>
      <c r="J231" s="13"/>
      <c r="K231" s="1">
        <f t="shared" si="69"/>
        <v>1709</v>
      </c>
      <c r="L231" s="1">
        <f t="shared" si="70"/>
        <v>210</v>
      </c>
      <c r="M231" s="1">
        <f t="shared" si="71"/>
        <v>852</v>
      </c>
      <c r="N231" s="1" t="s">
        <v>417</v>
      </c>
      <c r="O231" s="1">
        <v>5.18</v>
      </c>
      <c r="P231" s="1">
        <f t="shared" si="62"/>
        <v>1</v>
      </c>
      <c r="Q231" s="1">
        <f t="shared" si="63"/>
        <v>1</v>
      </c>
      <c r="R231" s="1">
        <f t="shared" si="64"/>
        <v>1</v>
      </c>
      <c r="S231" s="1">
        <f t="shared" si="65"/>
        <v>1</v>
      </c>
      <c r="T231" s="1" t="s">
        <v>437</v>
      </c>
      <c r="U231" s="1"/>
      <c r="V231" s="1"/>
      <c r="W231" s="1"/>
      <c r="X231" s="1"/>
      <c r="Y231" s="1">
        <v>10</v>
      </c>
      <c r="Z231" s="1">
        <v>0</v>
      </c>
      <c r="AA231" s="1"/>
      <c r="AB231" s="1">
        <v>1</v>
      </c>
      <c r="AC231" s="98">
        <v>0</v>
      </c>
      <c r="AD231" s="172">
        <v>60</v>
      </c>
      <c r="AE231" s="1" t="s">
        <v>417</v>
      </c>
      <c r="AF231" s="1">
        <v>2</v>
      </c>
      <c r="AG231" s="1">
        <v>0.35</v>
      </c>
      <c r="AH231" s="1">
        <v>2.5</v>
      </c>
      <c r="AI231" s="1">
        <v>0.35</v>
      </c>
      <c r="AJ231" s="1"/>
      <c r="AK231" s="1"/>
      <c r="AL231" s="1">
        <v>0</v>
      </c>
    </row>
    <row r="232" spans="1:38" x14ac:dyDescent="0.25">
      <c r="A232" s="192" t="s">
        <v>75</v>
      </c>
      <c r="B232" s="1">
        <v>2</v>
      </c>
      <c r="C232" s="1" t="s">
        <v>418</v>
      </c>
      <c r="D232" s="13">
        <v>39231</v>
      </c>
      <c r="E232" s="174">
        <f t="shared" si="72"/>
        <v>2561</v>
      </c>
      <c r="F232" s="201"/>
      <c r="G232" s="13">
        <v>41121</v>
      </c>
      <c r="H232" s="13">
        <f t="shared" si="75"/>
        <v>40940</v>
      </c>
      <c r="I232" s="13">
        <v>41792</v>
      </c>
      <c r="J232" s="13"/>
      <c r="K232" s="1">
        <f t="shared" si="69"/>
        <v>1890</v>
      </c>
      <c r="L232" s="1">
        <f t="shared" si="70"/>
        <v>181</v>
      </c>
      <c r="M232" s="1">
        <f t="shared" si="71"/>
        <v>671</v>
      </c>
      <c r="N232" s="1" t="s">
        <v>417</v>
      </c>
      <c r="O232" s="1">
        <v>5.16</v>
      </c>
      <c r="P232" s="1">
        <f t="shared" si="62"/>
        <v>1</v>
      </c>
      <c r="Q232" s="1">
        <f t="shared" si="63"/>
        <v>1</v>
      </c>
      <c r="R232" s="1">
        <f t="shared" si="64"/>
        <v>1</v>
      </c>
      <c r="S232" s="1">
        <f t="shared" si="65"/>
        <v>1</v>
      </c>
      <c r="T232" s="1" t="s">
        <v>437</v>
      </c>
      <c r="U232" s="1"/>
      <c r="V232" s="1"/>
      <c r="W232" s="1"/>
      <c r="X232" s="1"/>
      <c r="Y232" s="1">
        <v>16</v>
      </c>
      <c r="Z232" s="1">
        <v>0</v>
      </c>
      <c r="AA232" s="1"/>
      <c r="AB232" s="1">
        <v>0</v>
      </c>
      <c r="AC232" s="98">
        <v>0</v>
      </c>
      <c r="AD232" s="172">
        <v>60</v>
      </c>
      <c r="AE232" s="1" t="s">
        <v>417</v>
      </c>
      <c r="AF232" s="1">
        <v>2</v>
      </c>
      <c r="AG232" s="1">
        <v>0.35</v>
      </c>
      <c r="AH232" s="1">
        <v>2.5</v>
      </c>
      <c r="AI232" s="1">
        <v>0.35</v>
      </c>
      <c r="AJ232" s="1"/>
      <c r="AK232" s="1"/>
      <c r="AL232" s="1">
        <v>0</v>
      </c>
    </row>
    <row r="233" spans="1:38" x14ac:dyDescent="0.25">
      <c r="A233" s="192" t="s">
        <v>75</v>
      </c>
      <c r="B233" s="1">
        <v>2</v>
      </c>
      <c r="C233" s="1" t="s">
        <v>418</v>
      </c>
      <c r="D233" s="13">
        <v>39231</v>
      </c>
      <c r="E233" s="174">
        <f t="shared" si="72"/>
        <v>2561</v>
      </c>
      <c r="F233" s="201"/>
      <c r="G233" s="13">
        <v>41324</v>
      </c>
      <c r="H233" s="13">
        <f t="shared" si="75"/>
        <v>41121</v>
      </c>
      <c r="I233" s="13">
        <v>41792</v>
      </c>
      <c r="J233" s="13"/>
      <c r="K233" s="1">
        <f t="shared" si="69"/>
        <v>2093</v>
      </c>
      <c r="L233" s="1">
        <f t="shared" si="70"/>
        <v>203</v>
      </c>
      <c r="M233" s="1">
        <f t="shared" si="71"/>
        <v>468</v>
      </c>
      <c r="N233" s="1" t="s">
        <v>417</v>
      </c>
      <c r="O233" s="1">
        <v>5.14</v>
      </c>
      <c r="P233" s="1"/>
      <c r="Q233" s="1">
        <f t="shared" ref="Q233:Q296" si="76">IF(M233&gt;=360,1,"nulo")</f>
        <v>1</v>
      </c>
      <c r="R233" s="1">
        <f t="shared" ref="R233:R296" si="77">IF(M233&gt;=180,1,"nulo")</f>
        <v>1</v>
      </c>
      <c r="S233" s="1">
        <f t="shared" ref="S233:S296" si="78">IF(M233&gt;=90,1,"nulo")</f>
        <v>1</v>
      </c>
      <c r="T233" s="1" t="s">
        <v>442</v>
      </c>
      <c r="U233" s="1"/>
      <c r="V233" s="1"/>
      <c r="W233" s="1"/>
      <c r="X233" s="1"/>
      <c r="Y233" s="1">
        <v>28</v>
      </c>
      <c r="Z233" s="1">
        <v>1</v>
      </c>
      <c r="AA233" s="1"/>
      <c r="AB233" s="1">
        <v>0</v>
      </c>
      <c r="AC233" s="98">
        <v>0</v>
      </c>
      <c r="AD233" s="172">
        <v>60</v>
      </c>
      <c r="AE233" s="1" t="s">
        <v>417</v>
      </c>
      <c r="AF233" s="1">
        <v>2</v>
      </c>
      <c r="AG233" s="1">
        <v>0.35</v>
      </c>
      <c r="AH233" s="1">
        <v>2.5</v>
      </c>
      <c r="AI233" s="1">
        <v>0.35</v>
      </c>
      <c r="AJ233" s="1"/>
      <c r="AK233" s="1"/>
      <c r="AL233" s="1">
        <v>0</v>
      </c>
    </row>
    <row r="234" spans="1:38" x14ac:dyDescent="0.25">
      <c r="A234" s="192" t="s">
        <v>75</v>
      </c>
      <c r="B234" s="1">
        <v>2</v>
      </c>
      <c r="C234" s="1" t="s">
        <v>418</v>
      </c>
      <c r="D234" s="13">
        <v>39231</v>
      </c>
      <c r="E234" s="174">
        <f t="shared" si="72"/>
        <v>2561</v>
      </c>
      <c r="F234" s="201"/>
      <c r="G234" s="13">
        <v>41422</v>
      </c>
      <c r="H234" s="13">
        <f t="shared" si="75"/>
        <v>41324</v>
      </c>
      <c r="I234" s="13">
        <v>41792</v>
      </c>
      <c r="J234" s="13"/>
      <c r="K234" s="1">
        <f t="shared" si="69"/>
        <v>2191</v>
      </c>
      <c r="L234" s="1">
        <f t="shared" si="70"/>
        <v>98</v>
      </c>
      <c r="M234" s="1">
        <f t="shared" si="71"/>
        <v>370</v>
      </c>
      <c r="N234" s="1" t="s">
        <v>417</v>
      </c>
      <c r="O234" s="1">
        <v>5.14</v>
      </c>
      <c r="P234" s="1"/>
      <c r="Q234" s="1">
        <f t="shared" si="76"/>
        <v>1</v>
      </c>
      <c r="R234" s="1">
        <f t="shared" si="77"/>
        <v>1</v>
      </c>
      <c r="S234" s="1">
        <f t="shared" si="78"/>
        <v>1</v>
      </c>
      <c r="T234" s="1" t="s">
        <v>442</v>
      </c>
      <c r="U234" s="1"/>
      <c r="V234" s="1"/>
      <c r="W234" s="1"/>
      <c r="X234" s="1"/>
      <c r="Y234" s="1">
        <v>24</v>
      </c>
      <c r="Z234" s="1">
        <v>0</v>
      </c>
      <c r="AA234" s="1"/>
      <c r="AB234" s="1">
        <v>0</v>
      </c>
      <c r="AC234" s="98">
        <v>0</v>
      </c>
      <c r="AD234" s="172">
        <v>60</v>
      </c>
      <c r="AE234" s="1" t="s">
        <v>417</v>
      </c>
      <c r="AF234" s="1">
        <v>2</v>
      </c>
      <c r="AG234" s="1">
        <v>0.35</v>
      </c>
      <c r="AH234" s="1">
        <v>2.5</v>
      </c>
      <c r="AI234" s="1">
        <v>0.35</v>
      </c>
      <c r="AJ234" s="1"/>
      <c r="AK234" s="1"/>
      <c r="AL234" s="1">
        <v>0</v>
      </c>
    </row>
    <row r="235" spans="1:38" x14ac:dyDescent="0.25">
      <c r="A235" s="192" t="s">
        <v>75</v>
      </c>
      <c r="B235" s="1">
        <v>2</v>
      </c>
      <c r="C235" s="1" t="s">
        <v>418</v>
      </c>
      <c r="D235" s="13">
        <v>39231</v>
      </c>
      <c r="E235" s="174">
        <f t="shared" si="72"/>
        <v>2561</v>
      </c>
      <c r="F235" s="201"/>
      <c r="G235" s="13">
        <v>41499</v>
      </c>
      <c r="H235" s="13">
        <f t="shared" si="75"/>
        <v>41422</v>
      </c>
      <c r="I235" s="13">
        <v>41792</v>
      </c>
      <c r="J235" s="13"/>
      <c r="K235" s="1">
        <f t="shared" si="69"/>
        <v>2268</v>
      </c>
      <c r="L235" s="1">
        <f t="shared" si="70"/>
        <v>77</v>
      </c>
      <c r="M235" s="1">
        <f t="shared" si="71"/>
        <v>293</v>
      </c>
      <c r="N235" s="1" t="s">
        <v>417</v>
      </c>
      <c r="O235" s="1">
        <v>5.12</v>
      </c>
      <c r="P235" s="1"/>
      <c r="Q235" s="1"/>
      <c r="R235" s="1">
        <f t="shared" si="77"/>
        <v>1</v>
      </c>
      <c r="S235" s="1">
        <f t="shared" si="78"/>
        <v>1</v>
      </c>
      <c r="T235" s="1" t="s">
        <v>442</v>
      </c>
      <c r="U235" s="1"/>
      <c r="V235" s="1"/>
      <c r="W235" s="1"/>
      <c r="X235" s="1"/>
      <c r="Y235" s="1">
        <v>24</v>
      </c>
      <c r="Z235" s="1">
        <v>0</v>
      </c>
      <c r="AA235" s="1"/>
      <c r="AB235" s="1">
        <v>0</v>
      </c>
      <c r="AC235" s="98">
        <v>0</v>
      </c>
      <c r="AD235" s="172">
        <v>60</v>
      </c>
      <c r="AE235" s="1" t="s">
        <v>417</v>
      </c>
      <c r="AF235" s="1">
        <v>2</v>
      </c>
      <c r="AG235" s="1">
        <v>0.35</v>
      </c>
      <c r="AH235" s="1">
        <v>2.5</v>
      </c>
      <c r="AI235" s="1">
        <v>0.35</v>
      </c>
      <c r="AJ235" s="1"/>
      <c r="AK235" s="1"/>
      <c r="AL235" s="1">
        <v>0</v>
      </c>
    </row>
    <row r="236" spans="1:38" x14ac:dyDescent="0.25">
      <c r="A236" s="192" t="s">
        <v>75</v>
      </c>
      <c r="B236" s="1">
        <v>2</v>
      </c>
      <c r="C236" s="1" t="s">
        <v>418</v>
      </c>
      <c r="D236" s="13">
        <v>39231</v>
      </c>
      <c r="E236" s="174">
        <f t="shared" si="72"/>
        <v>2561</v>
      </c>
      <c r="F236" s="201"/>
      <c r="G236" s="13">
        <v>41697</v>
      </c>
      <c r="H236" s="13">
        <f t="shared" si="75"/>
        <v>41499</v>
      </c>
      <c r="I236" s="13">
        <v>41792</v>
      </c>
      <c r="J236" s="13"/>
      <c r="K236" s="1">
        <f t="shared" si="69"/>
        <v>2466</v>
      </c>
      <c r="L236" s="1">
        <f t="shared" si="70"/>
        <v>198</v>
      </c>
      <c r="M236" s="1">
        <f t="shared" si="71"/>
        <v>95</v>
      </c>
      <c r="N236" s="1" t="s">
        <v>417</v>
      </c>
      <c r="O236" s="1">
        <v>5.04</v>
      </c>
      <c r="P236" s="1"/>
      <c r="Q236" s="1"/>
      <c r="R236" s="1"/>
      <c r="S236" s="1">
        <f t="shared" si="78"/>
        <v>1</v>
      </c>
      <c r="T236" s="1" t="s">
        <v>442</v>
      </c>
      <c r="U236" s="1"/>
      <c r="V236" s="1"/>
      <c r="W236" s="1"/>
      <c r="X236" s="1"/>
      <c r="Y236" s="1">
        <v>25</v>
      </c>
      <c r="Z236" s="1">
        <v>2</v>
      </c>
      <c r="AA236" s="1"/>
      <c r="AB236" s="1">
        <v>0</v>
      </c>
      <c r="AC236" s="98">
        <v>0</v>
      </c>
      <c r="AD236" s="172">
        <v>60</v>
      </c>
      <c r="AE236" s="1" t="s">
        <v>417</v>
      </c>
      <c r="AF236" s="1">
        <v>2</v>
      </c>
      <c r="AG236" s="1">
        <v>0.35</v>
      </c>
      <c r="AH236" s="1">
        <v>2.5</v>
      </c>
      <c r="AI236" s="1">
        <v>0.35</v>
      </c>
      <c r="AJ236" s="1"/>
      <c r="AK236" s="1"/>
      <c r="AL236" s="1">
        <v>0</v>
      </c>
    </row>
    <row r="237" spans="1:38" x14ac:dyDescent="0.25">
      <c r="A237" s="192" t="s">
        <v>75</v>
      </c>
      <c r="B237" s="1">
        <v>2</v>
      </c>
      <c r="C237" s="1" t="s">
        <v>418</v>
      </c>
      <c r="D237" s="13">
        <v>39231</v>
      </c>
      <c r="E237" s="174">
        <f t="shared" si="72"/>
        <v>2561</v>
      </c>
      <c r="F237" s="201"/>
      <c r="G237" s="13">
        <v>41750</v>
      </c>
      <c r="H237" s="13">
        <f t="shared" si="75"/>
        <v>41697</v>
      </c>
      <c r="I237" s="13">
        <v>41792</v>
      </c>
      <c r="J237" s="13"/>
      <c r="K237" s="1">
        <f t="shared" si="69"/>
        <v>2519</v>
      </c>
      <c r="L237" s="1">
        <f t="shared" si="70"/>
        <v>53</v>
      </c>
      <c r="M237" s="1">
        <f t="shared" si="71"/>
        <v>42</v>
      </c>
      <c r="N237" s="1" t="s">
        <v>417</v>
      </c>
      <c r="O237" s="1">
        <v>4.97</v>
      </c>
      <c r="P237" s="1"/>
      <c r="Q237" s="1"/>
      <c r="R237" s="1"/>
      <c r="S237" s="1"/>
      <c r="T237" s="1" t="s">
        <v>442</v>
      </c>
      <c r="U237" s="1"/>
      <c r="V237" s="1"/>
      <c r="W237" s="1"/>
      <c r="X237" s="1"/>
      <c r="Y237" s="1">
        <v>20</v>
      </c>
      <c r="Z237" s="1">
        <v>0</v>
      </c>
      <c r="AA237" s="1"/>
      <c r="AB237" s="1">
        <v>0</v>
      </c>
      <c r="AC237" s="98">
        <v>0</v>
      </c>
      <c r="AD237" s="172">
        <v>60</v>
      </c>
      <c r="AE237" s="1" t="s">
        <v>417</v>
      </c>
      <c r="AF237" s="1">
        <v>2</v>
      </c>
      <c r="AG237" s="1">
        <v>0.35</v>
      </c>
      <c r="AH237" s="1">
        <v>2.5</v>
      </c>
      <c r="AI237" s="1">
        <v>0.35</v>
      </c>
      <c r="AJ237" s="1"/>
      <c r="AK237" s="1"/>
      <c r="AL237" s="1">
        <v>0</v>
      </c>
    </row>
    <row r="238" spans="1:38" x14ac:dyDescent="0.25">
      <c r="A238" s="192" t="s">
        <v>75</v>
      </c>
      <c r="B238" s="1">
        <v>2</v>
      </c>
      <c r="C238" s="1" t="s">
        <v>418</v>
      </c>
      <c r="D238" s="13">
        <v>39231</v>
      </c>
      <c r="E238" s="174">
        <f t="shared" si="72"/>
        <v>2561</v>
      </c>
      <c r="F238" s="201"/>
      <c r="G238" s="13">
        <v>41792</v>
      </c>
      <c r="H238" s="13">
        <f t="shared" si="75"/>
        <v>41750</v>
      </c>
      <c r="I238" s="13">
        <v>41792</v>
      </c>
      <c r="J238" s="13"/>
      <c r="K238" s="1">
        <f t="shared" si="69"/>
        <v>2561</v>
      </c>
      <c r="L238" s="1">
        <f t="shared" si="70"/>
        <v>42</v>
      </c>
      <c r="M238" s="1">
        <f t="shared" si="71"/>
        <v>0</v>
      </c>
      <c r="N238" s="1" t="s">
        <v>417</v>
      </c>
      <c r="O238" s="1">
        <v>4.87</v>
      </c>
      <c r="P238" s="1"/>
      <c r="Q238" s="1"/>
      <c r="R238" s="1"/>
      <c r="S238" s="1"/>
      <c r="T238" s="1"/>
      <c r="U238" s="1"/>
      <c r="V238" s="1"/>
      <c r="W238" s="1"/>
      <c r="X238" s="1"/>
      <c r="Y238" s="1">
        <v>19</v>
      </c>
      <c r="Z238" s="1">
        <v>0</v>
      </c>
      <c r="AA238" s="1"/>
      <c r="AB238" s="1">
        <v>0</v>
      </c>
      <c r="AC238" s="98">
        <v>0</v>
      </c>
      <c r="AD238" s="172">
        <v>60</v>
      </c>
      <c r="AE238" s="1" t="s">
        <v>417</v>
      </c>
      <c r="AF238" s="1">
        <v>2</v>
      </c>
      <c r="AG238" s="1">
        <v>0.35</v>
      </c>
      <c r="AH238" s="1">
        <v>2.5</v>
      </c>
      <c r="AI238" s="1">
        <v>0.35</v>
      </c>
      <c r="AJ238" s="1"/>
      <c r="AK238" s="1"/>
      <c r="AL238" s="1">
        <v>0</v>
      </c>
    </row>
    <row r="239" spans="1:38" x14ac:dyDescent="0.25">
      <c r="A239" s="182" t="s">
        <v>76</v>
      </c>
      <c r="B239" s="1">
        <v>2</v>
      </c>
      <c r="C239" s="1" t="s">
        <v>418</v>
      </c>
      <c r="D239" s="13">
        <v>38790</v>
      </c>
      <c r="E239" s="1">
        <f t="shared" si="72"/>
        <v>2647</v>
      </c>
      <c r="F239" s="1"/>
      <c r="G239" s="13">
        <v>40113</v>
      </c>
      <c r="H239" s="13">
        <v>38790</v>
      </c>
      <c r="I239" s="13">
        <v>41437</v>
      </c>
      <c r="J239" s="13"/>
      <c r="K239" s="1">
        <f t="shared" si="69"/>
        <v>1323</v>
      </c>
      <c r="L239" s="1">
        <f t="shared" si="70"/>
        <v>1323</v>
      </c>
      <c r="M239" s="1">
        <f t="shared" si="71"/>
        <v>1324</v>
      </c>
      <c r="N239" s="1" t="s">
        <v>417</v>
      </c>
      <c r="O239" s="1">
        <v>5.9</v>
      </c>
      <c r="P239" s="1">
        <v>1</v>
      </c>
      <c r="Q239" s="1">
        <v>1</v>
      </c>
      <c r="R239" s="1">
        <v>1</v>
      </c>
      <c r="S239" s="1">
        <v>1</v>
      </c>
      <c r="T239" s="1" t="s">
        <v>437</v>
      </c>
      <c r="U239" s="1"/>
      <c r="V239" s="1"/>
      <c r="W239" s="1"/>
      <c r="X239" s="1"/>
      <c r="Y239" s="1">
        <v>0</v>
      </c>
      <c r="Z239" s="1">
        <v>0</v>
      </c>
      <c r="AA239" s="1"/>
      <c r="AB239" s="1">
        <v>0</v>
      </c>
      <c r="AC239" s="1">
        <v>0</v>
      </c>
      <c r="AD239" s="1">
        <v>50</v>
      </c>
      <c r="AE239" s="1" t="s">
        <v>417</v>
      </c>
      <c r="AF239" s="1">
        <v>2.5</v>
      </c>
      <c r="AG239" s="1">
        <v>0.5</v>
      </c>
      <c r="AH239" s="1">
        <v>2.5</v>
      </c>
      <c r="AI239" s="1">
        <v>0.5</v>
      </c>
      <c r="AJ239" s="1"/>
      <c r="AK239" s="1"/>
      <c r="AL239" s="1">
        <v>0</v>
      </c>
    </row>
    <row r="240" spans="1:38" x14ac:dyDescent="0.25">
      <c r="A240" s="182" t="s">
        <v>76</v>
      </c>
      <c r="B240" s="1">
        <v>2</v>
      </c>
      <c r="C240" s="1" t="s">
        <v>418</v>
      </c>
      <c r="D240" s="13">
        <v>38790</v>
      </c>
      <c r="E240" s="1">
        <f t="shared" si="72"/>
        <v>2647</v>
      </c>
      <c r="F240" s="1"/>
      <c r="G240" s="13">
        <v>40295</v>
      </c>
      <c r="H240" s="13">
        <f>G239</f>
        <v>40113</v>
      </c>
      <c r="I240" s="13">
        <v>41437</v>
      </c>
      <c r="J240" s="13"/>
      <c r="K240" s="1">
        <f t="shared" si="69"/>
        <v>1505</v>
      </c>
      <c r="L240" s="1">
        <f t="shared" si="70"/>
        <v>182</v>
      </c>
      <c r="M240" s="1">
        <f t="shared" si="71"/>
        <v>1142</v>
      </c>
      <c r="N240" s="1" t="s">
        <v>417</v>
      </c>
      <c r="O240" s="1">
        <v>5.8</v>
      </c>
      <c r="P240" s="1">
        <f t="shared" ref="P240:P303" si="79">IF(M240&gt;=540,1,"nulo")</f>
        <v>1</v>
      </c>
      <c r="Q240" s="1">
        <f t="shared" si="76"/>
        <v>1</v>
      </c>
      <c r="R240" s="1">
        <f t="shared" si="77"/>
        <v>1</v>
      </c>
      <c r="S240" s="1">
        <f t="shared" si="78"/>
        <v>1</v>
      </c>
      <c r="T240" s="1" t="s">
        <v>437</v>
      </c>
      <c r="U240" s="1"/>
      <c r="V240" s="1"/>
      <c r="W240" s="1"/>
      <c r="X240" s="1"/>
      <c r="Y240" s="1">
        <v>0</v>
      </c>
      <c r="Z240" s="1">
        <v>0</v>
      </c>
      <c r="AA240" s="1"/>
      <c r="AB240" s="1">
        <v>0</v>
      </c>
      <c r="AC240" s="1">
        <v>0</v>
      </c>
      <c r="AD240" s="1">
        <v>50</v>
      </c>
      <c r="AE240" s="1" t="s">
        <v>417</v>
      </c>
      <c r="AF240" s="1">
        <v>2.5</v>
      </c>
      <c r="AG240" s="1">
        <v>0.5</v>
      </c>
      <c r="AH240" s="1">
        <v>2.5</v>
      </c>
      <c r="AI240" s="1">
        <v>0.5</v>
      </c>
      <c r="AJ240" s="1"/>
      <c r="AK240" s="1"/>
      <c r="AL240" s="1">
        <v>0</v>
      </c>
    </row>
    <row r="241" spans="1:38" x14ac:dyDescent="0.25">
      <c r="A241" s="182" t="s">
        <v>76</v>
      </c>
      <c r="B241" s="1">
        <v>2</v>
      </c>
      <c r="C241" s="1" t="s">
        <v>418</v>
      </c>
      <c r="D241" s="13">
        <v>38790</v>
      </c>
      <c r="E241" s="1">
        <f t="shared" si="72"/>
        <v>2647</v>
      </c>
      <c r="F241" s="1"/>
      <c r="G241" s="13">
        <v>40487</v>
      </c>
      <c r="H241" s="13">
        <f t="shared" ref="H241:H258" si="80">G240</f>
        <v>40295</v>
      </c>
      <c r="I241" s="13">
        <v>41437</v>
      </c>
      <c r="J241" s="13"/>
      <c r="K241" s="1">
        <f t="shared" si="69"/>
        <v>1697</v>
      </c>
      <c r="L241" s="1">
        <f t="shared" si="70"/>
        <v>192</v>
      </c>
      <c r="M241" s="1">
        <f t="shared" si="71"/>
        <v>950</v>
      </c>
      <c r="N241" s="1" t="s">
        <v>417</v>
      </c>
      <c r="O241" s="1">
        <v>5.27</v>
      </c>
      <c r="P241" s="1">
        <f t="shared" si="79"/>
        <v>1</v>
      </c>
      <c r="Q241" s="1">
        <f t="shared" si="76"/>
        <v>1</v>
      </c>
      <c r="R241" s="1">
        <f t="shared" si="77"/>
        <v>1</v>
      </c>
      <c r="S241" s="1">
        <f t="shared" si="78"/>
        <v>1</v>
      </c>
      <c r="T241" s="1" t="s">
        <v>437</v>
      </c>
      <c r="U241" s="1"/>
      <c r="V241" s="1"/>
      <c r="W241" s="1"/>
      <c r="X241" s="1"/>
      <c r="Y241" s="1">
        <v>0</v>
      </c>
      <c r="Z241" s="1">
        <v>0</v>
      </c>
      <c r="AA241" s="1"/>
      <c r="AB241" s="1">
        <v>1</v>
      </c>
      <c r="AC241" s="1">
        <v>3</v>
      </c>
      <c r="AD241" s="1">
        <v>50</v>
      </c>
      <c r="AE241" s="1" t="s">
        <v>417</v>
      </c>
      <c r="AF241" s="1">
        <v>2.5</v>
      </c>
      <c r="AG241" s="1">
        <v>0.5</v>
      </c>
      <c r="AH241" s="1">
        <v>2.5</v>
      </c>
      <c r="AI241" s="1">
        <v>0.5</v>
      </c>
      <c r="AJ241" s="1"/>
      <c r="AK241" s="1"/>
      <c r="AL241" s="1">
        <v>0</v>
      </c>
    </row>
    <row r="242" spans="1:38" x14ac:dyDescent="0.25">
      <c r="A242" s="182" t="s">
        <v>76</v>
      </c>
      <c r="B242" s="1">
        <v>2</v>
      </c>
      <c r="C242" s="1" t="s">
        <v>418</v>
      </c>
      <c r="D242" s="13">
        <v>38790</v>
      </c>
      <c r="E242" s="1">
        <f t="shared" si="72"/>
        <v>2647</v>
      </c>
      <c r="F242" s="1"/>
      <c r="G242" s="13">
        <v>40494</v>
      </c>
      <c r="H242" s="13">
        <f t="shared" si="80"/>
        <v>40487</v>
      </c>
      <c r="I242" s="13">
        <v>41437</v>
      </c>
      <c r="J242" s="13"/>
      <c r="K242" s="1">
        <f t="shared" si="69"/>
        <v>1704</v>
      </c>
      <c r="L242" s="1">
        <f t="shared" si="70"/>
        <v>7</v>
      </c>
      <c r="M242" s="1">
        <f t="shared" si="71"/>
        <v>943</v>
      </c>
      <c r="N242" s="1" t="s">
        <v>417</v>
      </c>
      <c r="O242" s="1">
        <v>5.24</v>
      </c>
      <c r="P242" s="1">
        <f t="shared" si="79"/>
        <v>1</v>
      </c>
      <c r="Q242" s="1">
        <f t="shared" si="76"/>
        <v>1</v>
      </c>
      <c r="R242" s="1">
        <f t="shared" si="77"/>
        <v>1</v>
      </c>
      <c r="S242" s="1">
        <f t="shared" si="78"/>
        <v>1</v>
      </c>
      <c r="T242" s="1" t="s">
        <v>437</v>
      </c>
      <c r="U242" s="1"/>
      <c r="V242" s="1"/>
      <c r="W242" s="1"/>
      <c r="X242" s="1"/>
      <c r="Y242" s="1">
        <v>0</v>
      </c>
      <c r="Z242" s="1">
        <v>0</v>
      </c>
      <c r="AA242" s="1"/>
      <c r="AB242" s="1">
        <v>0</v>
      </c>
      <c r="AC242" s="1">
        <v>0</v>
      </c>
      <c r="AD242" s="1">
        <v>50</v>
      </c>
      <c r="AE242" s="1" t="s">
        <v>417</v>
      </c>
      <c r="AF242" s="1">
        <v>2.5</v>
      </c>
      <c r="AG242" s="1">
        <v>0.5</v>
      </c>
      <c r="AH242" s="1">
        <v>2.5</v>
      </c>
      <c r="AI242" s="1">
        <v>0.5</v>
      </c>
      <c r="AJ242" s="1"/>
      <c r="AK242" s="1"/>
      <c r="AL242" s="1">
        <v>0</v>
      </c>
    </row>
    <row r="243" spans="1:38" x14ac:dyDescent="0.25">
      <c r="A243" s="182" t="s">
        <v>76</v>
      </c>
      <c r="B243" s="1">
        <v>2</v>
      </c>
      <c r="C243" s="1" t="s">
        <v>418</v>
      </c>
      <c r="D243" s="13">
        <v>38790</v>
      </c>
      <c r="E243" s="174">
        <f t="shared" si="72"/>
        <v>2647</v>
      </c>
      <c r="F243" s="201"/>
      <c r="G243" s="13">
        <v>40673</v>
      </c>
      <c r="H243" s="13">
        <f t="shared" si="80"/>
        <v>40494</v>
      </c>
      <c r="I243" s="13">
        <v>41437</v>
      </c>
      <c r="J243" s="13"/>
      <c r="K243" s="1">
        <f t="shared" si="69"/>
        <v>1883</v>
      </c>
      <c r="L243" s="1">
        <f t="shared" si="70"/>
        <v>179</v>
      </c>
      <c r="M243" s="1">
        <f t="shared" si="71"/>
        <v>764</v>
      </c>
      <c r="N243" s="1" t="s">
        <v>417</v>
      </c>
      <c r="O243" s="1">
        <v>5.17</v>
      </c>
      <c r="P243" s="1">
        <f t="shared" si="79"/>
        <v>1</v>
      </c>
      <c r="Q243" s="1">
        <f t="shared" si="76"/>
        <v>1</v>
      </c>
      <c r="R243" s="1">
        <f t="shared" si="77"/>
        <v>1</v>
      </c>
      <c r="S243" s="1">
        <f t="shared" si="78"/>
        <v>1</v>
      </c>
      <c r="T243" s="1" t="s">
        <v>437</v>
      </c>
      <c r="U243" s="1"/>
      <c r="V243" s="1"/>
      <c r="W243" s="1"/>
      <c r="X243" s="1"/>
      <c r="Y243" s="1">
        <v>0</v>
      </c>
      <c r="Z243" s="1">
        <v>0</v>
      </c>
      <c r="AA243" s="1"/>
      <c r="AB243" s="1">
        <v>0</v>
      </c>
      <c r="AC243" s="98">
        <v>0</v>
      </c>
      <c r="AD243" s="172">
        <v>50</v>
      </c>
      <c r="AE243" s="1" t="s">
        <v>417</v>
      </c>
      <c r="AF243" s="1">
        <v>2.5</v>
      </c>
      <c r="AG243" s="1">
        <v>0.5</v>
      </c>
      <c r="AH243" s="1">
        <v>2.5</v>
      </c>
      <c r="AI243" s="1">
        <v>0.5</v>
      </c>
      <c r="AJ243" s="1"/>
      <c r="AK243" s="1"/>
      <c r="AL243" s="1">
        <v>0</v>
      </c>
    </row>
    <row r="244" spans="1:38" x14ac:dyDescent="0.25">
      <c r="A244" s="182" t="s">
        <v>76</v>
      </c>
      <c r="B244" s="1">
        <v>2</v>
      </c>
      <c r="C244" s="1" t="s">
        <v>418</v>
      </c>
      <c r="D244" s="13">
        <v>38790</v>
      </c>
      <c r="E244" s="1">
        <f t="shared" si="72"/>
        <v>2647</v>
      </c>
      <c r="F244" s="1"/>
      <c r="G244" s="13">
        <v>40710</v>
      </c>
      <c r="H244" s="13">
        <f t="shared" si="80"/>
        <v>40673</v>
      </c>
      <c r="I244" s="13">
        <v>41437</v>
      </c>
      <c r="J244" s="13"/>
      <c r="K244" s="1">
        <f t="shared" si="69"/>
        <v>1920</v>
      </c>
      <c r="L244" s="1">
        <f t="shared" si="70"/>
        <v>37</v>
      </c>
      <c r="M244" s="1">
        <f t="shared" si="71"/>
        <v>727</v>
      </c>
      <c r="N244" s="1" t="s">
        <v>417</v>
      </c>
      <c r="O244" s="1">
        <v>5.17</v>
      </c>
      <c r="P244" s="1">
        <f t="shared" si="79"/>
        <v>1</v>
      </c>
      <c r="Q244" s="1">
        <f t="shared" si="76"/>
        <v>1</v>
      </c>
      <c r="R244" s="1">
        <f t="shared" si="77"/>
        <v>1</v>
      </c>
      <c r="S244" s="1">
        <f t="shared" si="78"/>
        <v>1</v>
      </c>
      <c r="T244" s="1" t="s">
        <v>437</v>
      </c>
      <c r="U244" s="1"/>
      <c r="V244" s="1"/>
      <c r="W244" s="1"/>
      <c r="X244" s="1"/>
      <c r="Y244" s="1">
        <v>0</v>
      </c>
      <c r="Z244" s="1">
        <v>0</v>
      </c>
      <c r="AA244" s="1"/>
      <c r="AB244" s="1">
        <v>5</v>
      </c>
      <c r="AC244" s="1">
        <v>13</v>
      </c>
      <c r="AD244" s="1">
        <v>50</v>
      </c>
      <c r="AE244" s="1" t="s">
        <v>417</v>
      </c>
      <c r="AF244" s="1">
        <v>2.5</v>
      </c>
      <c r="AG244" s="1">
        <v>0.5</v>
      </c>
      <c r="AH244" s="1">
        <v>2.5</v>
      </c>
      <c r="AI244" s="1">
        <v>0.5</v>
      </c>
      <c r="AJ244" s="1"/>
      <c r="AK244" s="1"/>
      <c r="AL244" s="1">
        <v>0</v>
      </c>
    </row>
    <row r="245" spans="1:38" x14ac:dyDescent="0.25">
      <c r="A245" s="182" t="s">
        <v>76</v>
      </c>
      <c r="B245" s="1">
        <v>2</v>
      </c>
      <c r="C245" s="1" t="s">
        <v>418</v>
      </c>
      <c r="D245" s="13">
        <v>38790</v>
      </c>
      <c r="E245" s="174">
        <f t="shared" si="72"/>
        <v>2647</v>
      </c>
      <c r="F245" s="201"/>
      <c r="G245" s="13">
        <v>40813</v>
      </c>
      <c r="H245" s="13">
        <f t="shared" si="80"/>
        <v>40710</v>
      </c>
      <c r="I245" s="13">
        <v>41437</v>
      </c>
      <c r="J245" s="13"/>
      <c r="K245" s="1">
        <f t="shared" si="69"/>
        <v>2023</v>
      </c>
      <c r="L245" s="1">
        <f t="shared" si="70"/>
        <v>103</v>
      </c>
      <c r="M245" s="1">
        <f t="shared" si="71"/>
        <v>624</v>
      </c>
      <c r="N245" s="1" t="s">
        <v>417</v>
      </c>
      <c r="O245" s="1">
        <v>5.15</v>
      </c>
      <c r="P245" s="1">
        <f t="shared" si="79"/>
        <v>1</v>
      </c>
      <c r="Q245" s="1">
        <f t="shared" si="76"/>
        <v>1</v>
      </c>
      <c r="R245" s="1">
        <f t="shared" si="77"/>
        <v>1</v>
      </c>
      <c r="S245" s="1">
        <f t="shared" si="78"/>
        <v>1</v>
      </c>
      <c r="T245" s="1" t="s">
        <v>437</v>
      </c>
      <c r="U245" s="1"/>
      <c r="V245" s="1"/>
      <c r="W245" s="1"/>
      <c r="X245" s="1"/>
      <c r="Y245" s="1">
        <v>5</v>
      </c>
      <c r="Z245" s="1">
        <v>0</v>
      </c>
      <c r="AA245" s="1"/>
      <c r="AB245" s="1">
        <v>0</v>
      </c>
      <c r="AC245" s="98">
        <v>2</v>
      </c>
      <c r="AD245" s="172">
        <v>50</v>
      </c>
      <c r="AE245" s="1" t="s">
        <v>417</v>
      </c>
      <c r="AF245" s="1">
        <v>2.5</v>
      </c>
      <c r="AG245" s="1">
        <v>0.5</v>
      </c>
      <c r="AH245" s="1">
        <v>2.5</v>
      </c>
      <c r="AI245" s="1">
        <v>0.5</v>
      </c>
      <c r="AJ245" s="1"/>
      <c r="AK245" s="1"/>
      <c r="AL245" s="1">
        <v>0</v>
      </c>
    </row>
    <row r="246" spans="1:38" x14ac:dyDescent="0.25">
      <c r="A246" s="182" t="s">
        <v>76</v>
      </c>
      <c r="B246" s="1">
        <v>2</v>
      </c>
      <c r="C246" s="1" t="s">
        <v>418</v>
      </c>
      <c r="D246" s="13">
        <v>38790</v>
      </c>
      <c r="E246" s="174">
        <f t="shared" si="72"/>
        <v>2647</v>
      </c>
      <c r="F246" s="201"/>
      <c r="G246" s="13">
        <v>40897</v>
      </c>
      <c r="H246" s="13">
        <f t="shared" si="80"/>
        <v>40813</v>
      </c>
      <c r="I246" s="13">
        <v>41437</v>
      </c>
      <c r="J246" s="13"/>
      <c r="K246" s="1">
        <f t="shared" si="69"/>
        <v>2107</v>
      </c>
      <c r="L246" s="1">
        <f t="shared" si="70"/>
        <v>84</v>
      </c>
      <c r="M246" s="1">
        <f t="shared" si="71"/>
        <v>540</v>
      </c>
      <c r="N246" s="1" t="s">
        <v>417</v>
      </c>
      <c r="O246" s="1">
        <v>5.15</v>
      </c>
      <c r="P246" s="1">
        <f t="shared" si="79"/>
        <v>1</v>
      </c>
      <c r="Q246" s="1">
        <f t="shared" si="76"/>
        <v>1</v>
      </c>
      <c r="R246" s="1">
        <f t="shared" si="77"/>
        <v>1</v>
      </c>
      <c r="S246" s="1">
        <f t="shared" si="78"/>
        <v>1</v>
      </c>
      <c r="T246" s="1" t="s">
        <v>437</v>
      </c>
      <c r="U246" s="1"/>
      <c r="V246" s="1"/>
      <c r="W246" s="1"/>
      <c r="X246" s="1"/>
      <c r="Y246" s="1">
        <v>1</v>
      </c>
      <c r="Z246" s="1">
        <v>0</v>
      </c>
      <c r="AA246" s="1"/>
      <c r="AB246" s="1">
        <v>0</v>
      </c>
      <c r="AC246" s="98">
        <v>0</v>
      </c>
      <c r="AD246" s="172">
        <v>50</v>
      </c>
      <c r="AE246" s="1" t="s">
        <v>417</v>
      </c>
      <c r="AF246" s="1">
        <v>2.5</v>
      </c>
      <c r="AG246" s="1">
        <v>0.5</v>
      </c>
      <c r="AH246" s="1">
        <v>2.5</v>
      </c>
      <c r="AI246" s="1">
        <v>0.5</v>
      </c>
      <c r="AJ246" s="1"/>
      <c r="AK246" s="1"/>
      <c r="AL246" s="1">
        <v>0</v>
      </c>
    </row>
    <row r="247" spans="1:38" x14ac:dyDescent="0.25">
      <c r="A247" s="182" t="s">
        <v>76</v>
      </c>
      <c r="B247" s="1">
        <v>2</v>
      </c>
      <c r="C247" s="1" t="s">
        <v>418</v>
      </c>
      <c r="D247" s="13">
        <v>38790</v>
      </c>
      <c r="E247" s="174">
        <f t="shared" si="72"/>
        <v>2647</v>
      </c>
      <c r="F247" s="201"/>
      <c r="G247" s="13">
        <v>41023</v>
      </c>
      <c r="H247" s="13">
        <f t="shared" si="80"/>
        <v>40897</v>
      </c>
      <c r="I247" s="13">
        <v>41437</v>
      </c>
      <c r="J247" s="13"/>
      <c r="K247" s="1">
        <f t="shared" si="69"/>
        <v>2233</v>
      </c>
      <c r="L247" s="1">
        <f t="shared" si="70"/>
        <v>126</v>
      </c>
      <c r="M247" s="1">
        <f t="shared" si="71"/>
        <v>414</v>
      </c>
      <c r="N247" s="1" t="s">
        <v>417</v>
      </c>
      <c r="O247" s="1">
        <v>5.14</v>
      </c>
      <c r="P247" s="1"/>
      <c r="Q247" s="1">
        <f t="shared" si="76"/>
        <v>1</v>
      </c>
      <c r="R247" s="1">
        <f t="shared" si="77"/>
        <v>1</v>
      </c>
      <c r="S247" s="1">
        <f t="shared" si="78"/>
        <v>1</v>
      </c>
      <c r="T247" s="1" t="s">
        <v>442</v>
      </c>
      <c r="U247" s="1"/>
      <c r="V247" s="1"/>
      <c r="W247" s="1"/>
      <c r="X247" s="1"/>
      <c r="Y247" s="1">
        <v>42</v>
      </c>
      <c r="Z247" s="1">
        <v>0</v>
      </c>
      <c r="AA247" s="1"/>
      <c r="AB247" s="1">
        <v>0</v>
      </c>
      <c r="AC247" s="98">
        <v>0</v>
      </c>
      <c r="AD247" s="172">
        <v>50</v>
      </c>
      <c r="AE247" s="1" t="s">
        <v>417</v>
      </c>
      <c r="AF247" s="1">
        <v>2.5</v>
      </c>
      <c r="AG247" s="1">
        <v>0.5</v>
      </c>
      <c r="AH247" s="1">
        <v>2.5</v>
      </c>
      <c r="AI247" s="1">
        <v>0.5</v>
      </c>
      <c r="AJ247" s="1"/>
      <c r="AK247" s="1"/>
      <c r="AL247" s="1">
        <v>0</v>
      </c>
    </row>
    <row r="248" spans="1:38" x14ac:dyDescent="0.25">
      <c r="A248" s="182" t="s">
        <v>76</v>
      </c>
      <c r="B248" s="1">
        <v>2</v>
      </c>
      <c r="C248" s="1" t="s">
        <v>418</v>
      </c>
      <c r="D248" s="13">
        <v>38790</v>
      </c>
      <c r="E248" s="1">
        <f t="shared" si="72"/>
        <v>2647</v>
      </c>
      <c r="F248" s="1"/>
      <c r="G248" s="13">
        <v>41074</v>
      </c>
      <c r="H248" s="13">
        <f t="shared" si="80"/>
        <v>41023</v>
      </c>
      <c r="I248" s="13">
        <v>41437</v>
      </c>
      <c r="J248" s="13"/>
      <c r="K248" s="1">
        <f t="shared" si="69"/>
        <v>2284</v>
      </c>
      <c r="L248" s="1">
        <f t="shared" si="70"/>
        <v>51</v>
      </c>
      <c r="M248" s="1">
        <f t="shared" si="71"/>
        <v>363</v>
      </c>
      <c r="N248" s="1" t="s">
        <v>417</v>
      </c>
      <c r="O248" s="1">
        <v>5.14</v>
      </c>
      <c r="P248" s="1"/>
      <c r="Q248" s="1">
        <f t="shared" si="76"/>
        <v>1</v>
      </c>
      <c r="R248" s="1">
        <f t="shared" si="77"/>
        <v>1</v>
      </c>
      <c r="S248" s="1">
        <f t="shared" si="78"/>
        <v>1</v>
      </c>
      <c r="T248" s="1" t="s">
        <v>442</v>
      </c>
      <c r="U248" s="1"/>
      <c r="V248" s="1"/>
      <c r="W248" s="1"/>
      <c r="X248" s="1"/>
      <c r="Y248" s="1">
        <v>0</v>
      </c>
      <c r="Z248" s="1">
        <v>0</v>
      </c>
      <c r="AA248" s="1"/>
      <c r="AB248" s="1">
        <v>2</v>
      </c>
      <c r="AC248" s="1">
        <v>4</v>
      </c>
      <c r="AD248" s="1">
        <v>50</v>
      </c>
      <c r="AE248" s="1" t="s">
        <v>417</v>
      </c>
      <c r="AF248" s="1">
        <v>2.5</v>
      </c>
      <c r="AG248" s="1">
        <v>0.5</v>
      </c>
      <c r="AH248" s="1">
        <v>2.5</v>
      </c>
      <c r="AI248" s="1">
        <v>0.5</v>
      </c>
      <c r="AJ248" s="1"/>
      <c r="AK248" s="1"/>
      <c r="AL248" s="1">
        <v>0</v>
      </c>
    </row>
    <row r="249" spans="1:38" x14ac:dyDescent="0.25">
      <c r="A249" s="182" t="s">
        <v>76</v>
      </c>
      <c r="B249" s="1">
        <v>2</v>
      </c>
      <c r="C249" s="1" t="s">
        <v>418</v>
      </c>
      <c r="D249" s="13">
        <v>38790</v>
      </c>
      <c r="E249" s="174">
        <f t="shared" si="72"/>
        <v>2647</v>
      </c>
      <c r="F249" s="201"/>
      <c r="G249" s="13">
        <v>41086</v>
      </c>
      <c r="H249" s="13">
        <f t="shared" si="80"/>
        <v>41074</v>
      </c>
      <c r="I249" s="13">
        <v>41437</v>
      </c>
      <c r="J249" s="13"/>
      <c r="K249" s="1">
        <f t="shared" si="69"/>
        <v>2296</v>
      </c>
      <c r="L249" s="1">
        <f t="shared" si="70"/>
        <v>12</v>
      </c>
      <c r="M249" s="1">
        <f t="shared" si="71"/>
        <v>351</v>
      </c>
      <c r="N249" s="1" t="s">
        <v>417</v>
      </c>
      <c r="O249" s="1">
        <v>5.14</v>
      </c>
      <c r="P249" s="1"/>
      <c r="Q249" s="1"/>
      <c r="R249" s="1">
        <f t="shared" si="77"/>
        <v>1</v>
      </c>
      <c r="S249" s="1">
        <f t="shared" si="78"/>
        <v>1</v>
      </c>
      <c r="T249" s="1" t="s">
        <v>442</v>
      </c>
      <c r="U249" s="1"/>
      <c r="V249" s="1"/>
      <c r="W249" s="1"/>
      <c r="X249" s="1"/>
      <c r="Y249" s="1">
        <v>65</v>
      </c>
      <c r="Z249" s="1">
        <v>0</v>
      </c>
      <c r="AA249" s="1"/>
      <c r="AB249" s="1">
        <v>0</v>
      </c>
      <c r="AC249" s="98">
        <v>0</v>
      </c>
      <c r="AD249" s="172">
        <v>50</v>
      </c>
      <c r="AE249" s="1" t="s">
        <v>417</v>
      </c>
      <c r="AF249" s="1">
        <v>2.5</v>
      </c>
      <c r="AG249" s="1">
        <v>0.5</v>
      </c>
      <c r="AH249" s="1">
        <v>2.5</v>
      </c>
      <c r="AI249" s="1">
        <v>0.5</v>
      </c>
      <c r="AJ249" s="1"/>
      <c r="AK249" s="1"/>
      <c r="AL249" s="1">
        <v>0</v>
      </c>
    </row>
    <row r="250" spans="1:38" x14ac:dyDescent="0.25">
      <c r="A250" s="182" t="s">
        <v>76</v>
      </c>
      <c r="B250" s="1">
        <v>2</v>
      </c>
      <c r="C250" s="1" t="s">
        <v>418</v>
      </c>
      <c r="D250" s="13">
        <v>38790</v>
      </c>
      <c r="E250" s="174">
        <f t="shared" si="72"/>
        <v>2647</v>
      </c>
      <c r="F250" s="201"/>
      <c r="G250" s="13">
        <v>41163</v>
      </c>
      <c r="H250" s="13">
        <f t="shared" si="80"/>
        <v>41086</v>
      </c>
      <c r="I250" s="13">
        <v>41437</v>
      </c>
      <c r="J250" s="13"/>
      <c r="K250" s="1">
        <f t="shared" si="69"/>
        <v>2373</v>
      </c>
      <c r="L250" s="1">
        <f t="shared" si="70"/>
        <v>77</v>
      </c>
      <c r="M250" s="1">
        <f t="shared" si="71"/>
        <v>274</v>
      </c>
      <c r="N250" s="1" t="s">
        <v>417</v>
      </c>
      <c r="O250" s="1">
        <v>5.13</v>
      </c>
      <c r="P250" s="1"/>
      <c r="Q250" s="1"/>
      <c r="R250" s="1">
        <f t="shared" si="77"/>
        <v>1</v>
      </c>
      <c r="S250" s="1">
        <f t="shared" si="78"/>
        <v>1</v>
      </c>
      <c r="T250" s="1" t="s">
        <v>442</v>
      </c>
      <c r="U250" s="1"/>
      <c r="V250" s="1"/>
      <c r="W250" s="1"/>
      <c r="X250" s="1"/>
      <c r="Y250" s="1">
        <v>50</v>
      </c>
      <c r="Z250" s="1">
        <v>0</v>
      </c>
      <c r="AA250" s="1"/>
      <c r="AB250" s="1">
        <v>0</v>
      </c>
      <c r="AC250" s="98">
        <v>0</v>
      </c>
      <c r="AD250" s="172">
        <v>50</v>
      </c>
      <c r="AE250" s="1" t="s">
        <v>417</v>
      </c>
      <c r="AF250" s="1">
        <v>2.5</v>
      </c>
      <c r="AG250" s="1">
        <v>0.5</v>
      </c>
      <c r="AH250" s="1">
        <v>2.5</v>
      </c>
      <c r="AI250" s="1">
        <v>0.5</v>
      </c>
      <c r="AJ250" s="1"/>
      <c r="AK250" s="1"/>
      <c r="AL250" s="1">
        <v>0</v>
      </c>
    </row>
    <row r="251" spans="1:38" x14ac:dyDescent="0.25">
      <c r="A251" s="182" t="s">
        <v>76</v>
      </c>
      <c r="B251" s="1">
        <v>2</v>
      </c>
      <c r="C251" s="1" t="s">
        <v>418</v>
      </c>
      <c r="D251" s="13">
        <v>38790</v>
      </c>
      <c r="E251" s="174">
        <f t="shared" si="72"/>
        <v>2647</v>
      </c>
      <c r="F251" s="201"/>
      <c r="G251" s="13">
        <v>41222</v>
      </c>
      <c r="H251" s="13">
        <f t="shared" si="80"/>
        <v>41163</v>
      </c>
      <c r="I251" s="13">
        <v>41437</v>
      </c>
      <c r="J251" s="13"/>
      <c r="K251" s="1">
        <f t="shared" si="69"/>
        <v>2432</v>
      </c>
      <c r="L251" s="1">
        <f t="shared" si="70"/>
        <v>59</v>
      </c>
      <c r="M251" s="1">
        <f t="shared" si="71"/>
        <v>215</v>
      </c>
      <c r="N251" s="1" t="s">
        <v>417</v>
      </c>
      <c r="O251" s="1">
        <v>5.0999999999999996</v>
      </c>
      <c r="P251" s="1"/>
      <c r="Q251" s="1"/>
      <c r="R251" s="1">
        <f t="shared" si="77"/>
        <v>1</v>
      </c>
      <c r="S251" s="1">
        <f t="shared" si="78"/>
        <v>1</v>
      </c>
      <c r="T251" s="1" t="s">
        <v>442</v>
      </c>
      <c r="U251" s="1"/>
      <c r="V251" s="1"/>
      <c r="W251" s="1"/>
      <c r="X251" s="1"/>
      <c r="Y251" s="1">
        <v>59</v>
      </c>
      <c r="Z251" s="1">
        <v>0</v>
      </c>
      <c r="AA251" s="1"/>
      <c r="AB251" s="1">
        <v>1</v>
      </c>
      <c r="AC251" s="98">
        <v>2</v>
      </c>
      <c r="AD251" s="172">
        <v>50</v>
      </c>
      <c r="AE251" s="1" t="s">
        <v>417</v>
      </c>
      <c r="AF251" s="1">
        <v>2.5</v>
      </c>
      <c r="AG251" s="1">
        <v>0.5</v>
      </c>
      <c r="AH251" s="1">
        <v>2.5</v>
      </c>
      <c r="AI251" s="1">
        <v>0.5</v>
      </c>
      <c r="AJ251" s="1"/>
      <c r="AK251" s="1"/>
      <c r="AL251" s="1">
        <v>0</v>
      </c>
    </row>
    <row r="252" spans="1:38" x14ac:dyDescent="0.25">
      <c r="A252" s="182" t="s">
        <v>76</v>
      </c>
      <c r="B252" s="1">
        <v>2</v>
      </c>
      <c r="C252" s="1" t="s">
        <v>418</v>
      </c>
      <c r="D252" s="13">
        <v>38790</v>
      </c>
      <c r="E252" s="174">
        <f t="shared" si="72"/>
        <v>2647</v>
      </c>
      <c r="F252" s="201"/>
      <c r="G252" s="13">
        <v>41268</v>
      </c>
      <c r="H252" s="13">
        <f t="shared" si="80"/>
        <v>41222</v>
      </c>
      <c r="I252" s="13">
        <v>41437</v>
      </c>
      <c r="J252" s="13"/>
      <c r="K252" s="1">
        <f t="shared" si="69"/>
        <v>2478</v>
      </c>
      <c r="L252" s="1">
        <f t="shared" si="70"/>
        <v>46</v>
      </c>
      <c r="M252" s="1">
        <f t="shared" si="71"/>
        <v>169</v>
      </c>
      <c r="N252" s="1" t="s">
        <v>417</v>
      </c>
      <c r="O252" s="1">
        <v>5.0999999999999996</v>
      </c>
      <c r="P252" s="1"/>
      <c r="Q252" s="1"/>
      <c r="R252" s="1"/>
      <c r="S252" s="1">
        <f t="shared" si="78"/>
        <v>1</v>
      </c>
      <c r="T252" s="1" t="s">
        <v>442</v>
      </c>
      <c r="U252" s="1"/>
      <c r="V252" s="1"/>
      <c r="W252" s="1"/>
      <c r="X252" s="1"/>
      <c r="Y252" s="1">
        <v>59</v>
      </c>
      <c r="Z252" s="1">
        <v>0</v>
      </c>
      <c r="AA252" s="1"/>
      <c r="AB252" s="1">
        <v>2</v>
      </c>
      <c r="AC252" s="98">
        <v>4</v>
      </c>
      <c r="AD252" s="172">
        <v>50</v>
      </c>
      <c r="AE252" s="1" t="s">
        <v>417</v>
      </c>
      <c r="AF252" s="1">
        <v>2.5</v>
      </c>
      <c r="AG252" s="1">
        <v>0.5</v>
      </c>
      <c r="AH252" s="1">
        <v>2.5</v>
      </c>
      <c r="AI252" s="1">
        <v>0.5</v>
      </c>
      <c r="AJ252" s="1"/>
      <c r="AK252" s="1"/>
      <c r="AL252" s="1">
        <v>0</v>
      </c>
    </row>
    <row r="253" spans="1:38" x14ac:dyDescent="0.25">
      <c r="A253" s="182" t="s">
        <v>76</v>
      </c>
      <c r="B253" s="1">
        <v>2</v>
      </c>
      <c r="C253" s="1" t="s">
        <v>418</v>
      </c>
      <c r="D253" s="13">
        <v>38790</v>
      </c>
      <c r="E253" s="174">
        <f t="shared" si="72"/>
        <v>2647</v>
      </c>
      <c r="F253" s="201"/>
      <c r="G253" s="13">
        <v>41272</v>
      </c>
      <c r="H253" s="13">
        <f t="shared" si="80"/>
        <v>41268</v>
      </c>
      <c r="I253" s="13">
        <v>41437</v>
      </c>
      <c r="J253" s="13"/>
      <c r="K253" s="1">
        <f t="shared" si="69"/>
        <v>2482</v>
      </c>
      <c r="L253" s="1">
        <f t="shared" si="70"/>
        <v>4</v>
      </c>
      <c r="M253" s="1">
        <f t="shared" si="71"/>
        <v>165</v>
      </c>
      <c r="N253" s="1" t="s">
        <v>417</v>
      </c>
      <c r="O253" s="1">
        <v>5.08</v>
      </c>
      <c r="P253" s="1"/>
      <c r="Q253" s="1"/>
      <c r="R253" s="1"/>
      <c r="S253" s="1">
        <f t="shared" si="78"/>
        <v>1</v>
      </c>
      <c r="T253" s="1" t="s">
        <v>442</v>
      </c>
      <c r="U253" s="1"/>
      <c r="V253" s="1"/>
      <c r="W253" s="1"/>
      <c r="X253" s="1"/>
      <c r="Y253" s="1">
        <v>73</v>
      </c>
      <c r="Z253" s="1">
        <v>0</v>
      </c>
      <c r="AA253" s="1"/>
      <c r="AB253" s="1">
        <v>2</v>
      </c>
      <c r="AC253" s="98">
        <v>4</v>
      </c>
      <c r="AD253" s="172">
        <v>50</v>
      </c>
      <c r="AE253" s="1" t="s">
        <v>417</v>
      </c>
      <c r="AF253" s="1">
        <v>2.5</v>
      </c>
      <c r="AG253" s="1">
        <v>0.5</v>
      </c>
      <c r="AH253" s="1">
        <v>2.5</v>
      </c>
      <c r="AI253" s="1">
        <v>0.5</v>
      </c>
      <c r="AJ253" s="1"/>
      <c r="AK253" s="1"/>
      <c r="AL253" s="1">
        <v>0</v>
      </c>
    </row>
    <row r="254" spans="1:38" x14ac:dyDescent="0.25">
      <c r="A254" s="182" t="s">
        <v>76</v>
      </c>
      <c r="B254" s="1">
        <v>2</v>
      </c>
      <c r="C254" s="1" t="s">
        <v>418</v>
      </c>
      <c r="D254" s="13">
        <v>38790</v>
      </c>
      <c r="E254" s="174">
        <f t="shared" si="72"/>
        <v>2647</v>
      </c>
      <c r="F254" s="201"/>
      <c r="G254" s="13">
        <v>41284</v>
      </c>
      <c r="H254" s="13">
        <f t="shared" si="80"/>
        <v>41272</v>
      </c>
      <c r="I254" s="13">
        <v>41437</v>
      </c>
      <c r="J254" s="13"/>
      <c r="K254" s="1">
        <f t="shared" si="69"/>
        <v>2494</v>
      </c>
      <c r="L254" s="1">
        <f t="shared" si="70"/>
        <v>12</v>
      </c>
      <c r="M254" s="1">
        <f t="shared" si="71"/>
        <v>153</v>
      </c>
      <c r="N254" s="1" t="s">
        <v>417</v>
      </c>
      <c r="O254" s="1">
        <v>5.05</v>
      </c>
      <c r="P254" s="1"/>
      <c r="Q254" s="1"/>
      <c r="R254" s="1"/>
      <c r="S254" s="1">
        <f t="shared" si="78"/>
        <v>1</v>
      </c>
      <c r="T254" s="1" t="s">
        <v>442</v>
      </c>
      <c r="U254" s="1"/>
      <c r="V254" s="1"/>
      <c r="W254" s="1"/>
      <c r="X254" s="1"/>
      <c r="Y254" s="1">
        <v>88</v>
      </c>
      <c r="Z254" s="1">
        <v>0</v>
      </c>
      <c r="AA254" s="1"/>
      <c r="AB254" s="1">
        <v>1</v>
      </c>
      <c r="AC254" s="98">
        <v>10</v>
      </c>
      <c r="AD254" s="172">
        <v>50</v>
      </c>
      <c r="AE254" s="1" t="s">
        <v>417</v>
      </c>
      <c r="AF254" s="1">
        <v>2.5</v>
      </c>
      <c r="AG254" s="1">
        <v>0.5</v>
      </c>
      <c r="AH254" s="1">
        <v>2.5</v>
      </c>
      <c r="AI254" s="1">
        <v>0.5</v>
      </c>
      <c r="AJ254" s="1"/>
      <c r="AK254" s="1"/>
      <c r="AL254" s="1">
        <v>0</v>
      </c>
    </row>
    <row r="255" spans="1:38" x14ac:dyDescent="0.25">
      <c r="A255" s="182" t="s">
        <v>76</v>
      </c>
      <c r="B255" s="1">
        <v>2</v>
      </c>
      <c r="C255" s="1" t="s">
        <v>418</v>
      </c>
      <c r="D255" s="13">
        <v>38790</v>
      </c>
      <c r="E255" s="174">
        <f t="shared" si="72"/>
        <v>2647</v>
      </c>
      <c r="F255" s="201"/>
      <c r="G255" s="13">
        <v>41306</v>
      </c>
      <c r="H255" s="13">
        <f t="shared" si="80"/>
        <v>41284</v>
      </c>
      <c r="I255" s="13">
        <v>41437</v>
      </c>
      <c r="J255" s="13"/>
      <c r="K255" s="1">
        <f t="shared" si="69"/>
        <v>2516</v>
      </c>
      <c r="L255" s="1">
        <f t="shared" si="70"/>
        <v>22</v>
      </c>
      <c r="M255" s="1">
        <f t="shared" si="71"/>
        <v>131</v>
      </c>
      <c r="N255" s="1" t="s">
        <v>417</v>
      </c>
      <c r="O255" s="1">
        <v>5.03</v>
      </c>
      <c r="P255" s="1"/>
      <c r="Q255" s="1"/>
      <c r="R255" s="1"/>
      <c r="S255" s="1">
        <f t="shared" si="78"/>
        <v>1</v>
      </c>
      <c r="T255" s="1" t="s">
        <v>442</v>
      </c>
      <c r="U255" s="1"/>
      <c r="V255" s="1"/>
      <c r="W255" s="1"/>
      <c r="X255" s="1"/>
      <c r="Y255" s="1">
        <v>89</v>
      </c>
      <c r="Z255" s="1">
        <v>0</v>
      </c>
      <c r="AA255" s="1"/>
      <c r="AB255" s="1">
        <v>1</v>
      </c>
      <c r="AC255" s="98">
        <v>10</v>
      </c>
      <c r="AD255" s="172">
        <v>50</v>
      </c>
      <c r="AE255" s="1" t="s">
        <v>417</v>
      </c>
      <c r="AF255" s="1">
        <v>2.5</v>
      </c>
      <c r="AG255" s="1">
        <v>0.5</v>
      </c>
      <c r="AH255" s="1">
        <v>2.5</v>
      </c>
      <c r="AI255" s="1">
        <v>0.5</v>
      </c>
      <c r="AJ255" s="1"/>
      <c r="AK255" s="1"/>
      <c r="AL255" s="1">
        <v>0</v>
      </c>
    </row>
    <row r="256" spans="1:38" x14ac:dyDescent="0.25">
      <c r="A256" s="182" t="s">
        <v>76</v>
      </c>
      <c r="B256" s="1">
        <v>2</v>
      </c>
      <c r="C256" s="1" t="s">
        <v>418</v>
      </c>
      <c r="D256" s="13">
        <v>38790</v>
      </c>
      <c r="E256" s="174">
        <f t="shared" si="72"/>
        <v>2647</v>
      </c>
      <c r="F256" s="201"/>
      <c r="G256" s="13">
        <v>41366</v>
      </c>
      <c r="H256" s="13">
        <f t="shared" si="80"/>
        <v>41306</v>
      </c>
      <c r="I256" s="13">
        <v>41437</v>
      </c>
      <c r="J256" s="13"/>
      <c r="K256" s="1">
        <f t="shared" si="69"/>
        <v>2576</v>
      </c>
      <c r="L256" s="1">
        <f t="shared" si="70"/>
        <v>60</v>
      </c>
      <c r="M256" s="1">
        <f t="shared" si="71"/>
        <v>71</v>
      </c>
      <c r="N256" s="1" t="s">
        <v>417</v>
      </c>
      <c r="O256" s="1">
        <v>4.9000000000000004</v>
      </c>
      <c r="P256" s="1"/>
      <c r="Q256" s="1"/>
      <c r="R256" s="1"/>
      <c r="S256" s="1"/>
      <c r="T256" s="1" t="s">
        <v>442</v>
      </c>
      <c r="U256" s="1"/>
      <c r="V256" s="1"/>
      <c r="W256" s="1"/>
      <c r="X256" s="1"/>
      <c r="Y256" s="1">
        <v>74</v>
      </c>
      <c r="Z256" s="1">
        <v>0</v>
      </c>
      <c r="AA256" s="1"/>
      <c r="AB256" s="1">
        <v>0</v>
      </c>
      <c r="AC256" s="98">
        <v>0</v>
      </c>
      <c r="AD256" s="172">
        <v>50</v>
      </c>
      <c r="AE256" s="1" t="s">
        <v>417</v>
      </c>
      <c r="AF256" s="1">
        <v>2.5</v>
      </c>
      <c r="AG256" s="1">
        <v>0.5</v>
      </c>
      <c r="AH256" s="1">
        <v>2.5</v>
      </c>
      <c r="AI256" s="1">
        <v>0.5</v>
      </c>
      <c r="AJ256" s="1"/>
      <c r="AK256" s="1"/>
      <c r="AL256" s="1">
        <v>0</v>
      </c>
    </row>
    <row r="257" spans="1:38" x14ac:dyDescent="0.25">
      <c r="A257" s="182" t="s">
        <v>76</v>
      </c>
      <c r="B257" s="1">
        <v>2</v>
      </c>
      <c r="C257" s="1" t="s">
        <v>418</v>
      </c>
      <c r="D257" s="13">
        <v>38790</v>
      </c>
      <c r="E257" s="174">
        <f t="shared" si="72"/>
        <v>2647</v>
      </c>
      <c r="F257" s="201"/>
      <c r="G257" s="13">
        <v>41428</v>
      </c>
      <c r="H257" s="13">
        <f t="shared" si="80"/>
        <v>41366</v>
      </c>
      <c r="I257" s="13">
        <v>41437</v>
      </c>
      <c r="J257" s="13"/>
      <c r="K257" s="1">
        <f t="shared" si="69"/>
        <v>2638</v>
      </c>
      <c r="L257" s="1">
        <f t="shared" si="70"/>
        <v>62</v>
      </c>
      <c r="M257" s="1">
        <f t="shared" si="71"/>
        <v>9</v>
      </c>
      <c r="N257" s="1" t="s">
        <v>434</v>
      </c>
      <c r="O257" s="1">
        <v>4.7</v>
      </c>
      <c r="P257" s="1"/>
      <c r="Q257" s="1"/>
      <c r="R257" s="1"/>
      <c r="S257" s="1"/>
      <c r="T257" s="1" t="s">
        <v>442</v>
      </c>
      <c r="U257" s="1">
        <v>0</v>
      </c>
      <c r="V257" s="1">
        <v>0</v>
      </c>
      <c r="W257" s="1">
        <v>0</v>
      </c>
      <c r="X257" s="1">
        <v>0</v>
      </c>
      <c r="Y257" s="1">
        <v>62</v>
      </c>
      <c r="Z257" s="1">
        <v>0</v>
      </c>
      <c r="AA257" s="1"/>
      <c r="AB257" s="1">
        <v>0</v>
      </c>
      <c r="AC257" s="98">
        <v>0</v>
      </c>
      <c r="AD257" s="172">
        <v>50</v>
      </c>
      <c r="AE257" s="1" t="s">
        <v>417</v>
      </c>
      <c r="AF257" s="1">
        <v>2.5</v>
      </c>
      <c r="AG257" s="1">
        <v>0.5</v>
      </c>
      <c r="AH257" s="1">
        <v>2.5</v>
      </c>
      <c r="AI257" s="1">
        <v>0.5</v>
      </c>
      <c r="AJ257" s="1"/>
      <c r="AK257" s="1"/>
      <c r="AL257" s="1">
        <v>0</v>
      </c>
    </row>
    <row r="258" spans="1:38" x14ac:dyDescent="0.25">
      <c r="A258" s="182" t="s">
        <v>76</v>
      </c>
      <c r="B258" s="1">
        <v>2</v>
      </c>
      <c r="C258" s="1" t="s">
        <v>418</v>
      </c>
      <c r="D258" s="13">
        <v>38790</v>
      </c>
      <c r="E258" s="1">
        <f t="shared" si="72"/>
        <v>2647</v>
      </c>
      <c r="F258" s="1"/>
      <c r="G258" s="13">
        <v>41437</v>
      </c>
      <c r="H258" s="13">
        <f t="shared" si="80"/>
        <v>41428</v>
      </c>
      <c r="I258" s="13">
        <v>41437</v>
      </c>
      <c r="J258" s="13"/>
      <c r="K258" s="1">
        <f t="shared" ref="K258:K321" si="81">G258-D258</f>
        <v>2647</v>
      </c>
      <c r="L258" s="1">
        <f t="shared" ref="L258:L321" si="82">G258-H258</f>
        <v>9</v>
      </c>
      <c r="M258" s="1">
        <f t="shared" ref="M258:M321" si="83">I258-G258</f>
        <v>0</v>
      </c>
      <c r="N258" s="1" t="s">
        <v>434</v>
      </c>
      <c r="O258" s="1">
        <v>4.76</v>
      </c>
      <c r="P258" s="1"/>
      <c r="Q258" s="1"/>
      <c r="R258" s="1"/>
      <c r="S258" s="1"/>
      <c r="T258" s="1"/>
      <c r="U258" s="1"/>
      <c r="V258" s="1"/>
      <c r="W258" s="1"/>
      <c r="X258" s="1"/>
      <c r="Y258" s="1">
        <v>0</v>
      </c>
      <c r="Z258" s="1">
        <v>0</v>
      </c>
      <c r="AA258" s="1"/>
      <c r="AB258" s="1">
        <v>0</v>
      </c>
      <c r="AC258" s="1">
        <v>0</v>
      </c>
      <c r="AD258" s="1">
        <v>50</v>
      </c>
      <c r="AE258" s="1" t="s">
        <v>417</v>
      </c>
      <c r="AF258" s="1">
        <v>2.5</v>
      </c>
      <c r="AG258" s="1">
        <v>0.5</v>
      </c>
      <c r="AH258" s="1">
        <v>2.5</v>
      </c>
      <c r="AI258" s="1">
        <v>0.5</v>
      </c>
      <c r="AJ258" s="1"/>
      <c r="AK258" s="1"/>
      <c r="AL258" s="1">
        <v>0</v>
      </c>
    </row>
    <row r="259" spans="1:38" x14ac:dyDescent="0.25">
      <c r="A259" s="193" t="s">
        <v>107</v>
      </c>
      <c r="B259" s="1">
        <v>2</v>
      </c>
      <c r="C259" s="1" t="s">
        <v>418</v>
      </c>
      <c r="D259" s="13">
        <v>38832</v>
      </c>
      <c r="E259" s="174">
        <f t="shared" ref="E259:E322" si="84">I259-D259</f>
        <v>2631</v>
      </c>
      <c r="F259" s="201"/>
      <c r="G259" s="13">
        <v>40197</v>
      </c>
      <c r="H259" s="13">
        <v>38832</v>
      </c>
      <c r="I259" s="13">
        <v>41463</v>
      </c>
      <c r="J259" s="13"/>
      <c r="K259" s="1">
        <f t="shared" si="81"/>
        <v>1365</v>
      </c>
      <c r="L259" s="1">
        <f t="shared" si="82"/>
        <v>1365</v>
      </c>
      <c r="M259" s="1">
        <f t="shared" si="83"/>
        <v>1266</v>
      </c>
      <c r="N259" s="1" t="s">
        <v>417</v>
      </c>
      <c r="O259" s="1">
        <v>5.63</v>
      </c>
      <c r="P259" s="1">
        <f t="shared" si="79"/>
        <v>1</v>
      </c>
      <c r="Q259" s="1">
        <f t="shared" si="76"/>
        <v>1</v>
      </c>
      <c r="R259" s="1">
        <f t="shared" si="77"/>
        <v>1</v>
      </c>
      <c r="S259" s="1">
        <f t="shared" si="78"/>
        <v>1</v>
      </c>
      <c r="T259" s="1" t="s">
        <v>437</v>
      </c>
      <c r="U259" s="1"/>
      <c r="V259" s="1"/>
      <c r="W259" s="1"/>
      <c r="X259" s="1"/>
      <c r="Y259" s="1">
        <v>58</v>
      </c>
      <c r="Z259" s="1">
        <v>0</v>
      </c>
      <c r="AA259" s="1"/>
      <c r="AB259" s="1">
        <v>0</v>
      </c>
      <c r="AC259" s="98">
        <v>0</v>
      </c>
      <c r="AD259" s="172">
        <v>60</v>
      </c>
      <c r="AE259" s="1" t="s">
        <v>417</v>
      </c>
      <c r="AF259" s="1">
        <v>2.5</v>
      </c>
      <c r="AG259" s="1">
        <v>0.5</v>
      </c>
      <c r="AH259" s="1">
        <v>2.5</v>
      </c>
      <c r="AI259" s="1">
        <v>0.5</v>
      </c>
      <c r="AJ259" s="1"/>
      <c r="AK259" s="1"/>
      <c r="AL259" s="1">
        <v>0</v>
      </c>
    </row>
    <row r="260" spans="1:38" x14ac:dyDescent="0.25">
      <c r="A260" s="193" t="s">
        <v>107</v>
      </c>
      <c r="B260" s="1">
        <v>2</v>
      </c>
      <c r="C260" s="1" t="s">
        <v>418</v>
      </c>
      <c r="D260" s="13">
        <v>38832</v>
      </c>
      <c r="E260" s="174">
        <f t="shared" si="84"/>
        <v>2631</v>
      </c>
      <c r="F260" s="201"/>
      <c r="G260" s="13">
        <v>40652</v>
      </c>
      <c r="H260" s="13">
        <f>G259</f>
        <v>40197</v>
      </c>
      <c r="I260" s="13">
        <v>41463</v>
      </c>
      <c r="J260" s="13"/>
      <c r="K260" s="1">
        <f t="shared" si="81"/>
        <v>1820</v>
      </c>
      <c r="L260" s="1">
        <f t="shared" si="82"/>
        <v>455</v>
      </c>
      <c r="M260" s="1">
        <f t="shared" si="83"/>
        <v>811</v>
      </c>
      <c r="N260" s="1" t="s">
        <v>417</v>
      </c>
      <c r="O260" s="1">
        <v>5.18</v>
      </c>
      <c r="P260" s="1">
        <f t="shared" si="79"/>
        <v>1</v>
      </c>
      <c r="Q260" s="1">
        <f t="shared" si="76"/>
        <v>1</v>
      </c>
      <c r="R260" s="1">
        <f t="shared" si="77"/>
        <v>1</v>
      </c>
      <c r="S260" s="1">
        <f t="shared" si="78"/>
        <v>1</v>
      </c>
      <c r="T260" s="1" t="s">
        <v>437</v>
      </c>
      <c r="U260" s="1"/>
      <c r="V260" s="1"/>
      <c r="W260" s="1"/>
      <c r="X260" s="1"/>
      <c r="Y260" s="1">
        <v>63</v>
      </c>
      <c r="Z260" s="1">
        <v>0</v>
      </c>
      <c r="AA260" s="1"/>
      <c r="AB260" s="1">
        <v>0</v>
      </c>
      <c r="AC260" s="98">
        <v>0</v>
      </c>
      <c r="AD260" s="172">
        <v>60</v>
      </c>
      <c r="AE260" s="1" t="s">
        <v>417</v>
      </c>
      <c r="AF260" s="1">
        <v>2.5</v>
      </c>
      <c r="AG260" s="1">
        <v>0.5</v>
      </c>
      <c r="AH260" s="1">
        <v>2.5</v>
      </c>
      <c r="AI260" s="1">
        <v>0.5</v>
      </c>
      <c r="AJ260" s="1"/>
      <c r="AK260" s="1"/>
      <c r="AL260" s="1">
        <v>0</v>
      </c>
    </row>
    <row r="261" spans="1:38" x14ac:dyDescent="0.25">
      <c r="A261" s="193" t="s">
        <v>107</v>
      </c>
      <c r="B261" s="1">
        <v>2</v>
      </c>
      <c r="C261" s="1" t="s">
        <v>418</v>
      </c>
      <c r="D261" s="13">
        <v>38832</v>
      </c>
      <c r="E261" s="174">
        <f t="shared" si="84"/>
        <v>2631</v>
      </c>
      <c r="F261" s="201"/>
      <c r="G261" s="13">
        <v>40862</v>
      </c>
      <c r="H261" s="13">
        <f t="shared" ref="H261:H266" si="85">G260</f>
        <v>40652</v>
      </c>
      <c r="I261" s="13">
        <v>41463</v>
      </c>
      <c r="J261" s="13"/>
      <c r="K261" s="1">
        <f t="shared" si="81"/>
        <v>2030</v>
      </c>
      <c r="L261" s="1">
        <f t="shared" si="82"/>
        <v>210</v>
      </c>
      <c r="M261" s="1">
        <f t="shared" si="83"/>
        <v>601</v>
      </c>
      <c r="N261" s="1" t="s">
        <v>417</v>
      </c>
      <c r="O261" s="1">
        <v>5.16</v>
      </c>
      <c r="P261" s="1">
        <f t="shared" si="79"/>
        <v>1</v>
      </c>
      <c r="Q261" s="1">
        <f t="shared" si="76"/>
        <v>1</v>
      </c>
      <c r="R261" s="1">
        <f t="shared" si="77"/>
        <v>1</v>
      </c>
      <c r="S261" s="1">
        <f t="shared" si="78"/>
        <v>1</v>
      </c>
      <c r="T261" s="1" t="s">
        <v>437</v>
      </c>
      <c r="U261" s="1"/>
      <c r="V261" s="1"/>
      <c r="W261" s="1"/>
      <c r="X261" s="1"/>
      <c r="Y261" s="1">
        <v>64</v>
      </c>
      <c r="Z261" s="1">
        <v>0</v>
      </c>
      <c r="AA261" s="1"/>
      <c r="AB261" s="1">
        <v>0</v>
      </c>
      <c r="AC261" s="98">
        <v>0</v>
      </c>
      <c r="AD261" s="172">
        <v>60</v>
      </c>
      <c r="AE261" s="1" t="s">
        <v>417</v>
      </c>
      <c r="AF261" s="1">
        <v>2.5</v>
      </c>
      <c r="AG261" s="1">
        <v>0.5</v>
      </c>
      <c r="AH261" s="1">
        <v>2.5</v>
      </c>
      <c r="AI261" s="1">
        <v>0.5</v>
      </c>
      <c r="AJ261" s="1"/>
      <c r="AK261" s="1"/>
      <c r="AL261" s="1">
        <v>0</v>
      </c>
    </row>
    <row r="262" spans="1:38" x14ac:dyDescent="0.25">
      <c r="A262" s="193" t="s">
        <v>107</v>
      </c>
      <c r="B262" s="1">
        <v>2</v>
      </c>
      <c r="C262" s="1" t="s">
        <v>418</v>
      </c>
      <c r="D262" s="13">
        <v>38832</v>
      </c>
      <c r="E262" s="174">
        <f t="shared" si="84"/>
        <v>2631</v>
      </c>
      <c r="F262" s="201"/>
      <c r="G262" s="13">
        <v>41051</v>
      </c>
      <c r="H262" s="13">
        <f t="shared" si="85"/>
        <v>40862</v>
      </c>
      <c r="I262" s="13">
        <v>41463</v>
      </c>
      <c r="J262" s="13"/>
      <c r="K262" s="1">
        <f t="shared" si="81"/>
        <v>2219</v>
      </c>
      <c r="L262" s="1">
        <f t="shared" si="82"/>
        <v>189</v>
      </c>
      <c r="M262" s="1">
        <f t="shared" si="83"/>
        <v>412</v>
      </c>
      <c r="N262" s="1" t="s">
        <v>417</v>
      </c>
      <c r="O262" s="1">
        <v>5.15</v>
      </c>
      <c r="P262" s="1"/>
      <c r="Q262" s="1">
        <f t="shared" si="76"/>
        <v>1</v>
      </c>
      <c r="R262" s="1">
        <f t="shared" si="77"/>
        <v>1</v>
      </c>
      <c r="S262" s="1">
        <f t="shared" si="78"/>
        <v>1</v>
      </c>
      <c r="T262" s="1" t="s">
        <v>442</v>
      </c>
      <c r="U262" s="1"/>
      <c r="V262" s="1"/>
      <c r="W262" s="1"/>
      <c r="X262" s="1"/>
      <c r="Y262" s="1">
        <v>62</v>
      </c>
      <c r="Z262" s="1">
        <v>0</v>
      </c>
      <c r="AA262" s="1"/>
      <c r="AB262" s="1">
        <v>0</v>
      </c>
      <c r="AC262" s="98">
        <v>0</v>
      </c>
      <c r="AD262" s="172">
        <v>60</v>
      </c>
      <c r="AE262" s="1" t="s">
        <v>417</v>
      </c>
      <c r="AF262" s="1">
        <v>2.5</v>
      </c>
      <c r="AG262" s="1">
        <v>0.5</v>
      </c>
      <c r="AH262" s="1">
        <v>2.5</v>
      </c>
      <c r="AI262" s="1">
        <v>0.5</v>
      </c>
      <c r="AJ262" s="1"/>
      <c r="AK262" s="1"/>
      <c r="AL262" s="1">
        <v>0</v>
      </c>
    </row>
    <row r="263" spans="1:38" x14ac:dyDescent="0.25">
      <c r="A263" s="193" t="s">
        <v>107</v>
      </c>
      <c r="B263" s="1">
        <v>2</v>
      </c>
      <c r="C263" s="1" t="s">
        <v>418</v>
      </c>
      <c r="D263" s="13">
        <v>38832</v>
      </c>
      <c r="E263" s="174">
        <f t="shared" si="84"/>
        <v>2631</v>
      </c>
      <c r="F263" s="201"/>
      <c r="G263" s="13">
        <v>41240</v>
      </c>
      <c r="H263" s="13">
        <f t="shared" si="85"/>
        <v>41051</v>
      </c>
      <c r="I263" s="13">
        <v>41463</v>
      </c>
      <c r="J263" s="13"/>
      <c r="K263" s="1">
        <f t="shared" si="81"/>
        <v>2408</v>
      </c>
      <c r="L263" s="1">
        <f t="shared" si="82"/>
        <v>189</v>
      </c>
      <c r="M263" s="1">
        <f t="shared" si="83"/>
        <v>223</v>
      </c>
      <c r="N263" s="1" t="s">
        <v>417</v>
      </c>
      <c r="O263" s="1">
        <v>5.12</v>
      </c>
      <c r="P263" s="1"/>
      <c r="Q263" s="1"/>
      <c r="R263" s="1">
        <f t="shared" si="77"/>
        <v>1</v>
      </c>
      <c r="S263" s="1">
        <f t="shared" si="78"/>
        <v>1</v>
      </c>
      <c r="T263" s="1" t="s">
        <v>442</v>
      </c>
      <c r="U263" s="1"/>
      <c r="V263" s="1"/>
      <c r="W263" s="1"/>
      <c r="X263" s="1"/>
      <c r="Y263" s="1">
        <v>64</v>
      </c>
      <c r="Z263" s="1">
        <v>0</v>
      </c>
      <c r="AA263" s="1"/>
      <c r="AB263" s="1">
        <v>0</v>
      </c>
      <c r="AC263" s="98">
        <v>0</v>
      </c>
      <c r="AD263" s="172">
        <v>60</v>
      </c>
      <c r="AE263" s="1" t="s">
        <v>417</v>
      </c>
      <c r="AF263" s="1">
        <v>2.5</v>
      </c>
      <c r="AG263" s="1">
        <v>0.5</v>
      </c>
      <c r="AH263" s="1">
        <v>2.5</v>
      </c>
      <c r="AI263" s="1">
        <v>0.5</v>
      </c>
      <c r="AJ263" s="1"/>
      <c r="AK263" s="1"/>
      <c r="AL263" s="1">
        <v>0</v>
      </c>
    </row>
    <row r="264" spans="1:38" x14ac:dyDescent="0.25">
      <c r="A264" s="193" t="s">
        <v>107</v>
      </c>
      <c r="B264" s="1">
        <v>2</v>
      </c>
      <c r="C264" s="1" t="s">
        <v>418</v>
      </c>
      <c r="D264" s="13">
        <v>38832</v>
      </c>
      <c r="E264" s="174">
        <f t="shared" si="84"/>
        <v>2631</v>
      </c>
      <c r="F264" s="201"/>
      <c r="G264" s="13">
        <v>41394</v>
      </c>
      <c r="H264" s="13">
        <f t="shared" si="85"/>
        <v>41240</v>
      </c>
      <c r="I264" s="13">
        <v>41463</v>
      </c>
      <c r="J264" s="13"/>
      <c r="K264" s="1">
        <f t="shared" si="81"/>
        <v>2562</v>
      </c>
      <c r="L264" s="1">
        <f t="shared" si="82"/>
        <v>154</v>
      </c>
      <c r="M264" s="1">
        <f t="shared" si="83"/>
        <v>69</v>
      </c>
      <c r="N264" s="1" t="s">
        <v>417</v>
      </c>
      <c r="O264" s="1">
        <v>4.95</v>
      </c>
      <c r="P264" s="1"/>
      <c r="Q264" s="1"/>
      <c r="R264" s="1"/>
      <c r="S264" s="1"/>
      <c r="T264" s="1" t="s">
        <v>442</v>
      </c>
      <c r="U264" s="1"/>
      <c r="V264" s="1"/>
      <c r="W264" s="1"/>
      <c r="X264" s="1"/>
      <c r="Y264" s="1">
        <v>57</v>
      </c>
      <c r="Z264" s="1">
        <v>0</v>
      </c>
      <c r="AA264" s="1"/>
      <c r="AB264" s="1">
        <v>0</v>
      </c>
      <c r="AC264" s="98">
        <v>0</v>
      </c>
      <c r="AD264" s="172">
        <v>60</v>
      </c>
      <c r="AE264" s="1" t="s">
        <v>417</v>
      </c>
      <c r="AF264" s="1">
        <v>2.5</v>
      </c>
      <c r="AG264" s="1">
        <v>0.5</v>
      </c>
      <c r="AH264" s="1">
        <v>2.5</v>
      </c>
      <c r="AI264" s="1">
        <v>0.5</v>
      </c>
      <c r="AJ264" s="1"/>
      <c r="AK264" s="1"/>
      <c r="AL264" s="1">
        <v>0</v>
      </c>
    </row>
    <row r="265" spans="1:38" x14ac:dyDescent="0.25">
      <c r="A265" s="193" t="s">
        <v>107</v>
      </c>
      <c r="B265" s="1">
        <v>2</v>
      </c>
      <c r="C265" s="1" t="s">
        <v>418</v>
      </c>
      <c r="D265" s="13">
        <v>38832</v>
      </c>
      <c r="E265" s="174">
        <f t="shared" si="84"/>
        <v>2631</v>
      </c>
      <c r="F265" s="201"/>
      <c r="G265" s="13">
        <v>41451</v>
      </c>
      <c r="H265" s="13">
        <f t="shared" si="85"/>
        <v>41394</v>
      </c>
      <c r="I265" s="13">
        <v>41463</v>
      </c>
      <c r="J265" s="13"/>
      <c r="K265" s="1">
        <f t="shared" si="81"/>
        <v>2619</v>
      </c>
      <c r="L265" s="1">
        <f t="shared" si="82"/>
        <v>57</v>
      </c>
      <c r="M265" s="1">
        <f t="shared" si="83"/>
        <v>12</v>
      </c>
      <c r="N265" s="1" t="s">
        <v>417</v>
      </c>
      <c r="O265" s="1">
        <v>4.87</v>
      </c>
      <c r="P265" s="1"/>
      <c r="Q265" s="1"/>
      <c r="R265" s="1"/>
      <c r="S265" s="1"/>
      <c r="T265" s="1" t="s">
        <v>442</v>
      </c>
      <c r="U265" s="1"/>
      <c r="V265" s="1"/>
      <c r="W265" s="1"/>
      <c r="X265" s="1"/>
      <c r="Y265" s="1">
        <v>60</v>
      </c>
      <c r="Z265" s="1">
        <v>0</v>
      </c>
      <c r="AA265" s="1"/>
      <c r="AB265" s="1">
        <v>0</v>
      </c>
      <c r="AC265" s="98">
        <v>0</v>
      </c>
      <c r="AD265" s="172">
        <v>60</v>
      </c>
      <c r="AE265" s="1" t="s">
        <v>417</v>
      </c>
      <c r="AF265" s="1">
        <v>2.5</v>
      </c>
      <c r="AG265" s="1">
        <v>0.5</v>
      </c>
      <c r="AH265" s="1">
        <v>2.5</v>
      </c>
      <c r="AI265" s="1">
        <v>0.5</v>
      </c>
      <c r="AJ265" s="1"/>
      <c r="AK265" s="1"/>
      <c r="AL265" s="1">
        <v>0</v>
      </c>
    </row>
    <row r="266" spans="1:38" x14ac:dyDescent="0.25">
      <c r="A266" s="193" t="s">
        <v>107</v>
      </c>
      <c r="B266" s="1">
        <v>2</v>
      </c>
      <c r="C266" s="1" t="s">
        <v>418</v>
      </c>
      <c r="D266" s="13">
        <v>38832</v>
      </c>
      <c r="E266" s="1">
        <f t="shared" si="84"/>
        <v>2631</v>
      </c>
      <c r="F266" s="1"/>
      <c r="G266" s="13">
        <v>41463</v>
      </c>
      <c r="H266" s="13">
        <f t="shared" si="85"/>
        <v>41451</v>
      </c>
      <c r="I266" s="13">
        <v>41463</v>
      </c>
      <c r="J266" s="13"/>
      <c r="K266" s="1">
        <f t="shared" si="81"/>
        <v>2631</v>
      </c>
      <c r="L266" s="1">
        <f t="shared" si="82"/>
        <v>12</v>
      </c>
      <c r="M266" s="1">
        <f t="shared" si="83"/>
        <v>0</v>
      </c>
      <c r="N266" s="1" t="s">
        <v>417</v>
      </c>
      <c r="O266" s="1">
        <v>4.84</v>
      </c>
      <c r="P266" s="1"/>
      <c r="Q266" s="1"/>
      <c r="R266" s="1"/>
      <c r="S266" s="1"/>
      <c r="T266" s="1"/>
      <c r="U266" s="1"/>
      <c r="V266" s="1"/>
      <c r="W266" s="1"/>
      <c r="X266" s="1"/>
      <c r="Y266" s="1">
        <v>60</v>
      </c>
      <c r="Z266" s="1">
        <v>0</v>
      </c>
      <c r="AA266" s="1"/>
      <c r="AB266" s="1">
        <v>0</v>
      </c>
      <c r="AC266" s="1">
        <v>0</v>
      </c>
      <c r="AD266" s="1">
        <v>60</v>
      </c>
      <c r="AE266" s="1" t="s">
        <v>417</v>
      </c>
      <c r="AF266" s="1">
        <v>2.5</v>
      </c>
      <c r="AG266" s="1">
        <v>0.5</v>
      </c>
      <c r="AH266" s="1">
        <v>2.5</v>
      </c>
      <c r="AI266" s="1">
        <v>0.5</v>
      </c>
      <c r="AJ266" s="1"/>
      <c r="AK266" s="1"/>
      <c r="AL266" s="1">
        <v>0</v>
      </c>
    </row>
    <row r="267" spans="1:38" x14ac:dyDescent="0.25">
      <c r="A267" s="181" t="s">
        <v>108</v>
      </c>
      <c r="B267" s="1">
        <v>2</v>
      </c>
      <c r="C267" s="1" t="s">
        <v>418</v>
      </c>
      <c r="D267" s="13">
        <v>39437</v>
      </c>
      <c r="E267" s="1">
        <f t="shared" si="84"/>
        <v>2728</v>
      </c>
      <c r="F267" s="1"/>
      <c r="G267" s="13">
        <v>40231</v>
      </c>
      <c r="H267" s="13">
        <v>39437</v>
      </c>
      <c r="I267" s="13">
        <v>42165</v>
      </c>
      <c r="J267" s="13"/>
      <c r="K267" s="1">
        <f t="shared" si="81"/>
        <v>794</v>
      </c>
      <c r="L267" s="1">
        <f t="shared" si="82"/>
        <v>794</v>
      </c>
      <c r="M267" s="1">
        <f t="shared" si="83"/>
        <v>1934</v>
      </c>
      <c r="N267" s="1" t="s">
        <v>417</v>
      </c>
      <c r="O267" s="1">
        <v>6.36</v>
      </c>
      <c r="P267" s="1">
        <f t="shared" si="79"/>
        <v>1</v>
      </c>
      <c r="Q267" s="1">
        <f t="shared" si="76"/>
        <v>1</v>
      </c>
      <c r="R267" s="1">
        <f t="shared" si="77"/>
        <v>1</v>
      </c>
      <c r="S267" s="1">
        <f t="shared" si="78"/>
        <v>1</v>
      </c>
      <c r="T267" s="1" t="s">
        <v>437</v>
      </c>
      <c r="U267" s="1"/>
      <c r="V267" s="1"/>
      <c r="W267" s="1"/>
      <c r="X267" s="1"/>
      <c r="Y267" s="1">
        <v>15</v>
      </c>
      <c r="Z267" s="1">
        <v>0</v>
      </c>
      <c r="AA267" s="1"/>
      <c r="AB267" s="1">
        <v>1</v>
      </c>
      <c r="AC267" s="1">
        <v>0</v>
      </c>
      <c r="AD267" s="1">
        <v>60</v>
      </c>
      <c r="AE267" s="1" t="s">
        <v>417</v>
      </c>
      <c r="AF267" s="1">
        <v>2.5</v>
      </c>
      <c r="AG267" s="1">
        <v>0.5</v>
      </c>
      <c r="AH267" s="1">
        <v>4.5</v>
      </c>
      <c r="AI267" s="1">
        <v>0.5</v>
      </c>
      <c r="AJ267" s="1"/>
      <c r="AK267" s="1"/>
      <c r="AL267" s="1">
        <v>0</v>
      </c>
    </row>
    <row r="268" spans="1:38" x14ac:dyDescent="0.25">
      <c r="A268" s="181" t="s">
        <v>108</v>
      </c>
      <c r="B268" s="1">
        <v>2</v>
      </c>
      <c r="C268" s="1" t="s">
        <v>418</v>
      </c>
      <c r="D268" s="13">
        <v>39437</v>
      </c>
      <c r="E268" s="174">
        <f t="shared" si="84"/>
        <v>2728</v>
      </c>
      <c r="F268" s="201"/>
      <c r="G268" s="13">
        <v>40722</v>
      </c>
      <c r="H268" s="13">
        <f>G267</f>
        <v>40231</v>
      </c>
      <c r="I268" s="13">
        <v>42165</v>
      </c>
      <c r="J268" s="13"/>
      <c r="K268" s="1">
        <f t="shared" si="81"/>
        <v>1285</v>
      </c>
      <c r="L268" s="1">
        <f t="shared" si="82"/>
        <v>491</v>
      </c>
      <c r="M268" s="1">
        <f t="shared" si="83"/>
        <v>1443</v>
      </c>
      <c r="N268" s="1" t="s">
        <v>417</v>
      </c>
      <c r="O268" s="1">
        <v>5.91</v>
      </c>
      <c r="P268" s="1">
        <f t="shared" si="79"/>
        <v>1</v>
      </c>
      <c r="Q268" s="1">
        <f t="shared" si="76"/>
        <v>1</v>
      </c>
      <c r="R268" s="1">
        <f t="shared" si="77"/>
        <v>1</v>
      </c>
      <c r="S268" s="1">
        <f t="shared" si="78"/>
        <v>1</v>
      </c>
      <c r="T268" s="1" t="s">
        <v>437</v>
      </c>
      <c r="U268" s="1"/>
      <c r="V268" s="1"/>
      <c r="W268" s="1"/>
      <c r="X268" s="1"/>
      <c r="Y268" s="1">
        <v>15</v>
      </c>
      <c r="Z268" s="1">
        <v>0</v>
      </c>
      <c r="AA268" s="1"/>
      <c r="AB268" s="1">
        <v>0</v>
      </c>
      <c r="AC268" s="98">
        <v>0</v>
      </c>
      <c r="AD268" s="172">
        <v>60</v>
      </c>
      <c r="AE268" s="1" t="s">
        <v>417</v>
      </c>
      <c r="AF268" s="1">
        <v>2</v>
      </c>
      <c r="AG268" s="1">
        <v>0.5</v>
      </c>
      <c r="AH268" s="1">
        <v>4.5</v>
      </c>
      <c r="AI268" s="1">
        <v>0.5</v>
      </c>
      <c r="AJ268" s="1"/>
      <c r="AK268" s="1"/>
      <c r="AL268" s="1">
        <v>0</v>
      </c>
    </row>
    <row r="269" spans="1:38" x14ac:dyDescent="0.25">
      <c r="A269" s="181" t="s">
        <v>108</v>
      </c>
      <c r="B269" s="1">
        <v>2</v>
      </c>
      <c r="C269" s="1" t="s">
        <v>418</v>
      </c>
      <c r="D269" s="13">
        <v>39437</v>
      </c>
      <c r="E269" s="174">
        <f t="shared" si="84"/>
        <v>2728</v>
      </c>
      <c r="F269" s="201"/>
      <c r="G269" s="13">
        <v>40946</v>
      </c>
      <c r="H269" s="13">
        <f t="shared" ref="H269:H278" si="86">G268</f>
        <v>40722</v>
      </c>
      <c r="I269" s="13">
        <v>42165</v>
      </c>
      <c r="J269" s="13"/>
      <c r="K269" s="1">
        <f t="shared" si="81"/>
        <v>1509</v>
      </c>
      <c r="L269" s="1">
        <f t="shared" si="82"/>
        <v>224</v>
      </c>
      <c r="M269" s="1">
        <f t="shared" si="83"/>
        <v>1219</v>
      </c>
      <c r="N269" s="1" t="s">
        <v>417</v>
      </c>
      <c r="O269" s="1">
        <v>5.56</v>
      </c>
      <c r="P269" s="1">
        <f t="shared" si="79"/>
        <v>1</v>
      </c>
      <c r="Q269" s="1">
        <f t="shared" si="76"/>
        <v>1</v>
      </c>
      <c r="R269" s="1">
        <f t="shared" si="77"/>
        <v>1</v>
      </c>
      <c r="S269" s="1">
        <f t="shared" si="78"/>
        <v>1</v>
      </c>
      <c r="T269" s="1" t="s">
        <v>437</v>
      </c>
      <c r="U269" s="1"/>
      <c r="V269" s="1"/>
      <c r="W269" s="1"/>
      <c r="X269" s="1"/>
      <c r="Y269" s="1">
        <v>15</v>
      </c>
      <c r="Z269" s="1">
        <v>0</v>
      </c>
      <c r="AA269" s="1"/>
      <c r="AB269" s="1">
        <v>0</v>
      </c>
      <c r="AC269" s="98">
        <v>0</v>
      </c>
      <c r="AD269" s="172">
        <v>60</v>
      </c>
      <c r="AE269" s="1" t="s">
        <v>417</v>
      </c>
      <c r="AF269" s="1">
        <v>2</v>
      </c>
      <c r="AG269" s="1">
        <v>0.5</v>
      </c>
      <c r="AH269" s="1">
        <v>4.5</v>
      </c>
      <c r="AI269" s="1">
        <v>0.5</v>
      </c>
      <c r="AJ269" s="1"/>
      <c r="AK269" s="1"/>
      <c r="AL269" s="1">
        <v>0</v>
      </c>
    </row>
    <row r="270" spans="1:38" x14ac:dyDescent="0.25">
      <c r="A270" s="181" t="s">
        <v>108</v>
      </c>
      <c r="B270" s="1">
        <v>2</v>
      </c>
      <c r="C270" s="1" t="s">
        <v>418</v>
      </c>
      <c r="D270" s="13">
        <v>39437</v>
      </c>
      <c r="E270" s="174">
        <f t="shared" si="84"/>
        <v>2728</v>
      </c>
      <c r="F270" s="201"/>
      <c r="G270" s="13">
        <v>41079</v>
      </c>
      <c r="H270" s="13">
        <f t="shared" si="86"/>
        <v>40946</v>
      </c>
      <c r="I270" s="13">
        <v>42165</v>
      </c>
      <c r="J270" s="13"/>
      <c r="K270" s="1">
        <f t="shared" si="81"/>
        <v>1642</v>
      </c>
      <c r="L270" s="1">
        <f t="shared" si="82"/>
        <v>133</v>
      </c>
      <c r="M270" s="1">
        <f t="shared" si="83"/>
        <v>1086</v>
      </c>
      <c r="N270" s="1" t="s">
        <v>417</v>
      </c>
      <c r="O270" s="1">
        <v>5.33</v>
      </c>
      <c r="P270" s="1">
        <f t="shared" si="79"/>
        <v>1</v>
      </c>
      <c r="Q270" s="1">
        <f t="shared" si="76"/>
        <v>1</v>
      </c>
      <c r="R270" s="1">
        <f t="shared" si="77"/>
        <v>1</v>
      </c>
      <c r="S270" s="1">
        <f t="shared" si="78"/>
        <v>1</v>
      </c>
      <c r="T270" s="1" t="s">
        <v>437</v>
      </c>
      <c r="U270" s="1"/>
      <c r="V270" s="1"/>
      <c r="W270" s="1"/>
      <c r="X270" s="1"/>
      <c r="Y270" s="1">
        <v>18</v>
      </c>
      <c r="Z270" s="1">
        <v>0</v>
      </c>
      <c r="AA270" s="1"/>
      <c r="AB270" s="1">
        <v>0</v>
      </c>
      <c r="AC270" s="98">
        <v>0</v>
      </c>
      <c r="AD270" s="172">
        <v>60</v>
      </c>
      <c r="AE270" s="1" t="s">
        <v>417</v>
      </c>
      <c r="AF270" s="1">
        <v>2</v>
      </c>
      <c r="AG270" s="1">
        <v>0.5</v>
      </c>
      <c r="AH270" s="1">
        <v>4.5</v>
      </c>
      <c r="AI270" s="1">
        <v>0.5</v>
      </c>
      <c r="AJ270" s="1"/>
      <c r="AK270" s="1"/>
      <c r="AL270" s="1">
        <v>0</v>
      </c>
    </row>
    <row r="271" spans="1:38" x14ac:dyDescent="0.25">
      <c r="A271" s="181" t="s">
        <v>108</v>
      </c>
      <c r="B271" s="1">
        <v>2</v>
      </c>
      <c r="C271" s="1" t="s">
        <v>418</v>
      </c>
      <c r="D271" s="13">
        <v>39437</v>
      </c>
      <c r="E271" s="174">
        <f t="shared" si="84"/>
        <v>2728</v>
      </c>
      <c r="F271" s="201"/>
      <c r="G271" s="13">
        <v>41324</v>
      </c>
      <c r="H271" s="13">
        <f t="shared" si="86"/>
        <v>41079</v>
      </c>
      <c r="I271" s="13">
        <v>42165</v>
      </c>
      <c r="J271" s="13"/>
      <c r="K271" s="1">
        <f t="shared" si="81"/>
        <v>1887</v>
      </c>
      <c r="L271" s="1">
        <f t="shared" si="82"/>
        <v>245</v>
      </c>
      <c r="M271" s="1">
        <f t="shared" si="83"/>
        <v>841</v>
      </c>
      <c r="N271" s="1" t="s">
        <v>417</v>
      </c>
      <c r="O271" s="1">
        <v>5.21</v>
      </c>
      <c r="P271" s="1">
        <f t="shared" si="79"/>
        <v>1</v>
      </c>
      <c r="Q271" s="1">
        <f t="shared" si="76"/>
        <v>1</v>
      </c>
      <c r="R271" s="1">
        <f t="shared" si="77"/>
        <v>1</v>
      </c>
      <c r="S271" s="1">
        <f t="shared" si="78"/>
        <v>1</v>
      </c>
      <c r="T271" s="1" t="s">
        <v>437</v>
      </c>
      <c r="U271" s="1"/>
      <c r="V271" s="1"/>
      <c r="W271" s="1"/>
      <c r="X271" s="1"/>
      <c r="Y271" s="1">
        <v>15</v>
      </c>
      <c r="Z271" s="1">
        <v>0</v>
      </c>
      <c r="AA271" s="1"/>
      <c r="AB271" s="1">
        <v>0</v>
      </c>
      <c r="AC271" s="98">
        <v>0</v>
      </c>
      <c r="AD271" s="172">
        <v>60</v>
      </c>
      <c r="AE271" s="1" t="s">
        <v>417</v>
      </c>
      <c r="AF271" s="1">
        <v>2</v>
      </c>
      <c r="AG271" s="1">
        <v>0.5</v>
      </c>
      <c r="AH271" s="1">
        <v>4.5</v>
      </c>
      <c r="AI271" s="1">
        <v>0.5</v>
      </c>
      <c r="AJ271" s="1"/>
      <c r="AK271" s="1"/>
      <c r="AL271" s="1">
        <v>0</v>
      </c>
    </row>
    <row r="272" spans="1:38" x14ac:dyDescent="0.25">
      <c r="A272" s="181" t="s">
        <v>108</v>
      </c>
      <c r="B272" s="1">
        <v>2</v>
      </c>
      <c r="C272" s="1" t="s">
        <v>418</v>
      </c>
      <c r="D272" s="13">
        <v>39437</v>
      </c>
      <c r="E272" s="174">
        <f t="shared" si="84"/>
        <v>2728</v>
      </c>
      <c r="F272" s="201"/>
      <c r="G272" s="13">
        <v>41407</v>
      </c>
      <c r="H272" s="13">
        <f t="shared" si="86"/>
        <v>41324</v>
      </c>
      <c r="I272" s="13">
        <v>42165</v>
      </c>
      <c r="J272" s="13"/>
      <c r="K272" s="1">
        <f t="shared" si="81"/>
        <v>1970</v>
      </c>
      <c r="L272" s="1">
        <f t="shared" si="82"/>
        <v>83</v>
      </c>
      <c r="M272" s="1">
        <f t="shared" si="83"/>
        <v>758</v>
      </c>
      <c r="N272" s="1" t="s">
        <v>417</v>
      </c>
      <c r="O272" s="1">
        <v>5.19</v>
      </c>
      <c r="P272" s="1">
        <f t="shared" si="79"/>
        <v>1</v>
      </c>
      <c r="Q272" s="1">
        <f t="shared" si="76"/>
        <v>1</v>
      </c>
      <c r="R272" s="1">
        <f t="shared" si="77"/>
        <v>1</v>
      </c>
      <c r="S272" s="1">
        <f t="shared" si="78"/>
        <v>1</v>
      </c>
      <c r="T272" s="1" t="s">
        <v>437</v>
      </c>
      <c r="U272" s="1"/>
      <c r="V272" s="1"/>
      <c r="W272" s="1"/>
      <c r="X272" s="1"/>
      <c r="Y272" s="1">
        <v>0</v>
      </c>
      <c r="Z272" s="1">
        <v>0</v>
      </c>
      <c r="AA272" s="1"/>
      <c r="AB272" s="1">
        <v>0</v>
      </c>
      <c r="AC272" s="98">
        <v>0</v>
      </c>
      <c r="AD272" s="172">
        <v>60</v>
      </c>
      <c r="AE272" s="1" t="s">
        <v>417</v>
      </c>
      <c r="AF272" s="1">
        <v>2</v>
      </c>
      <c r="AG272" s="1">
        <v>0.5</v>
      </c>
      <c r="AH272" s="1">
        <v>4.5</v>
      </c>
      <c r="AI272" s="1">
        <v>0.5</v>
      </c>
      <c r="AJ272" s="1"/>
      <c r="AK272" s="1"/>
      <c r="AL272" s="1">
        <v>0</v>
      </c>
    </row>
    <row r="273" spans="1:38" x14ac:dyDescent="0.25">
      <c r="A273" s="181" t="s">
        <v>108</v>
      </c>
      <c r="B273" s="1">
        <v>2</v>
      </c>
      <c r="C273" s="1" t="s">
        <v>418</v>
      </c>
      <c r="D273" s="13">
        <v>39437</v>
      </c>
      <c r="E273" s="174">
        <f t="shared" si="84"/>
        <v>2728</v>
      </c>
      <c r="F273" s="201"/>
      <c r="G273" s="13">
        <v>41450</v>
      </c>
      <c r="H273" s="13">
        <f t="shared" si="86"/>
        <v>41407</v>
      </c>
      <c r="I273" s="13">
        <v>42165</v>
      </c>
      <c r="J273" s="13"/>
      <c r="K273" s="1">
        <f t="shared" si="81"/>
        <v>2013</v>
      </c>
      <c r="L273" s="1">
        <f t="shared" si="82"/>
        <v>43</v>
      </c>
      <c r="M273" s="1">
        <f t="shared" si="83"/>
        <v>715</v>
      </c>
      <c r="N273" s="1" t="s">
        <v>417</v>
      </c>
      <c r="O273" s="1">
        <v>5.18</v>
      </c>
      <c r="P273" s="1">
        <f t="shared" si="79"/>
        <v>1</v>
      </c>
      <c r="Q273" s="1">
        <f t="shared" si="76"/>
        <v>1</v>
      </c>
      <c r="R273" s="1">
        <f t="shared" si="77"/>
        <v>1</v>
      </c>
      <c r="S273" s="1">
        <f t="shared" si="78"/>
        <v>1</v>
      </c>
      <c r="T273" s="1" t="s">
        <v>437</v>
      </c>
      <c r="U273" s="1"/>
      <c r="V273" s="1"/>
      <c r="W273" s="1"/>
      <c r="X273" s="1"/>
      <c r="Y273" s="1">
        <v>11</v>
      </c>
      <c r="Z273" s="1">
        <v>0</v>
      </c>
      <c r="AA273" s="1"/>
      <c r="AB273" s="1">
        <v>0</v>
      </c>
      <c r="AC273" s="98">
        <v>0</v>
      </c>
      <c r="AD273" s="172">
        <v>60</v>
      </c>
      <c r="AE273" s="1" t="s">
        <v>417</v>
      </c>
      <c r="AF273" s="1">
        <v>2</v>
      </c>
      <c r="AG273" s="1">
        <v>0.5</v>
      </c>
      <c r="AH273" s="1">
        <v>4.5</v>
      </c>
      <c r="AI273" s="1">
        <v>0.5</v>
      </c>
      <c r="AJ273" s="1"/>
      <c r="AK273" s="1"/>
      <c r="AL273" s="1">
        <v>0</v>
      </c>
    </row>
    <row r="274" spans="1:38" x14ac:dyDescent="0.25">
      <c r="A274" s="181" t="s">
        <v>108</v>
      </c>
      <c r="B274" s="1">
        <v>2</v>
      </c>
      <c r="C274" s="1" t="s">
        <v>418</v>
      </c>
      <c r="D274" s="13">
        <v>39437</v>
      </c>
      <c r="E274" s="174">
        <f t="shared" si="84"/>
        <v>2728</v>
      </c>
      <c r="F274" s="201"/>
      <c r="G274" s="13">
        <v>41528</v>
      </c>
      <c r="H274" s="13">
        <f t="shared" si="86"/>
        <v>41450</v>
      </c>
      <c r="I274" s="13">
        <v>42165</v>
      </c>
      <c r="J274" s="13"/>
      <c r="K274" s="1">
        <f t="shared" si="81"/>
        <v>2091</v>
      </c>
      <c r="L274" s="1">
        <f t="shared" si="82"/>
        <v>78</v>
      </c>
      <c r="M274" s="1">
        <f t="shared" si="83"/>
        <v>637</v>
      </c>
      <c r="N274" s="1" t="s">
        <v>417</v>
      </c>
      <c r="O274" s="1">
        <v>5.18</v>
      </c>
      <c r="P274" s="1">
        <f t="shared" si="79"/>
        <v>1</v>
      </c>
      <c r="Q274" s="1">
        <f t="shared" si="76"/>
        <v>1</v>
      </c>
      <c r="R274" s="1">
        <f t="shared" si="77"/>
        <v>1</v>
      </c>
      <c r="S274" s="1">
        <f t="shared" si="78"/>
        <v>1</v>
      </c>
      <c r="T274" s="1" t="s">
        <v>437</v>
      </c>
      <c r="U274" s="1"/>
      <c r="V274" s="1"/>
      <c r="W274" s="1"/>
      <c r="X274" s="1"/>
      <c r="Y274" s="1">
        <v>0</v>
      </c>
      <c r="Z274" s="1">
        <v>0</v>
      </c>
      <c r="AA274" s="1"/>
      <c r="AB274" s="1">
        <v>0</v>
      </c>
      <c r="AC274" s="98">
        <v>0</v>
      </c>
      <c r="AD274" s="172">
        <v>60</v>
      </c>
      <c r="AE274" s="1" t="s">
        <v>417</v>
      </c>
      <c r="AF274" s="1">
        <v>2</v>
      </c>
      <c r="AG274" s="1">
        <v>0.5</v>
      </c>
      <c r="AH274" s="1">
        <v>3</v>
      </c>
      <c r="AI274" s="1">
        <v>0.5</v>
      </c>
      <c r="AJ274" s="1"/>
      <c r="AK274" s="1"/>
      <c r="AL274" s="1">
        <v>0</v>
      </c>
    </row>
    <row r="275" spans="1:38" x14ac:dyDescent="0.25">
      <c r="A275" s="181" t="s">
        <v>108</v>
      </c>
      <c r="B275" s="1">
        <v>2</v>
      </c>
      <c r="C275" s="1" t="s">
        <v>418</v>
      </c>
      <c r="D275" s="13">
        <v>39437</v>
      </c>
      <c r="E275" s="174">
        <f t="shared" si="84"/>
        <v>2728</v>
      </c>
      <c r="F275" s="201"/>
      <c r="G275" s="13">
        <v>41877</v>
      </c>
      <c r="H275" s="13">
        <f t="shared" si="86"/>
        <v>41528</v>
      </c>
      <c r="I275" s="13">
        <v>42165</v>
      </c>
      <c r="J275" s="13"/>
      <c r="K275" s="1">
        <f t="shared" si="81"/>
        <v>2440</v>
      </c>
      <c r="L275" s="1">
        <f t="shared" si="82"/>
        <v>349</v>
      </c>
      <c r="M275" s="1">
        <f t="shared" si="83"/>
        <v>288</v>
      </c>
      <c r="N275" s="1" t="s">
        <v>417</v>
      </c>
      <c r="O275" s="1">
        <v>5.15</v>
      </c>
      <c r="P275" s="1"/>
      <c r="Q275" s="1"/>
      <c r="R275" s="1">
        <f t="shared" si="77"/>
        <v>1</v>
      </c>
      <c r="S275" s="1">
        <f t="shared" si="78"/>
        <v>1</v>
      </c>
      <c r="T275" s="1" t="s">
        <v>442</v>
      </c>
      <c r="U275" s="1"/>
      <c r="V275" s="1"/>
      <c r="W275" s="1"/>
      <c r="X275" s="1"/>
      <c r="Y275" s="1">
        <v>0</v>
      </c>
      <c r="Z275" s="1">
        <v>0</v>
      </c>
      <c r="AA275" s="1"/>
      <c r="AB275" s="1">
        <v>0</v>
      </c>
      <c r="AC275" s="98">
        <v>0</v>
      </c>
      <c r="AD275" s="172">
        <v>60</v>
      </c>
      <c r="AE275" s="1" t="s">
        <v>417</v>
      </c>
      <c r="AF275" s="1">
        <v>2</v>
      </c>
      <c r="AG275" s="1">
        <v>0.5</v>
      </c>
      <c r="AH275" s="1">
        <v>3</v>
      </c>
      <c r="AI275" s="1">
        <v>0.5</v>
      </c>
      <c r="AJ275" s="1"/>
      <c r="AK275" s="1"/>
      <c r="AL275" s="1">
        <v>0</v>
      </c>
    </row>
    <row r="276" spans="1:38" x14ac:dyDescent="0.25">
      <c r="A276" s="181" t="s">
        <v>108</v>
      </c>
      <c r="B276" s="1">
        <v>2</v>
      </c>
      <c r="C276" s="1" t="s">
        <v>418</v>
      </c>
      <c r="D276" s="13">
        <v>39437</v>
      </c>
      <c r="E276" s="174">
        <f t="shared" si="84"/>
        <v>2728</v>
      </c>
      <c r="F276" s="201"/>
      <c r="G276" s="13">
        <v>42052</v>
      </c>
      <c r="H276" s="13">
        <f t="shared" si="86"/>
        <v>41877</v>
      </c>
      <c r="I276" s="13">
        <v>42165</v>
      </c>
      <c r="J276" s="13"/>
      <c r="K276" s="1">
        <f t="shared" si="81"/>
        <v>2615</v>
      </c>
      <c r="L276" s="1">
        <f t="shared" si="82"/>
        <v>175</v>
      </c>
      <c r="M276" s="1">
        <f t="shared" si="83"/>
        <v>113</v>
      </c>
      <c r="N276" s="1" t="s">
        <v>417</v>
      </c>
      <c r="O276" s="1">
        <v>5.09</v>
      </c>
      <c r="P276" s="1"/>
      <c r="Q276" s="1"/>
      <c r="R276" s="1"/>
      <c r="S276" s="1">
        <f t="shared" si="78"/>
        <v>1</v>
      </c>
      <c r="T276" s="1" t="s">
        <v>442</v>
      </c>
      <c r="U276" s="1"/>
      <c r="V276" s="1"/>
      <c r="W276" s="1"/>
      <c r="X276" s="1"/>
      <c r="Y276" s="1">
        <v>0</v>
      </c>
      <c r="Z276" s="1">
        <v>0</v>
      </c>
      <c r="AA276" s="1"/>
      <c r="AB276" s="1">
        <v>0</v>
      </c>
      <c r="AC276" s="98">
        <v>0</v>
      </c>
      <c r="AD276" s="172">
        <v>60</v>
      </c>
      <c r="AE276" s="1" t="s">
        <v>417</v>
      </c>
      <c r="AF276" s="1">
        <v>2</v>
      </c>
      <c r="AG276" s="1">
        <v>0.5</v>
      </c>
      <c r="AH276" s="1">
        <v>3</v>
      </c>
      <c r="AI276" s="1">
        <v>0.5</v>
      </c>
      <c r="AJ276" s="1"/>
      <c r="AK276" s="1"/>
      <c r="AL276" s="1">
        <v>0</v>
      </c>
    </row>
    <row r="277" spans="1:38" x14ac:dyDescent="0.25">
      <c r="A277" s="181" t="s">
        <v>108</v>
      </c>
      <c r="B277" s="1">
        <v>2</v>
      </c>
      <c r="C277" s="1" t="s">
        <v>418</v>
      </c>
      <c r="D277" s="13">
        <v>39437</v>
      </c>
      <c r="E277" s="174">
        <f t="shared" si="84"/>
        <v>2728</v>
      </c>
      <c r="F277" s="201"/>
      <c r="G277" s="13">
        <v>42139</v>
      </c>
      <c r="H277" s="13">
        <f t="shared" si="86"/>
        <v>42052</v>
      </c>
      <c r="I277" s="13">
        <v>42165</v>
      </c>
      <c r="J277" s="13"/>
      <c r="K277" s="1">
        <f t="shared" si="81"/>
        <v>2702</v>
      </c>
      <c r="L277" s="1">
        <f t="shared" si="82"/>
        <v>87</v>
      </c>
      <c r="M277" s="1">
        <f t="shared" si="83"/>
        <v>26</v>
      </c>
      <c r="N277" s="1" t="s">
        <v>417</v>
      </c>
      <c r="O277" s="1">
        <v>5.04</v>
      </c>
      <c r="P277" s="1"/>
      <c r="Q277" s="1"/>
      <c r="R277" s="1"/>
      <c r="S277" s="1"/>
      <c r="T277" s="1" t="s">
        <v>442</v>
      </c>
      <c r="U277" s="1"/>
      <c r="V277" s="1"/>
      <c r="W277" s="1"/>
      <c r="X277" s="1"/>
      <c r="Y277" s="1">
        <v>0</v>
      </c>
      <c r="Z277" s="1">
        <v>0</v>
      </c>
      <c r="AA277" s="1"/>
      <c r="AB277" s="1">
        <v>0</v>
      </c>
      <c r="AC277" s="98">
        <v>0</v>
      </c>
      <c r="AD277" s="172">
        <v>60</v>
      </c>
      <c r="AE277" s="1" t="s">
        <v>417</v>
      </c>
      <c r="AF277" s="1">
        <v>2</v>
      </c>
      <c r="AG277" s="1">
        <v>0.5</v>
      </c>
      <c r="AH277" s="1">
        <v>3</v>
      </c>
      <c r="AI277" s="1">
        <v>0.5</v>
      </c>
      <c r="AJ277" s="1"/>
      <c r="AK277" s="1"/>
      <c r="AL277" s="1">
        <v>0</v>
      </c>
    </row>
    <row r="278" spans="1:38" x14ac:dyDescent="0.25">
      <c r="A278" s="181" t="s">
        <v>108</v>
      </c>
      <c r="B278" s="1">
        <v>2</v>
      </c>
      <c r="C278" s="1" t="s">
        <v>418</v>
      </c>
      <c r="D278" s="13">
        <v>39437</v>
      </c>
      <c r="E278" s="1">
        <f t="shared" si="84"/>
        <v>2728</v>
      </c>
      <c r="F278" s="1"/>
      <c r="G278" s="13">
        <v>42165</v>
      </c>
      <c r="H278" s="13">
        <f t="shared" si="86"/>
        <v>42139</v>
      </c>
      <c r="I278" s="13">
        <v>42165</v>
      </c>
      <c r="J278" s="13"/>
      <c r="K278" s="1">
        <f t="shared" si="81"/>
        <v>2728</v>
      </c>
      <c r="L278" s="1">
        <f t="shared" si="82"/>
        <v>26</v>
      </c>
      <c r="M278" s="1">
        <f t="shared" si="83"/>
        <v>0</v>
      </c>
      <c r="N278" s="1" t="s">
        <v>417</v>
      </c>
      <c r="O278" s="1">
        <v>5.01</v>
      </c>
      <c r="P278" s="1"/>
      <c r="Q278" s="1"/>
      <c r="R278" s="1"/>
      <c r="S278" s="1"/>
      <c r="T278" s="1"/>
      <c r="U278" s="1"/>
      <c r="V278" s="1"/>
      <c r="W278" s="1"/>
      <c r="X278" s="1"/>
      <c r="Y278" s="1">
        <v>4</v>
      </c>
      <c r="Z278" s="1">
        <v>0</v>
      </c>
      <c r="AA278" s="1"/>
      <c r="AB278" s="1">
        <v>0</v>
      </c>
      <c r="AC278" s="1">
        <v>0</v>
      </c>
      <c r="AD278" s="1">
        <v>60</v>
      </c>
      <c r="AE278" s="1" t="s">
        <v>417</v>
      </c>
      <c r="AF278" s="1">
        <v>2</v>
      </c>
      <c r="AG278" s="1">
        <v>0.5</v>
      </c>
      <c r="AH278" s="1">
        <v>2.5</v>
      </c>
      <c r="AI278" s="1">
        <v>0.5</v>
      </c>
      <c r="AJ278" s="1"/>
      <c r="AK278" s="1"/>
      <c r="AL278" s="1">
        <v>0</v>
      </c>
    </row>
    <row r="279" spans="1:38" x14ac:dyDescent="0.25">
      <c r="A279" s="184" t="s">
        <v>112</v>
      </c>
      <c r="B279" s="1">
        <v>2</v>
      </c>
      <c r="C279" s="1" t="s">
        <v>418</v>
      </c>
      <c r="D279" s="13">
        <v>39948</v>
      </c>
      <c r="E279" s="1">
        <f t="shared" si="84"/>
        <v>2216</v>
      </c>
      <c r="F279" s="1"/>
      <c r="G279" s="13">
        <v>40099</v>
      </c>
      <c r="H279" s="13">
        <v>39948</v>
      </c>
      <c r="I279" s="13">
        <v>42164</v>
      </c>
      <c r="J279" s="13"/>
      <c r="K279" s="1">
        <f t="shared" si="81"/>
        <v>151</v>
      </c>
      <c r="L279" s="1">
        <f t="shared" si="82"/>
        <v>151</v>
      </c>
      <c r="M279" s="1">
        <f t="shared" si="83"/>
        <v>2065</v>
      </c>
      <c r="N279" s="1" t="s">
        <v>417</v>
      </c>
      <c r="O279" s="1">
        <v>6.48</v>
      </c>
      <c r="P279" s="1">
        <f t="shared" si="79"/>
        <v>1</v>
      </c>
      <c r="Q279" s="1">
        <f t="shared" si="76"/>
        <v>1</v>
      </c>
      <c r="R279" s="1">
        <f t="shared" si="77"/>
        <v>1</v>
      </c>
      <c r="S279" s="1">
        <f t="shared" si="78"/>
        <v>1</v>
      </c>
      <c r="T279" s="1" t="s">
        <v>437</v>
      </c>
      <c r="U279" s="1"/>
      <c r="V279" s="1"/>
      <c r="W279" s="1"/>
      <c r="X279" s="1"/>
      <c r="Y279" s="1">
        <v>23</v>
      </c>
      <c r="Z279" s="1">
        <v>2</v>
      </c>
      <c r="AA279" s="1"/>
      <c r="AB279" s="1">
        <v>0</v>
      </c>
      <c r="AC279" s="1">
        <v>0</v>
      </c>
      <c r="AD279" s="1">
        <v>60</v>
      </c>
      <c r="AE279" s="1" t="s">
        <v>417</v>
      </c>
      <c r="AF279" s="1">
        <v>3.5</v>
      </c>
      <c r="AG279" s="1">
        <v>0.35</v>
      </c>
      <c r="AH279" s="1">
        <v>3.5</v>
      </c>
      <c r="AI279" s="1">
        <v>0.35</v>
      </c>
      <c r="AJ279" s="1"/>
      <c r="AK279" s="1"/>
      <c r="AL279" s="1">
        <v>0</v>
      </c>
    </row>
    <row r="280" spans="1:38" x14ac:dyDescent="0.25">
      <c r="A280" s="184" t="s">
        <v>112</v>
      </c>
      <c r="B280" s="1">
        <v>2</v>
      </c>
      <c r="C280" s="1" t="s">
        <v>418</v>
      </c>
      <c r="D280" s="13">
        <v>39948</v>
      </c>
      <c r="E280" s="1">
        <f t="shared" si="84"/>
        <v>2216</v>
      </c>
      <c r="F280" s="1"/>
      <c r="G280" s="13">
        <v>40281</v>
      </c>
      <c r="H280" s="13">
        <f>G279</f>
        <v>40099</v>
      </c>
      <c r="I280" s="13">
        <v>42164</v>
      </c>
      <c r="J280" s="13"/>
      <c r="K280" s="1">
        <f t="shared" si="81"/>
        <v>333</v>
      </c>
      <c r="L280" s="1">
        <f t="shared" si="82"/>
        <v>182</v>
      </c>
      <c r="M280" s="1">
        <f t="shared" si="83"/>
        <v>1883</v>
      </c>
      <c r="N280" s="1" t="s">
        <v>417</v>
      </c>
      <c r="O280" s="1">
        <v>6.46</v>
      </c>
      <c r="P280" s="1">
        <f t="shared" si="79"/>
        <v>1</v>
      </c>
      <c r="Q280" s="1">
        <f t="shared" si="76"/>
        <v>1</v>
      </c>
      <c r="R280" s="1">
        <f t="shared" si="77"/>
        <v>1</v>
      </c>
      <c r="S280" s="1">
        <f t="shared" si="78"/>
        <v>1</v>
      </c>
      <c r="T280" s="1" t="s">
        <v>437</v>
      </c>
      <c r="U280" s="1"/>
      <c r="V280" s="1"/>
      <c r="W280" s="1"/>
      <c r="X280" s="1"/>
      <c r="Y280" s="1">
        <v>20</v>
      </c>
      <c r="Z280" s="1">
        <v>5</v>
      </c>
      <c r="AA280" s="1"/>
      <c r="AB280" s="1">
        <v>0</v>
      </c>
      <c r="AC280" s="1">
        <v>0</v>
      </c>
      <c r="AD280" s="1">
        <v>60</v>
      </c>
      <c r="AE280" s="1" t="s">
        <v>417</v>
      </c>
      <c r="AF280" s="1">
        <v>3.5</v>
      </c>
      <c r="AG280" s="1">
        <v>0.35</v>
      </c>
      <c r="AH280" s="1">
        <v>3.5</v>
      </c>
      <c r="AI280" s="1">
        <v>0.35</v>
      </c>
      <c r="AJ280" s="1"/>
      <c r="AK280" s="1"/>
      <c r="AL280" s="1">
        <v>0</v>
      </c>
    </row>
    <row r="281" spans="1:38" x14ac:dyDescent="0.25">
      <c r="A281" s="184" t="s">
        <v>112</v>
      </c>
      <c r="B281" s="1">
        <v>2</v>
      </c>
      <c r="C281" s="1" t="s">
        <v>418</v>
      </c>
      <c r="D281" s="13">
        <v>39948</v>
      </c>
      <c r="E281" s="1">
        <f t="shared" si="84"/>
        <v>2216</v>
      </c>
      <c r="F281" s="1"/>
      <c r="G281" s="13">
        <v>40484</v>
      </c>
      <c r="H281" s="13">
        <f t="shared" ref="H281:H291" si="87">G280</f>
        <v>40281</v>
      </c>
      <c r="I281" s="13">
        <v>42164</v>
      </c>
      <c r="J281" s="13"/>
      <c r="K281" s="1">
        <f t="shared" si="81"/>
        <v>536</v>
      </c>
      <c r="L281" s="1">
        <f t="shared" si="82"/>
        <v>203</v>
      </c>
      <c r="M281" s="1">
        <f t="shared" si="83"/>
        <v>1680</v>
      </c>
      <c r="N281" s="1" t="s">
        <v>417</v>
      </c>
      <c r="O281" s="1">
        <v>6.41</v>
      </c>
      <c r="P281" s="1">
        <f t="shared" si="79"/>
        <v>1</v>
      </c>
      <c r="Q281" s="1">
        <f t="shared" si="76"/>
        <v>1</v>
      </c>
      <c r="R281" s="1">
        <f t="shared" si="77"/>
        <v>1</v>
      </c>
      <c r="S281" s="1">
        <f t="shared" si="78"/>
        <v>1</v>
      </c>
      <c r="T281" s="1" t="s">
        <v>437</v>
      </c>
      <c r="U281" s="1"/>
      <c r="V281" s="1"/>
      <c r="W281" s="1"/>
      <c r="X281" s="1"/>
      <c r="Y281" s="1">
        <v>29</v>
      </c>
      <c r="Z281" s="1">
        <v>34</v>
      </c>
      <c r="AA281" s="1"/>
      <c r="AB281" s="1">
        <v>0</v>
      </c>
      <c r="AC281" s="1">
        <v>0</v>
      </c>
      <c r="AD281" s="1">
        <v>60</v>
      </c>
      <c r="AE281" s="1" t="s">
        <v>417</v>
      </c>
      <c r="AF281" s="1">
        <v>3.5</v>
      </c>
      <c r="AG281" s="1">
        <v>0.35</v>
      </c>
      <c r="AH281" s="1">
        <v>3.5</v>
      </c>
      <c r="AI281" s="1">
        <v>0.35</v>
      </c>
      <c r="AJ281" s="1"/>
      <c r="AK281" s="1"/>
      <c r="AL281" s="1">
        <v>0</v>
      </c>
    </row>
    <row r="282" spans="1:38" x14ac:dyDescent="0.25">
      <c r="A282" s="184" t="s">
        <v>112</v>
      </c>
      <c r="B282" s="1">
        <v>2</v>
      </c>
      <c r="C282" s="1" t="s">
        <v>418</v>
      </c>
      <c r="D282" s="13">
        <v>39948</v>
      </c>
      <c r="E282" s="174">
        <f t="shared" si="84"/>
        <v>2216</v>
      </c>
      <c r="F282" s="201"/>
      <c r="G282" s="13">
        <v>40666</v>
      </c>
      <c r="H282" s="13">
        <f t="shared" si="87"/>
        <v>40484</v>
      </c>
      <c r="I282" s="13">
        <v>42164</v>
      </c>
      <c r="J282" s="13"/>
      <c r="K282" s="1">
        <f t="shared" si="81"/>
        <v>718</v>
      </c>
      <c r="L282" s="1">
        <f t="shared" si="82"/>
        <v>182</v>
      </c>
      <c r="M282" s="1">
        <f t="shared" si="83"/>
        <v>1498</v>
      </c>
      <c r="N282" s="1" t="s">
        <v>417</v>
      </c>
      <c r="O282" s="1">
        <v>6.36</v>
      </c>
      <c r="P282" s="1">
        <f t="shared" si="79"/>
        <v>1</v>
      </c>
      <c r="Q282" s="1">
        <f t="shared" si="76"/>
        <v>1</v>
      </c>
      <c r="R282" s="1">
        <f t="shared" si="77"/>
        <v>1</v>
      </c>
      <c r="S282" s="1">
        <f t="shared" si="78"/>
        <v>1</v>
      </c>
      <c r="T282" s="1" t="s">
        <v>437</v>
      </c>
      <c r="U282" s="1"/>
      <c r="V282" s="1"/>
      <c r="W282" s="1"/>
      <c r="X282" s="1"/>
      <c r="Y282" s="1">
        <v>77</v>
      </c>
      <c r="Z282" s="1">
        <v>77</v>
      </c>
      <c r="AA282" s="1"/>
      <c r="AB282" s="1">
        <v>0</v>
      </c>
      <c r="AC282" s="98">
        <v>0</v>
      </c>
      <c r="AD282" s="172">
        <v>60</v>
      </c>
      <c r="AE282" s="1" t="s">
        <v>417</v>
      </c>
      <c r="AF282" s="1">
        <v>3.5</v>
      </c>
      <c r="AG282" s="1">
        <v>0.35</v>
      </c>
      <c r="AH282" s="1">
        <v>3.5</v>
      </c>
      <c r="AI282" s="1">
        <v>0.35</v>
      </c>
      <c r="AJ282" s="1"/>
      <c r="AK282" s="1"/>
      <c r="AL282" s="1">
        <v>0</v>
      </c>
    </row>
    <row r="283" spans="1:38" x14ac:dyDescent="0.25">
      <c r="A283" s="184" t="s">
        <v>112</v>
      </c>
      <c r="B283" s="1">
        <v>2</v>
      </c>
      <c r="C283" s="1" t="s">
        <v>418</v>
      </c>
      <c r="D283" s="13">
        <v>39948</v>
      </c>
      <c r="E283" s="174">
        <f t="shared" si="84"/>
        <v>2216</v>
      </c>
      <c r="F283" s="201"/>
      <c r="G283" s="13">
        <v>40869</v>
      </c>
      <c r="H283" s="13">
        <f t="shared" si="87"/>
        <v>40666</v>
      </c>
      <c r="I283" s="13">
        <v>42164</v>
      </c>
      <c r="J283" s="13"/>
      <c r="K283" s="1">
        <f t="shared" si="81"/>
        <v>921</v>
      </c>
      <c r="L283" s="1">
        <f t="shared" si="82"/>
        <v>203</v>
      </c>
      <c r="M283" s="1">
        <f t="shared" si="83"/>
        <v>1295</v>
      </c>
      <c r="N283" s="1" t="s">
        <v>417</v>
      </c>
      <c r="O283" s="1">
        <v>6.12</v>
      </c>
      <c r="P283" s="1">
        <f t="shared" si="79"/>
        <v>1</v>
      </c>
      <c r="Q283" s="1">
        <f t="shared" si="76"/>
        <v>1</v>
      </c>
      <c r="R283" s="1">
        <f t="shared" si="77"/>
        <v>1</v>
      </c>
      <c r="S283" s="1">
        <f t="shared" si="78"/>
        <v>1</v>
      </c>
      <c r="T283" s="1" t="s">
        <v>437</v>
      </c>
      <c r="U283" s="1"/>
      <c r="V283" s="1"/>
      <c r="W283" s="1"/>
      <c r="X283" s="1"/>
      <c r="Y283" s="1">
        <v>70</v>
      </c>
      <c r="Z283" s="1">
        <v>70</v>
      </c>
      <c r="AA283" s="1"/>
      <c r="AB283" s="1">
        <v>0</v>
      </c>
      <c r="AC283" s="98">
        <v>0</v>
      </c>
      <c r="AD283" s="172">
        <v>60</v>
      </c>
      <c r="AE283" s="1" t="s">
        <v>417</v>
      </c>
      <c r="AF283" s="1">
        <v>3.5</v>
      </c>
      <c r="AG283" s="1">
        <v>0.35</v>
      </c>
      <c r="AH283" s="1">
        <v>2.5</v>
      </c>
      <c r="AI283" s="1">
        <v>0.35</v>
      </c>
      <c r="AJ283" s="1"/>
      <c r="AK283" s="1"/>
      <c r="AL283" s="1">
        <v>0</v>
      </c>
    </row>
    <row r="284" spans="1:38" x14ac:dyDescent="0.25">
      <c r="A284" s="184" t="s">
        <v>112</v>
      </c>
      <c r="B284" s="1">
        <v>2</v>
      </c>
      <c r="C284" s="1" t="s">
        <v>418</v>
      </c>
      <c r="D284" s="13">
        <v>39948</v>
      </c>
      <c r="E284" s="174">
        <f t="shared" si="84"/>
        <v>2216</v>
      </c>
      <c r="F284" s="201"/>
      <c r="G284" s="13">
        <v>41058</v>
      </c>
      <c r="H284" s="13">
        <f t="shared" si="87"/>
        <v>40869</v>
      </c>
      <c r="I284" s="13">
        <v>42164</v>
      </c>
      <c r="J284" s="13"/>
      <c r="K284" s="1">
        <f t="shared" si="81"/>
        <v>1110</v>
      </c>
      <c r="L284" s="1">
        <f t="shared" si="82"/>
        <v>189</v>
      </c>
      <c r="M284" s="1">
        <f t="shared" si="83"/>
        <v>1106</v>
      </c>
      <c r="N284" s="1" t="s">
        <v>417</v>
      </c>
      <c r="O284" s="1">
        <v>5.89</v>
      </c>
      <c r="P284" s="1">
        <f t="shared" si="79"/>
        <v>1</v>
      </c>
      <c r="Q284" s="1">
        <f t="shared" si="76"/>
        <v>1</v>
      </c>
      <c r="R284" s="1">
        <f t="shared" si="77"/>
        <v>1</v>
      </c>
      <c r="S284" s="1">
        <f t="shared" si="78"/>
        <v>1</v>
      </c>
      <c r="T284" s="1" t="s">
        <v>437</v>
      </c>
      <c r="U284" s="1"/>
      <c r="V284" s="1"/>
      <c r="W284" s="1"/>
      <c r="X284" s="1"/>
      <c r="Y284" s="1">
        <v>60</v>
      </c>
      <c r="Z284" s="1">
        <v>60</v>
      </c>
      <c r="AA284" s="1"/>
      <c r="AB284" s="1">
        <v>0</v>
      </c>
      <c r="AC284" s="98">
        <v>0</v>
      </c>
      <c r="AD284" s="172">
        <v>60</v>
      </c>
      <c r="AE284" s="1" t="s">
        <v>417</v>
      </c>
      <c r="AF284" s="1">
        <v>3</v>
      </c>
      <c r="AG284" s="1">
        <v>0.35</v>
      </c>
      <c r="AH284" s="1">
        <v>2.5</v>
      </c>
      <c r="AI284" s="1">
        <v>0.35</v>
      </c>
      <c r="AJ284" s="1"/>
      <c r="AK284" s="1"/>
      <c r="AL284" s="1">
        <v>0</v>
      </c>
    </row>
    <row r="285" spans="1:38" x14ac:dyDescent="0.25">
      <c r="A285" s="184" t="s">
        <v>112</v>
      </c>
      <c r="B285" s="1">
        <v>2</v>
      </c>
      <c r="C285" s="1" t="s">
        <v>418</v>
      </c>
      <c r="D285" s="13">
        <v>39948</v>
      </c>
      <c r="E285" s="174">
        <f t="shared" si="84"/>
        <v>2216</v>
      </c>
      <c r="F285" s="201"/>
      <c r="G285" s="13">
        <v>41247</v>
      </c>
      <c r="H285" s="13">
        <f t="shared" si="87"/>
        <v>41058</v>
      </c>
      <c r="I285" s="13">
        <v>42164</v>
      </c>
      <c r="J285" s="13"/>
      <c r="K285" s="1">
        <f t="shared" si="81"/>
        <v>1299</v>
      </c>
      <c r="L285" s="1">
        <f t="shared" si="82"/>
        <v>189</v>
      </c>
      <c r="M285" s="1">
        <f t="shared" si="83"/>
        <v>917</v>
      </c>
      <c r="N285" s="1" t="s">
        <v>417</v>
      </c>
      <c r="O285" s="1">
        <v>5.55</v>
      </c>
      <c r="P285" s="1">
        <f t="shared" si="79"/>
        <v>1</v>
      </c>
      <c r="Q285" s="1">
        <f t="shared" si="76"/>
        <v>1</v>
      </c>
      <c r="R285" s="1">
        <f t="shared" si="77"/>
        <v>1</v>
      </c>
      <c r="S285" s="1">
        <f t="shared" si="78"/>
        <v>1</v>
      </c>
      <c r="T285" s="1" t="s">
        <v>437</v>
      </c>
      <c r="U285" s="1"/>
      <c r="V285" s="1"/>
      <c r="W285" s="1"/>
      <c r="X285" s="1"/>
      <c r="Y285" s="1">
        <v>56</v>
      </c>
      <c r="Z285" s="1">
        <v>56</v>
      </c>
      <c r="AA285" s="1"/>
      <c r="AB285" s="1">
        <v>0</v>
      </c>
      <c r="AC285" s="98">
        <v>0</v>
      </c>
      <c r="AD285" s="172">
        <v>60</v>
      </c>
      <c r="AE285" s="1" t="s">
        <v>417</v>
      </c>
      <c r="AF285" s="1">
        <v>3</v>
      </c>
      <c r="AG285" s="1">
        <v>0.35</v>
      </c>
      <c r="AH285" s="1">
        <v>2.5</v>
      </c>
      <c r="AI285" s="1">
        <v>0.35</v>
      </c>
      <c r="AJ285" s="1"/>
      <c r="AK285" s="1"/>
      <c r="AL285" s="1">
        <v>0</v>
      </c>
    </row>
    <row r="286" spans="1:38" x14ac:dyDescent="0.25">
      <c r="A286" s="184" t="s">
        <v>112</v>
      </c>
      <c r="B286" s="1">
        <v>2</v>
      </c>
      <c r="C286" s="1" t="s">
        <v>418</v>
      </c>
      <c r="D286" s="13">
        <v>39948</v>
      </c>
      <c r="E286" s="174">
        <f t="shared" si="84"/>
        <v>2216</v>
      </c>
      <c r="F286" s="201"/>
      <c r="G286" s="13">
        <v>41351</v>
      </c>
      <c r="H286" s="13">
        <f t="shared" si="87"/>
        <v>41247</v>
      </c>
      <c r="I286" s="13">
        <v>42164</v>
      </c>
      <c r="J286" s="13"/>
      <c r="K286" s="1">
        <f t="shared" si="81"/>
        <v>1403</v>
      </c>
      <c r="L286" s="1">
        <f t="shared" si="82"/>
        <v>104</v>
      </c>
      <c r="M286" s="1">
        <f t="shared" si="83"/>
        <v>813</v>
      </c>
      <c r="N286" s="1" t="s">
        <v>417</v>
      </c>
      <c r="O286" s="1">
        <v>5.34</v>
      </c>
      <c r="P286" s="1">
        <f t="shared" si="79"/>
        <v>1</v>
      </c>
      <c r="Q286" s="1">
        <f t="shared" si="76"/>
        <v>1</v>
      </c>
      <c r="R286" s="1">
        <f t="shared" si="77"/>
        <v>1</v>
      </c>
      <c r="S286" s="1">
        <f t="shared" si="78"/>
        <v>1</v>
      </c>
      <c r="T286" s="1" t="s">
        <v>437</v>
      </c>
      <c r="U286" s="1"/>
      <c r="V286" s="1"/>
      <c r="W286" s="1"/>
      <c r="X286" s="1"/>
      <c r="Y286" s="1">
        <v>99</v>
      </c>
      <c r="Z286" s="1">
        <v>99</v>
      </c>
      <c r="AA286" s="1"/>
      <c r="AB286" s="1">
        <v>0</v>
      </c>
      <c r="AC286" s="98">
        <v>0</v>
      </c>
      <c r="AD286" s="172">
        <v>60</v>
      </c>
      <c r="AE286" s="1" t="s">
        <v>417</v>
      </c>
      <c r="AF286" s="1">
        <v>2.5</v>
      </c>
      <c r="AG286" s="1">
        <v>0.35</v>
      </c>
      <c r="AH286" s="1">
        <v>2</v>
      </c>
      <c r="AI286" s="1">
        <v>0.35</v>
      </c>
      <c r="AJ286" s="1"/>
      <c r="AK286" s="1"/>
      <c r="AL286" s="1">
        <v>0</v>
      </c>
    </row>
    <row r="287" spans="1:38" x14ac:dyDescent="0.25">
      <c r="A287" s="184" t="s">
        <v>112</v>
      </c>
      <c r="B287" s="1">
        <v>2</v>
      </c>
      <c r="C287" s="1" t="s">
        <v>418</v>
      </c>
      <c r="D287" s="13">
        <v>39948</v>
      </c>
      <c r="E287" s="174">
        <f t="shared" si="84"/>
        <v>2216</v>
      </c>
      <c r="F287" s="201"/>
      <c r="G287" s="13">
        <v>41436</v>
      </c>
      <c r="H287" s="13">
        <f t="shared" si="87"/>
        <v>41351</v>
      </c>
      <c r="I287" s="13">
        <v>42164</v>
      </c>
      <c r="J287" s="13"/>
      <c r="K287" s="1">
        <f t="shared" si="81"/>
        <v>1488</v>
      </c>
      <c r="L287" s="1">
        <f t="shared" si="82"/>
        <v>85</v>
      </c>
      <c r="M287" s="1">
        <f t="shared" si="83"/>
        <v>728</v>
      </c>
      <c r="N287" s="1" t="s">
        <v>417</v>
      </c>
      <c r="O287" s="1">
        <v>5.28</v>
      </c>
      <c r="P287" s="1">
        <f t="shared" si="79"/>
        <v>1</v>
      </c>
      <c r="Q287" s="1">
        <f t="shared" si="76"/>
        <v>1</v>
      </c>
      <c r="R287" s="1">
        <f t="shared" si="77"/>
        <v>1</v>
      </c>
      <c r="S287" s="1">
        <f t="shared" si="78"/>
        <v>1</v>
      </c>
      <c r="T287" s="1" t="s">
        <v>437</v>
      </c>
      <c r="U287" s="1"/>
      <c r="V287" s="1"/>
      <c r="W287" s="1"/>
      <c r="X287" s="1"/>
      <c r="Y287" s="1">
        <v>48</v>
      </c>
      <c r="Z287" s="1">
        <v>69</v>
      </c>
      <c r="AA287" s="1"/>
      <c r="AB287" s="1">
        <v>0</v>
      </c>
      <c r="AC287" s="98">
        <v>0</v>
      </c>
      <c r="AD287" s="172">
        <v>60</v>
      </c>
      <c r="AE287" s="1" t="s">
        <v>434</v>
      </c>
      <c r="AF287" s="1">
        <v>2.5</v>
      </c>
      <c r="AG287" s="1">
        <v>0.35</v>
      </c>
      <c r="AH287" s="1">
        <v>2</v>
      </c>
      <c r="AI287" s="1">
        <v>0.35</v>
      </c>
      <c r="AJ287" s="1"/>
      <c r="AK287" s="1"/>
      <c r="AL287" s="1">
        <v>0</v>
      </c>
    </row>
    <row r="288" spans="1:38" x14ac:dyDescent="0.25">
      <c r="A288" s="184" t="s">
        <v>112</v>
      </c>
      <c r="B288" s="1">
        <v>2</v>
      </c>
      <c r="C288" s="1" t="s">
        <v>418</v>
      </c>
      <c r="D288" s="13">
        <v>39948</v>
      </c>
      <c r="E288" s="174">
        <f t="shared" si="84"/>
        <v>2216</v>
      </c>
      <c r="F288" s="201"/>
      <c r="G288" s="13">
        <v>41554</v>
      </c>
      <c r="H288" s="13">
        <f t="shared" si="87"/>
        <v>41436</v>
      </c>
      <c r="I288" s="13">
        <v>42164</v>
      </c>
      <c r="J288" s="13"/>
      <c r="K288" s="1">
        <f t="shared" si="81"/>
        <v>1606</v>
      </c>
      <c r="L288" s="1">
        <f t="shared" si="82"/>
        <v>118</v>
      </c>
      <c r="M288" s="1">
        <f t="shared" si="83"/>
        <v>610</v>
      </c>
      <c r="N288" s="1" t="s">
        <v>417</v>
      </c>
      <c r="O288" s="1">
        <v>5.21</v>
      </c>
      <c r="P288" s="1">
        <f t="shared" si="79"/>
        <v>1</v>
      </c>
      <c r="Q288" s="1">
        <f t="shared" si="76"/>
        <v>1</v>
      </c>
      <c r="R288" s="1">
        <f t="shared" si="77"/>
        <v>1</v>
      </c>
      <c r="S288" s="1">
        <f t="shared" si="78"/>
        <v>1</v>
      </c>
      <c r="T288" s="1" t="s">
        <v>437</v>
      </c>
      <c r="U288" s="1"/>
      <c r="V288" s="1"/>
      <c r="W288" s="1"/>
      <c r="X288" s="1"/>
      <c r="Y288" s="1">
        <v>41</v>
      </c>
      <c r="Z288" s="1">
        <v>79</v>
      </c>
      <c r="AA288" s="1"/>
      <c r="AB288" s="1">
        <v>0</v>
      </c>
      <c r="AC288" s="98">
        <v>0</v>
      </c>
      <c r="AD288" s="172">
        <v>60</v>
      </c>
      <c r="AE288" s="1" t="s">
        <v>434</v>
      </c>
      <c r="AF288" s="1">
        <v>2.5</v>
      </c>
      <c r="AG288" s="1">
        <v>0.35</v>
      </c>
      <c r="AH288" s="1">
        <v>2</v>
      </c>
      <c r="AI288" s="1">
        <v>0.35</v>
      </c>
      <c r="AJ288" s="1"/>
      <c r="AK288" s="1"/>
      <c r="AL288" s="1">
        <v>0</v>
      </c>
    </row>
    <row r="289" spans="1:38" x14ac:dyDescent="0.25">
      <c r="A289" s="184" t="s">
        <v>112</v>
      </c>
      <c r="B289" s="1">
        <v>2</v>
      </c>
      <c r="C289" s="1" t="s">
        <v>418</v>
      </c>
      <c r="D289" s="13">
        <v>39948</v>
      </c>
      <c r="E289" s="174">
        <f t="shared" si="84"/>
        <v>2216</v>
      </c>
      <c r="F289" s="201"/>
      <c r="G289" s="13">
        <v>41736</v>
      </c>
      <c r="H289" s="13">
        <f t="shared" si="87"/>
        <v>41554</v>
      </c>
      <c r="I289" s="13">
        <v>42164</v>
      </c>
      <c r="J289" s="13"/>
      <c r="K289" s="1">
        <f t="shared" si="81"/>
        <v>1788</v>
      </c>
      <c r="L289" s="1">
        <f t="shared" si="82"/>
        <v>182</v>
      </c>
      <c r="M289" s="1">
        <f t="shared" si="83"/>
        <v>428</v>
      </c>
      <c r="N289" s="1" t="s">
        <v>417</v>
      </c>
      <c r="O289" s="1">
        <v>5.18</v>
      </c>
      <c r="P289" s="1"/>
      <c r="Q289" s="1">
        <f t="shared" si="76"/>
        <v>1</v>
      </c>
      <c r="R289" s="1">
        <f t="shared" si="77"/>
        <v>1</v>
      </c>
      <c r="S289" s="1">
        <f t="shared" si="78"/>
        <v>1</v>
      </c>
      <c r="T289" s="1" t="s">
        <v>442</v>
      </c>
      <c r="U289" s="1"/>
      <c r="V289" s="1"/>
      <c r="W289" s="1"/>
      <c r="X289" s="1"/>
      <c r="Y289" s="1">
        <v>44</v>
      </c>
      <c r="Z289" s="1">
        <v>88</v>
      </c>
      <c r="AA289" s="1"/>
      <c r="AB289" s="1">
        <v>0</v>
      </c>
      <c r="AC289" s="98">
        <v>0</v>
      </c>
      <c r="AD289" s="172">
        <v>60</v>
      </c>
      <c r="AE289" s="1" t="s">
        <v>434</v>
      </c>
      <c r="AF289" s="1">
        <v>2.5</v>
      </c>
      <c r="AG289" s="1">
        <v>0.35</v>
      </c>
      <c r="AH289" s="1">
        <v>2</v>
      </c>
      <c r="AI289" s="1">
        <v>0.35</v>
      </c>
      <c r="AJ289" s="1"/>
      <c r="AK289" s="1"/>
      <c r="AL289" s="1">
        <v>0</v>
      </c>
    </row>
    <row r="290" spans="1:38" x14ac:dyDescent="0.25">
      <c r="A290" s="184" t="s">
        <v>112</v>
      </c>
      <c r="B290" s="1">
        <v>2</v>
      </c>
      <c r="C290" s="1" t="s">
        <v>418</v>
      </c>
      <c r="D290" s="13">
        <v>39948</v>
      </c>
      <c r="E290" s="174">
        <f t="shared" si="84"/>
        <v>2216</v>
      </c>
      <c r="F290" s="201"/>
      <c r="G290" s="13">
        <v>41954</v>
      </c>
      <c r="H290" s="13">
        <f t="shared" si="87"/>
        <v>41736</v>
      </c>
      <c r="I290" s="13">
        <v>42164</v>
      </c>
      <c r="J290" s="13"/>
      <c r="K290" s="1">
        <f t="shared" si="81"/>
        <v>2006</v>
      </c>
      <c r="L290" s="1">
        <f t="shared" si="82"/>
        <v>218</v>
      </c>
      <c r="M290" s="1">
        <f t="shared" si="83"/>
        <v>210</v>
      </c>
      <c r="N290" s="1" t="s">
        <v>417</v>
      </c>
      <c r="O290" s="1">
        <v>5.16</v>
      </c>
      <c r="P290" s="1"/>
      <c r="Q290" s="1"/>
      <c r="R290" s="1">
        <f t="shared" si="77"/>
        <v>1</v>
      </c>
      <c r="S290" s="1">
        <f t="shared" si="78"/>
        <v>1</v>
      </c>
      <c r="T290" s="1" t="s">
        <v>442</v>
      </c>
      <c r="U290" s="1"/>
      <c r="V290" s="1"/>
      <c r="W290" s="1"/>
      <c r="X290" s="1"/>
      <c r="Y290" s="1">
        <v>46</v>
      </c>
      <c r="Z290" s="1">
        <v>93</v>
      </c>
      <c r="AA290" s="1"/>
      <c r="AB290" s="1">
        <v>0</v>
      </c>
      <c r="AC290" s="98">
        <v>0</v>
      </c>
      <c r="AD290" s="172">
        <v>60</v>
      </c>
      <c r="AE290" s="1" t="s">
        <v>434</v>
      </c>
      <c r="AF290" s="1">
        <v>2.5</v>
      </c>
      <c r="AG290" s="1">
        <v>0.35</v>
      </c>
      <c r="AH290" s="1">
        <v>2</v>
      </c>
      <c r="AI290" s="1">
        <v>0.35</v>
      </c>
      <c r="AJ290" s="1"/>
      <c r="AK290" s="1"/>
      <c r="AL290" s="1">
        <v>0</v>
      </c>
    </row>
    <row r="291" spans="1:38" x14ac:dyDescent="0.25">
      <c r="A291" s="184" t="s">
        <v>112</v>
      </c>
      <c r="B291" s="1">
        <v>2</v>
      </c>
      <c r="C291" s="1" t="s">
        <v>418</v>
      </c>
      <c r="D291" s="13">
        <v>39948</v>
      </c>
      <c r="E291" s="174">
        <f t="shared" si="84"/>
        <v>2216</v>
      </c>
      <c r="F291" s="201"/>
      <c r="G291" s="13">
        <v>42164</v>
      </c>
      <c r="H291" s="13">
        <f t="shared" si="87"/>
        <v>41954</v>
      </c>
      <c r="I291" s="13">
        <v>42164</v>
      </c>
      <c r="J291" s="13"/>
      <c r="K291" s="1">
        <f t="shared" si="81"/>
        <v>2216</v>
      </c>
      <c r="L291" s="1">
        <f t="shared" si="82"/>
        <v>210</v>
      </c>
      <c r="M291" s="1">
        <f t="shared" si="83"/>
        <v>0</v>
      </c>
      <c r="N291" s="1" t="s">
        <v>417</v>
      </c>
      <c r="O291" s="1">
        <v>5.13</v>
      </c>
      <c r="P291" s="1"/>
      <c r="Q291" s="1"/>
      <c r="R291" s="1"/>
      <c r="S291" s="1"/>
      <c r="T291" s="1"/>
      <c r="U291" s="1"/>
      <c r="V291" s="1"/>
      <c r="W291" s="1"/>
      <c r="X291" s="1"/>
      <c r="Y291" s="1">
        <v>47</v>
      </c>
      <c r="Z291" s="1">
        <v>99</v>
      </c>
      <c r="AA291" s="1"/>
      <c r="AB291" s="1">
        <v>0</v>
      </c>
      <c r="AC291" s="98">
        <v>0</v>
      </c>
      <c r="AD291" s="172">
        <v>60</v>
      </c>
      <c r="AE291" s="1" t="s">
        <v>434</v>
      </c>
      <c r="AF291" s="1">
        <v>2.5</v>
      </c>
      <c r="AG291" s="1">
        <v>0.35</v>
      </c>
      <c r="AH291" s="1">
        <v>2</v>
      </c>
      <c r="AI291" s="1">
        <v>0.35</v>
      </c>
      <c r="AJ291" s="1"/>
      <c r="AK291" s="1"/>
      <c r="AL291" s="1">
        <v>0</v>
      </c>
    </row>
    <row r="292" spans="1:38" x14ac:dyDescent="0.25">
      <c r="A292" s="191" t="s">
        <v>122</v>
      </c>
      <c r="B292" s="1">
        <v>2</v>
      </c>
      <c r="C292" s="1" t="s">
        <v>418</v>
      </c>
      <c r="D292" s="13">
        <v>39993</v>
      </c>
      <c r="E292" s="174">
        <f t="shared" si="84"/>
        <v>2122</v>
      </c>
      <c r="F292" s="1"/>
      <c r="G292" s="61">
        <v>40099</v>
      </c>
      <c r="H292" s="13">
        <v>39993</v>
      </c>
      <c r="I292" s="13">
        <v>42115</v>
      </c>
      <c r="J292" s="13"/>
      <c r="K292" s="1">
        <f t="shared" si="81"/>
        <v>106</v>
      </c>
      <c r="L292" s="1">
        <f t="shared" si="82"/>
        <v>106</v>
      </c>
      <c r="M292" s="1">
        <f t="shared" si="83"/>
        <v>2016</v>
      </c>
      <c r="N292" s="1" t="s">
        <v>417</v>
      </c>
      <c r="O292" s="57">
        <v>6.46</v>
      </c>
      <c r="P292" s="1">
        <f t="shared" si="79"/>
        <v>1</v>
      </c>
      <c r="Q292" s="1">
        <f t="shared" si="76"/>
        <v>1</v>
      </c>
      <c r="R292" s="1">
        <f t="shared" si="77"/>
        <v>1</v>
      </c>
      <c r="S292" s="1">
        <f t="shared" si="78"/>
        <v>1</v>
      </c>
      <c r="T292" s="1" t="s">
        <v>437</v>
      </c>
      <c r="U292" s="1"/>
      <c r="V292" s="1"/>
      <c r="W292" s="1"/>
      <c r="X292" s="1"/>
      <c r="Y292" s="57">
        <v>88</v>
      </c>
      <c r="Z292" s="57">
        <v>0</v>
      </c>
      <c r="AA292" s="1"/>
      <c r="AB292" s="1">
        <v>0</v>
      </c>
      <c r="AC292" s="98">
        <v>1</v>
      </c>
      <c r="AD292" s="172">
        <v>55</v>
      </c>
      <c r="AE292" s="1" t="s">
        <v>417</v>
      </c>
      <c r="AF292" s="57">
        <v>3.5</v>
      </c>
      <c r="AG292" s="57">
        <v>0.35</v>
      </c>
      <c r="AH292" s="57">
        <v>3.5</v>
      </c>
      <c r="AI292" s="57">
        <v>0.35</v>
      </c>
      <c r="AJ292" s="1"/>
      <c r="AK292" s="1"/>
      <c r="AL292" s="1">
        <v>0</v>
      </c>
    </row>
    <row r="293" spans="1:38" x14ac:dyDescent="0.25">
      <c r="A293" s="191" t="s">
        <v>122</v>
      </c>
      <c r="B293" s="1">
        <v>2</v>
      </c>
      <c r="C293" s="1" t="s">
        <v>418</v>
      </c>
      <c r="D293" s="13">
        <v>39993</v>
      </c>
      <c r="E293" s="174">
        <f t="shared" si="84"/>
        <v>2122</v>
      </c>
      <c r="F293" s="1"/>
      <c r="G293" s="13">
        <v>40281</v>
      </c>
      <c r="H293" s="13">
        <f>G292</f>
        <v>40099</v>
      </c>
      <c r="I293" s="13">
        <v>42115</v>
      </c>
      <c r="J293" s="13"/>
      <c r="K293" s="1">
        <f t="shared" si="81"/>
        <v>288</v>
      </c>
      <c r="L293" s="1">
        <f t="shared" si="82"/>
        <v>182</v>
      </c>
      <c r="M293" s="1">
        <f t="shared" si="83"/>
        <v>1834</v>
      </c>
      <c r="N293" s="1" t="s">
        <v>417</v>
      </c>
      <c r="O293" s="4">
        <v>6.43</v>
      </c>
      <c r="P293" s="1">
        <f t="shared" si="79"/>
        <v>1</v>
      </c>
      <c r="Q293" s="1">
        <f t="shared" si="76"/>
        <v>1</v>
      </c>
      <c r="R293" s="1">
        <f t="shared" si="77"/>
        <v>1</v>
      </c>
      <c r="S293" s="1">
        <f t="shared" si="78"/>
        <v>1</v>
      </c>
      <c r="T293" s="1" t="s">
        <v>437</v>
      </c>
      <c r="U293" s="1"/>
      <c r="V293" s="1"/>
      <c r="W293" s="1"/>
      <c r="X293" s="1"/>
      <c r="Y293" s="4">
        <v>76</v>
      </c>
      <c r="Z293" s="4">
        <v>0</v>
      </c>
      <c r="AA293" s="1"/>
      <c r="AB293" s="1">
        <v>0</v>
      </c>
      <c r="AC293" s="98">
        <v>3</v>
      </c>
      <c r="AD293" s="172">
        <v>55</v>
      </c>
      <c r="AE293" s="1" t="s">
        <v>417</v>
      </c>
      <c r="AF293" s="4">
        <v>3.5</v>
      </c>
      <c r="AG293" s="4">
        <v>0.35</v>
      </c>
      <c r="AH293" s="4">
        <v>3.5</v>
      </c>
      <c r="AI293" s="4">
        <v>0.35</v>
      </c>
      <c r="AJ293" s="1"/>
      <c r="AK293" s="1"/>
      <c r="AL293" s="1">
        <v>0</v>
      </c>
    </row>
    <row r="294" spans="1:38" x14ac:dyDescent="0.25">
      <c r="A294" s="191" t="s">
        <v>122</v>
      </c>
      <c r="B294" s="1">
        <v>2</v>
      </c>
      <c r="C294" s="1" t="s">
        <v>418</v>
      </c>
      <c r="D294" s="13">
        <v>39993</v>
      </c>
      <c r="E294" s="174">
        <f t="shared" si="84"/>
        <v>2122</v>
      </c>
      <c r="F294" s="1"/>
      <c r="G294" s="13">
        <v>40477</v>
      </c>
      <c r="H294" s="13">
        <f t="shared" ref="H294:H313" si="88">G293</f>
        <v>40281</v>
      </c>
      <c r="I294" s="13">
        <v>42115</v>
      </c>
      <c r="J294" s="13"/>
      <c r="K294" s="1">
        <f t="shared" si="81"/>
        <v>484</v>
      </c>
      <c r="L294" s="1">
        <f t="shared" si="82"/>
        <v>196</v>
      </c>
      <c r="M294" s="1">
        <f t="shared" si="83"/>
        <v>1638</v>
      </c>
      <c r="N294" s="1" t="s">
        <v>417</v>
      </c>
      <c r="O294" s="4">
        <v>6.41</v>
      </c>
      <c r="P294" s="1">
        <f t="shared" si="79"/>
        <v>1</v>
      </c>
      <c r="Q294" s="1">
        <f t="shared" si="76"/>
        <v>1</v>
      </c>
      <c r="R294" s="1">
        <f t="shared" si="77"/>
        <v>1</v>
      </c>
      <c r="S294" s="1">
        <f t="shared" si="78"/>
        <v>1</v>
      </c>
      <c r="T294" s="1" t="s">
        <v>437</v>
      </c>
      <c r="U294" s="1"/>
      <c r="V294" s="1"/>
      <c r="W294" s="1"/>
      <c r="X294" s="1"/>
      <c r="Y294" s="4">
        <v>76</v>
      </c>
      <c r="Z294" s="4">
        <v>0</v>
      </c>
      <c r="AA294" s="1"/>
      <c r="AB294" s="1">
        <v>0</v>
      </c>
      <c r="AC294" s="98">
        <v>2</v>
      </c>
      <c r="AD294" s="172">
        <v>55</v>
      </c>
      <c r="AE294" s="1" t="s">
        <v>417</v>
      </c>
      <c r="AF294" s="4">
        <v>3.5</v>
      </c>
      <c r="AG294" s="4">
        <v>0.35</v>
      </c>
      <c r="AH294" s="4">
        <v>3.5</v>
      </c>
      <c r="AI294" s="4">
        <v>0.35</v>
      </c>
      <c r="AJ294" s="1"/>
      <c r="AK294" s="1"/>
      <c r="AL294" s="1">
        <v>0</v>
      </c>
    </row>
    <row r="295" spans="1:38" x14ac:dyDescent="0.25">
      <c r="A295" s="191" t="s">
        <v>122</v>
      </c>
      <c r="B295" s="1">
        <v>2</v>
      </c>
      <c r="C295" s="1" t="s">
        <v>418</v>
      </c>
      <c r="D295" s="13">
        <v>39993</v>
      </c>
      <c r="E295" s="174">
        <f t="shared" si="84"/>
        <v>2122</v>
      </c>
      <c r="F295" s="201"/>
      <c r="G295" s="13">
        <v>40659</v>
      </c>
      <c r="H295" s="13">
        <f t="shared" si="88"/>
        <v>40477</v>
      </c>
      <c r="I295" s="13">
        <v>42115</v>
      </c>
      <c r="J295" s="13"/>
      <c r="K295" s="1">
        <f t="shared" si="81"/>
        <v>666</v>
      </c>
      <c r="L295" s="1">
        <f t="shared" si="82"/>
        <v>182</v>
      </c>
      <c r="M295" s="1">
        <f t="shared" si="83"/>
        <v>1456</v>
      </c>
      <c r="N295" s="1" t="s">
        <v>417</v>
      </c>
      <c r="O295" s="1">
        <v>6.37</v>
      </c>
      <c r="P295" s="1">
        <f t="shared" si="79"/>
        <v>1</v>
      </c>
      <c r="Q295" s="1">
        <f t="shared" si="76"/>
        <v>1</v>
      </c>
      <c r="R295" s="1">
        <f t="shared" si="77"/>
        <v>1</v>
      </c>
      <c r="S295" s="1">
        <f t="shared" si="78"/>
        <v>1</v>
      </c>
      <c r="T295" s="1" t="s">
        <v>437</v>
      </c>
      <c r="U295" s="1"/>
      <c r="V295" s="1"/>
      <c r="W295" s="1"/>
      <c r="X295" s="1"/>
      <c r="Y295" s="1">
        <v>83</v>
      </c>
      <c r="Z295" s="1">
        <v>0</v>
      </c>
      <c r="AA295" s="1"/>
      <c r="AB295" s="1">
        <v>0</v>
      </c>
      <c r="AC295" s="98">
        <v>2</v>
      </c>
      <c r="AD295" s="172">
        <v>55</v>
      </c>
      <c r="AE295" s="1" t="s">
        <v>417</v>
      </c>
      <c r="AF295" s="1">
        <v>3.5</v>
      </c>
      <c r="AG295" s="1">
        <v>0.35</v>
      </c>
      <c r="AH295" s="1">
        <v>3.5</v>
      </c>
      <c r="AI295" s="1">
        <v>0.35</v>
      </c>
      <c r="AJ295" s="1"/>
      <c r="AK295" s="1"/>
      <c r="AL295" s="1">
        <v>0</v>
      </c>
    </row>
    <row r="296" spans="1:38" x14ac:dyDescent="0.25">
      <c r="A296" s="191" t="s">
        <v>122</v>
      </c>
      <c r="B296" s="1">
        <v>2</v>
      </c>
      <c r="C296" s="1" t="s">
        <v>418</v>
      </c>
      <c r="D296" s="13">
        <v>39993</v>
      </c>
      <c r="E296" s="174">
        <f t="shared" si="84"/>
        <v>2122</v>
      </c>
      <c r="F296" s="201"/>
      <c r="G296" s="13">
        <v>40680</v>
      </c>
      <c r="H296" s="13">
        <f t="shared" si="88"/>
        <v>40659</v>
      </c>
      <c r="I296" s="13">
        <v>42115</v>
      </c>
      <c r="J296" s="13"/>
      <c r="K296" s="1">
        <f t="shared" si="81"/>
        <v>687</v>
      </c>
      <c r="L296" s="1">
        <f t="shared" si="82"/>
        <v>21</v>
      </c>
      <c r="M296" s="1">
        <f t="shared" si="83"/>
        <v>1435</v>
      </c>
      <c r="N296" s="1" t="s">
        <v>417</v>
      </c>
      <c r="O296" s="1">
        <v>6.37</v>
      </c>
      <c r="P296" s="1">
        <f t="shared" si="79"/>
        <v>1</v>
      </c>
      <c r="Q296" s="1">
        <f t="shared" si="76"/>
        <v>1</v>
      </c>
      <c r="R296" s="1">
        <f t="shared" si="77"/>
        <v>1</v>
      </c>
      <c r="S296" s="1">
        <f t="shared" si="78"/>
        <v>1</v>
      </c>
      <c r="T296" s="1" t="s">
        <v>437</v>
      </c>
      <c r="U296" s="1"/>
      <c r="V296" s="1"/>
      <c r="W296" s="1"/>
      <c r="X296" s="1"/>
      <c r="Y296" s="1">
        <v>81</v>
      </c>
      <c r="Z296" s="1">
        <v>0</v>
      </c>
      <c r="AA296" s="1"/>
      <c r="AB296" s="1">
        <v>1</v>
      </c>
      <c r="AC296" s="98">
        <v>4</v>
      </c>
      <c r="AD296" s="172">
        <v>55</v>
      </c>
      <c r="AE296" s="1" t="s">
        <v>417</v>
      </c>
      <c r="AF296" s="1">
        <v>3.5</v>
      </c>
      <c r="AG296" s="1">
        <v>0.35</v>
      </c>
      <c r="AH296" s="1">
        <v>3.5</v>
      </c>
      <c r="AI296" s="1">
        <v>0.35</v>
      </c>
      <c r="AJ296" s="1"/>
      <c r="AK296" s="1"/>
      <c r="AL296" s="1">
        <v>0</v>
      </c>
    </row>
    <row r="297" spans="1:38" x14ac:dyDescent="0.25">
      <c r="A297" s="191" t="s">
        <v>122</v>
      </c>
      <c r="B297" s="1">
        <v>2</v>
      </c>
      <c r="C297" s="1" t="s">
        <v>418</v>
      </c>
      <c r="D297" s="13">
        <v>39993</v>
      </c>
      <c r="E297" s="174">
        <f t="shared" si="84"/>
        <v>2122</v>
      </c>
      <c r="F297" s="1"/>
      <c r="G297" s="13">
        <v>40694</v>
      </c>
      <c r="H297" s="13">
        <f t="shared" si="88"/>
        <v>40680</v>
      </c>
      <c r="I297" s="13">
        <v>42115</v>
      </c>
      <c r="J297" s="13"/>
      <c r="K297" s="1">
        <f t="shared" si="81"/>
        <v>701</v>
      </c>
      <c r="L297" s="1">
        <f t="shared" si="82"/>
        <v>14</v>
      </c>
      <c r="M297" s="1">
        <f t="shared" si="83"/>
        <v>1421</v>
      </c>
      <c r="N297" s="1" t="s">
        <v>417</v>
      </c>
      <c r="O297" s="4">
        <v>6.37</v>
      </c>
      <c r="P297" s="1">
        <f t="shared" si="79"/>
        <v>1</v>
      </c>
      <c r="Q297" s="1">
        <f t="shared" ref="Q297:Q360" si="89">IF(M297&gt;=360,1,"nulo")</f>
        <v>1</v>
      </c>
      <c r="R297" s="1">
        <f t="shared" ref="R297:R360" si="90">IF(M297&gt;=180,1,"nulo")</f>
        <v>1</v>
      </c>
      <c r="S297" s="1">
        <f t="shared" ref="S297:S360" si="91">IF(M297&gt;=90,1,"nulo")</f>
        <v>1</v>
      </c>
      <c r="T297" s="1" t="s">
        <v>437</v>
      </c>
      <c r="U297" s="1"/>
      <c r="V297" s="1"/>
      <c r="W297" s="1"/>
      <c r="X297" s="1"/>
      <c r="Y297" s="4">
        <v>80</v>
      </c>
      <c r="Z297" s="4">
        <v>0</v>
      </c>
      <c r="AA297" s="1"/>
      <c r="AB297" s="1">
        <v>0</v>
      </c>
      <c r="AC297" s="98">
        <v>0</v>
      </c>
      <c r="AD297" s="172">
        <v>55</v>
      </c>
      <c r="AE297" s="1" t="s">
        <v>417</v>
      </c>
      <c r="AF297" s="4">
        <v>3.5</v>
      </c>
      <c r="AG297" s="4">
        <v>0.35</v>
      </c>
      <c r="AH297" s="4">
        <v>2.5</v>
      </c>
      <c r="AI297" s="4">
        <v>0.35</v>
      </c>
      <c r="AJ297" s="1"/>
      <c r="AK297" s="1"/>
      <c r="AL297" s="1">
        <v>0</v>
      </c>
    </row>
    <row r="298" spans="1:38" x14ac:dyDescent="0.25">
      <c r="A298" s="191" t="s">
        <v>122</v>
      </c>
      <c r="B298" s="1">
        <v>2</v>
      </c>
      <c r="C298" s="1" t="s">
        <v>418</v>
      </c>
      <c r="D298" s="13">
        <v>39993</v>
      </c>
      <c r="E298" s="174">
        <f t="shared" si="84"/>
        <v>2122</v>
      </c>
      <c r="F298" s="201"/>
      <c r="G298" s="13">
        <v>40862</v>
      </c>
      <c r="H298" s="13">
        <f t="shared" si="88"/>
        <v>40694</v>
      </c>
      <c r="I298" s="13">
        <v>42115</v>
      </c>
      <c r="J298" s="13"/>
      <c r="K298" s="1">
        <f t="shared" si="81"/>
        <v>869</v>
      </c>
      <c r="L298" s="1">
        <f t="shared" si="82"/>
        <v>168</v>
      </c>
      <c r="M298" s="1">
        <f t="shared" si="83"/>
        <v>1253</v>
      </c>
      <c r="N298" s="1" t="s">
        <v>417</v>
      </c>
      <c r="O298" s="1">
        <v>6.27</v>
      </c>
      <c r="P298" s="1">
        <f t="shared" si="79"/>
        <v>1</v>
      </c>
      <c r="Q298" s="1">
        <f t="shared" si="89"/>
        <v>1</v>
      </c>
      <c r="R298" s="1">
        <f t="shared" si="90"/>
        <v>1</v>
      </c>
      <c r="S298" s="1">
        <f t="shared" si="91"/>
        <v>1</v>
      </c>
      <c r="T298" s="1" t="s">
        <v>437</v>
      </c>
      <c r="U298" s="1"/>
      <c r="V298" s="1"/>
      <c r="W298" s="1"/>
      <c r="X298" s="1"/>
      <c r="Y298" s="1">
        <v>95</v>
      </c>
      <c r="Z298" s="1">
        <v>0</v>
      </c>
      <c r="AA298" s="1"/>
      <c r="AB298" s="1">
        <v>0</v>
      </c>
      <c r="AC298" s="98">
        <v>1</v>
      </c>
      <c r="AD298" s="172">
        <v>55</v>
      </c>
      <c r="AE298" s="1" t="s">
        <v>417</v>
      </c>
      <c r="AF298" s="1">
        <v>3.5</v>
      </c>
      <c r="AG298" s="1">
        <v>0.35</v>
      </c>
      <c r="AH298" s="1">
        <v>2.5</v>
      </c>
      <c r="AI298" s="1">
        <v>0.35</v>
      </c>
      <c r="AJ298" s="1"/>
      <c r="AK298" s="1"/>
      <c r="AL298" s="1">
        <v>0</v>
      </c>
    </row>
    <row r="299" spans="1:38" x14ac:dyDescent="0.25">
      <c r="A299" s="191" t="s">
        <v>122</v>
      </c>
      <c r="B299" s="1">
        <v>2</v>
      </c>
      <c r="C299" s="1" t="s">
        <v>418</v>
      </c>
      <c r="D299" s="13">
        <v>39993</v>
      </c>
      <c r="E299" s="174">
        <f t="shared" si="84"/>
        <v>2122</v>
      </c>
      <c r="F299" s="1"/>
      <c r="G299" s="13">
        <v>41035</v>
      </c>
      <c r="H299" s="13">
        <f t="shared" si="88"/>
        <v>40862</v>
      </c>
      <c r="I299" s="13">
        <v>42115</v>
      </c>
      <c r="J299" s="13"/>
      <c r="K299" s="1">
        <f t="shared" si="81"/>
        <v>1042</v>
      </c>
      <c r="L299" s="1">
        <f t="shared" si="82"/>
        <v>173</v>
      </c>
      <c r="M299" s="1">
        <f t="shared" si="83"/>
        <v>1080</v>
      </c>
      <c r="N299" s="1" t="s">
        <v>417</v>
      </c>
      <c r="O299" s="4">
        <v>6.09</v>
      </c>
      <c r="P299" s="1">
        <f t="shared" si="79"/>
        <v>1</v>
      </c>
      <c r="Q299" s="1">
        <f t="shared" si="89"/>
        <v>1</v>
      </c>
      <c r="R299" s="1">
        <f t="shared" si="90"/>
        <v>1</v>
      </c>
      <c r="S299" s="1">
        <f t="shared" si="91"/>
        <v>1</v>
      </c>
      <c r="T299" s="1" t="s">
        <v>437</v>
      </c>
      <c r="U299" s="1"/>
      <c r="V299" s="1"/>
      <c r="W299" s="1"/>
      <c r="X299" s="1"/>
      <c r="Y299" s="4">
        <v>97</v>
      </c>
      <c r="Z299" s="4">
        <v>0</v>
      </c>
      <c r="AA299" s="1"/>
      <c r="AB299" s="1">
        <v>0</v>
      </c>
      <c r="AC299" s="98">
        <v>2</v>
      </c>
      <c r="AD299" s="172">
        <v>55</v>
      </c>
      <c r="AE299" s="1" t="s">
        <v>417</v>
      </c>
      <c r="AF299" s="4">
        <v>3.5</v>
      </c>
      <c r="AG299" s="4">
        <v>0.35</v>
      </c>
      <c r="AH299" s="4">
        <v>2.5</v>
      </c>
      <c r="AI299" s="4">
        <v>0.35</v>
      </c>
      <c r="AJ299" s="1"/>
      <c r="AK299" s="1"/>
      <c r="AL299" s="1">
        <v>0</v>
      </c>
    </row>
    <row r="300" spans="1:38" x14ac:dyDescent="0.25">
      <c r="A300" s="191" t="s">
        <v>122</v>
      </c>
      <c r="B300" s="1">
        <v>2</v>
      </c>
      <c r="C300" s="1" t="s">
        <v>418</v>
      </c>
      <c r="D300" s="13">
        <v>39993</v>
      </c>
      <c r="E300" s="174">
        <f t="shared" si="84"/>
        <v>2122</v>
      </c>
      <c r="F300" s="201"/>
      <c r="G300" s="13">
        <v>41036</v>
      </c>
      <c r="H300" s="13">
        <f t="shared" si="88"/>
        <v>41035</v>
      </c>
      <c r="I300" s="13">
        <v>42115</v>
      </c>
      <c r="J300" s="13"/>
      <c r="K300" s="1">
        <f t="shared" si="81"/>
        <v>1043</v>
      </c>
      <c r="L300" s="1">
        <f t="shared" si="82"/>
        <v>1</v>
      </c>
      <c r="M300" s="1">
        <f t="shared" si="83"/>
        <v>1079</v>
      </c>
      <c r="N300" s="1" t="s">
        <v>417</v>
      </c>
      <c r="O300" s="1">
        <v>6.09</v>
      </c>
      <c r="P300" s="1">
        <f t="shared" si="79"/>
        <v>1</v>
      </c>
      <c r="Q300" s="1">
        <f t="shared" si="89"/>
        <v>1</v>
      </c>
      <c r="R300" s="1">
        <f t="shared" si="90"/>
        <v>1</v>
      </c>
      <c r="S300" s="1">
        <f t="shared" si="91"/>
        <v>1</v>
      </c>
      <c r="T300" s="1" t="s">
        <v>437</v>
      </c>
      <c r="U300" s="1"/>
      <c r="V300" s="1"/>
      <c r="W300" s="1"/>
      <c r="X300" s="1"/>
      <c r="Y300" s="1">
        <v>88</v>
      </c>
      <c r="Z300" s="1">
        <v>34</v>
      </c>
      <c r="AA300" s="1"/>
      <c r="AB300" s="1">
        <v>0</v>
      </c>
      <c r="AC300" s="98">
        <v>2</v>
      </c>
      <c r="AD300" s="172">
        <v>55</v>
      </c>
      <c r="AE300" s="1" t="s">
        <v>417</v>
      </c>
      <c r="AF300" s="1">
        <v>3.5</v>
      </c>
      <c r="AG300" s="1">
        <v>0.35</v>
      </c>
      <c r="AH300" s="1">
        <v>4.5</v>
      </c>
      <c r="AI300" s="1">
        <v>0.35</v>
      </c>
      <c r="AJ300" s="1"/>
      <c r="AK300" s="1"/>
      <c r="AL300" s="1">
        <v>0</v>
      </c>
    </row>
    <row r="301" spans="1:38" x14ac:dyDescent="0.25">
      <c r="A301" s="191" t="s">
        <v>122</v>
      </c>
      <c r="B301" s="1">
        <v>2</v>
      </c>
      <c r="C301" s="1" t="s">
        <v>418</v>
      </c>
      <c r="D301" s="13">
        <v>39993</v>
      </c>
      <c r="E301" s="174">
        <f t="shared" si="84"/>
        <v>2122</v>
      </c>
      <c r="F301" s="201"/>
      <c r="G301" s="13">
        <v>41213</v>
      </c>
      <c r="H301" s="13">
        <f t="shared" si="88"/>
        <v>41036</v>
      </c>
      <c r="I301" s="13">
        <v>42115</v>
      </c>
      <c r="J301" s="13"/>
      <c r="K301" s="1">
        <f t="shared" si="81"/>
        <v>1220</v>
      </c>
      <c r="L301" s="1">
        <f t="shared" si="82"/>
        <v>177</v>
      </c>
      <c r="M301" s="1">
        <f t="shared" si="83"/>
        <v>902</v>
      </c>
      <c r="N301" s="1" t="s">
        <v>417</v>
      </c>
      <c r="O301" s="1">
        <v>5.85</v>
      </c>
      <c r="P301" s="1">
        <f t="shared" si="79"/>
        <v>1</v>
      </c>
      <c r="Q301" s="1">
        <f t="shared" si="89"/>
        <v>1</v>
      </c>
      <c r="R301" s="1">
        <f t="shared" si="90"/>
        <v>1</v>
      </c>
      <c r="S301" s="1">
        <f t="shared" si="91"/>
        <v>1</v>
      </c>
      <c r="T301" s="1" t="s">
        <v>437</v>
      </c>
      <c r="U301" s="1"/>
      <c r="V301" s="1"/>
      <c r="W301" s="1"/>
      <c r="X301" s="1"/>
      <c r="Y301" s="1">
        <v>99</v>
      </c>
      <c r="Z301" s="1">
        <v>0</v>
      </c>
      <c r="AA301" s="1"/>
      <c r="AB301" s="1">
        <v>0</v>
      </c>
      <c r="AC301" s="98">
        <v>0</v>
      </c>
      <c r="AD301" s="172">
        <v>55</v>
      </c>
      <c r="AE301" s="1" t="s">
        <v>417</v>
      </c>
      <c r="AF301" s="1">
        <v>3.5</v>
      </c>
      <c r="AG301" s="1">
        <v>0.35</v>
      </c>
      <c r="AH301" s="1">
        <v>4</v>
      </c>
      <c r="AI301" s="1">
        <v>0.35</v>
      </c>
      <c r="AJ301" s="1"/>
      <c r="AK301" s="1"/>
      <c r="AL301" s="1">
        <v>0</v>
      </c>
    </row>
    <row r="302" spans="1:38" x14ac:dyDescent="0.25">
      <c r="A302" s="191" t="s">
        <v>122</v>
      </c>
      <c r="B302" s="1">
        <v>2</v>
      </c>
      <c r="C302" s="1" t="s">
        <v>418</v>
      </c>
      <c r="D302" s="13">
        <v>39993</v>
      </c>
      <c r="E302" s="174">
        <f t="shared" si="84"/>
        <v>2122</v>
      </c>
      <c r="F302" s="201"/>
      <c r="G302" s="13">
        <v>41323</v>
      </c>
      <c r="H302" s="13">
        <f t="shared" si="88"/>
        <v>41213</v>
      </c>
      <c r="I302" s="13">
        <v>42115</v>
      </c>
      <c r="J302" s="13"/>
      <c r="K302" s="1">
        <f t="shared" si="81"/>
        <v>1330</v>
      </c>
      <c r="L302" s="1">
        <f t="shared" si="82"/>
        <v>110</v>
      </c>
      <c r="M302" s="1">
        <f t="shared" si="83"/>
        <v>792</v>
      </c>
      <c r="N302" s="1" t="s">
        <v>417</v>
      </c>
      <c r="O302" s="1">
        <v>5.65</v>
      </c>
      <c r="P302" s="1">
        <f t="shared" si="79"/>
        <v>1</v>
      </c>
      <c r="Q302" s="1">
        <f t="shared" si="89"/>
        <v>1</v>
      </c>
      <c r="R302" s="1">
        <f t="shared" si="90"/>
        <v>1</v>
      </c>
      <c r="S302" s="1">
        <f t="shared" si="91"/>
        <v>1</v>
      </c>
      <c r="T302" s="1" t="s">
        <v>437</v>
      </c>
      <c r="U302" s="1"/>
      <c r="V302" s="1"/>
      <c r="W302" s="1"/>
      <c r="X302" s="1"/>
      <c r="Y302" s="1">
        <v>99</v>
      </c>
      <c r="Z302" s="1">
        <v>0</v>
      </c>
      <c r="AA302" s="1"/>
      <c r="AB302" s="1">
        <v>0</v>
      </c>
      <c r="AC302" s="98">
        <v>0</v>
      </c>
      <c r="AD302" s="172">
        <v>55</v>
      </c>
      <c r="AE302" s="1" t="s">
        <v>417</v>
      </c>
      <c r="AF302" s="1">
        <v>3.5</v>
      </c>
      <c r="AG302" s="1">
        <v>0.35</v>
      </c>
      <c r="AH302" s="1">
        <v>2.5</v>
      </c>
      <c r="AI302" s="1">
        <v>0.35</v>
      </c>
      <c r="AJ302" s="1"/>
      <c r="AK302" s="1"/>
      <c r="AL302" s="1">
        <v>0</v>
      </c>
    </row>
    <row r="303" spans="1:38" x14ac:dyDescent="0.25">
      <c r="A303" s="191" t="s">
        <v>122</v>
      </c>
      <c r="B303" s="1">
        <v>2</v>
      </c>
      <c r="C303" s="1" t="s">
        <v>418</v>
      </c>
      <c r="D303" s="13">
        <v>39993</v>
      </c>
      <c r="E303" s="174">
        <f t="shared" si="84"/>
        <v>2122</v>
      </c>
      <c r="F303" s="201"/>
      <c r="G303" s="13">
        <v>41474</v>
      </c>
      <c r="H303" s="13">
        <f t="shared" si="88"/>
        <v>41323</v>
      </c>
      <c r="I303" s="13">
        <v>42115</v>
      </c>
      <c r="J303" s="13"/>
      <c r="K303" s="1">
        <f t="shared" si="81"/>
        <v>1481</v>
      </c>
      <c r="L303" s="1">
        <f t="shared" si="82"/>
        <v>151</v>
      </c>
      <c r="M303" s="1">
        <f t="shared" si="83"/>
        <v>641</v>
      </c>
      <c r="N303" s="1" t="s">
        <v>417</v>
      </c>
      <c r="O303" s="1">
        <v>5.32</v>
      </c>
      <c r="P303" s="1">
        <f t="shared" si="79"/>
        <v>1</v>
      </c>
      <c r="Q303" s="1">
        <f t="shared" si="89"/>
        <v>1</v>
      </c>
      <c r="R303" s="1">
        <f t="shared" si="90"/>
        <v>1</v>
      </c>
      <c r="S303" s="1">
        <f t="shared" si="91"/>
        <v>1</v>
      </c>
      <c r="T303" s="1" t="s">
        <v>437</v>
      </c>
      <c r="U303" s="1"/>
      <c r="V303" s="1"/>
      <c r="W303" s="1"/>
      <c r="X303" s="1"/>
      <c r="Y303" s="1">
        <v>99</v>
      </c>
      <c r="Z303" s="1">
        <v>1</v>
      </c>
      <c r="AA303" s="1"/>
      <c r="AB303" s="1">
        <v>0</v>
      </c>
      <c r="AC303" s="98">
        <v>1</v>
      </c>
      <c r="AD303" s="172">
        <v>55</v>
      </c>
      <c r="AE303" s="1" t="s">
        <v>434</v>
      </c>
      <c r="AF303" s="1">
        <v>3.5</v>
      </c>
      <c r="AG303" s="1">
        <v>0.35</v>
      </c>
      <c r="AH303" s="1">
        <v>2.5</v>
      </c>
      <c r="AI303" s="1">
        <v>0.35</v>
      </c>
      <c r="AJ303" s="1"/>
      <c r="AK303" s="1"/>
      <c r="AL303" s="1">
        <v>0</v>
      </c>
    </row>
    <row r="304" spans="1:38" x14ac:dyDescent="0.25">
      <c r="A304" s="191" t="s">
        <v>122</v>
      </c>
      <c r="B304" s="1">
        <v>2</v>
      </c>
      <c r="C304" s="1" t="s">
        <v>418</v>
      </c>
      <c r="D304" s="13">
        <v>39993</v>
      </c>
      <c r="E304" s="174">
        <f t="shared" si="84"/>
        <v>2122</v>
      </c>
      <c r="F304" s="1"/>
      <c r="G304" s="13">
        <v>41478</v>
      </c>
      <c r="H304" s="13">
        <f t="shared" si="88"/>
        <v>41474</v>
      </c>
      <c r="I304" s="13">
        <v>42115</v>
      </c>
      <c r="J304" s="13"/>
      <c r="K304" s="1">
        <f t="shared" si="81"/>
        <v>1485</v>
      </c>
      <c r="L304" s="1">
        <f t="shared" si="82"/>
        <v>4</v>
      </c>
      <c r="M304" s="1">
        <f t="shared" si="83"/>
        <v>637</v>
      </c>
      <c r="N304" s="1" t="s">
        <v>417</v>
      </c>
      <c r="O304" s="4">
        <v>5.31</v>
      </c>
      <c r="P304" s="1">
        <f t="shared" ref="P304:P358" si="92">IF(M304&gt;=540,1,"nulo")</f>
        <v>1</v>
      </c>
      <c r="Q304" s="1">
        <f t="shared" si="89"/>
        <v>1</v>
      </c>
      <c r="R304" s="1">
        <f t="shared" si="90"/>
        <v>1</v>
      </c>
      <c r="S304" s="1">
        <f t="shared" si="91"/>
        <v>1</v>
      </c>
      <c r="T304" s="1" t="s">
        <v>437</v>
      </c>
      <c r="U304" s="1"/>
      <c r="V304" s="1"/>
      <c r="W304" s="1"/>
      <c r="X304" s="1"/>
      <c r="Y304" s="4">
        <v>100</v>
      </c>
      <c r="Z304" s="4">
        <v>16</v>
      </c>
      <c r="AA304" s="1"/>
      <c r="AB304" s="1">
        <v>0</v>
      </c>
      <c r="AC304" s="98">
        <v>0</v>
      </c>
      <c r="AD304" s="172">
        <v>55</v>
      </c>
      <c r="AE304" s="1" t="s">
        <v>417</v>
      </c>
      <c r="AF304" s="4">
        <v>3.5</v>
      </c>
      <c r="AG304" s="4">
        <v>0.35</v>
      </c>
      <c r="AH304" s="4">
        <v>2.5</v>
      </c>
      <c r="AI304" s="4">
        <v>0.35</v>
      </c>
      <c r="AJ304" s="1"/>
      <c r="AK304" s="1"/>
      <c r="AL304" s="1">
        <v>0</v>
      </c>
    </row>
    <row r="305" spans="1:38" x14ac:dyDescent="0.25">
      <c r="A305" s="191" t="s">
        <v>122</v>
      </c>
      <c r="B305" s="1">
        <v>2</v>
      </c>
      <c r="C305" s="1" t="s">
        <v>418</v>
      </c>
      <c r="D305" s="13">
        <v>39993</v>
      </c>
      <c r="E305" s="174">
        <f t="shared" si="84"/>
        <v>2122</v>
      </c>
      <c r="F305" s="201"/>
      <c r="G305" s="13">
        <v>41486</v>
      </c>
      <c r="H305" s="13">
        <f t="shared" si="88"/>
        <v>41478</v>
      </c>
      <c r="I305" s="13">
        <v>42115</v>
      </c>
      <c r="J305" s="13"/>
      <c r="K305" s="1">
        <f t="shared" si="81"/>
        <v>1493</v>
      </c>
      <c r="L305" s="1">
        <f t="shared" si="82"/>
        <v>8</v>
      </c>
      <c r="M305" s="1">
        <f t="shared" si="83"/>
        <v>629</v>
      </c>
      <c r="N305" s="1" t="s">
        <v>417</v>
      </c>
      <c r="O305" s="1">
        <v>5.31</v>
      </c>
      <c r="P305" s="1">
        <f t="shared" si="92"/>
        <v>1</v>
      </c>
      <c r="Q305" s="1">
        <f t="shared" si="89"/>
        <v>1</v>
      </c>
      <c r="R305" s="1">
        <f t="shared" si="90"/>
        <v>1</v>
      </c>
      <c r="S305" s="1">
        <f t="shared" si="91"/>
        <v>1</v>
      </c>
      <c r="T305" s="1" t="s">
        <v>437</v>
      </c>
      <c r="U305" s="1"/>
      <c r="V305" s="1"/>
      <c r="W305" s="1"/>
      <c r="X305" s="1"/>
      <c r="Y305" s="1">
        <v>99</v>
      </c>
      <c r="Z305" s="1">
        <v>5</v>
      </c>
      <c r="AA305" s="1"/>
      <c r="AB305" s="1">
        <v>0</v>
      </c>
      <c r="AC305" s="98">
        <v>8</v>
      </c>
      <c r="AD305" s="172">
        <v>55</v>
      </c>
      <c r="AE305" s="1" t="s">
        <v>434</v>
      </c>
      <c r="AF305" s="1">
        <v>3.5</v>
      </c>
      <c r="AG305" s="1">
        <v>0.35</v>
      </c>
      <c r="AH305" s="1">
        <v>2.5</v>
      </c>
      <c r="AI305" s="1">
        <v>0.35</v>
      </c>
      <c r="AJ305" s="1"/>
      <c r="AK305" s="1"/>
      <c r="AL305" s="1">
        <v>0</v>
      </c>
    </row>
    <row r="306" spans="1:38" x14ac:dyDescent="0.25">
      <c r="A306" s="191" t="s">
        <v>122</v>
      </c>
      <c r="B306" s="1">
        <v>2</v>
      </c>
      <c r="C306" s="1" t="s">
        <v>418</v>
      </c>
      <c r="D306" s="13">
        <v>39993</v>
      </c>
      <c r="E306" s="174">
        <f t="shared" si="84"/>
        <v>2122</v>
      </c>
      <c r="F306" s="201"/>
      <c r="G306" s="13">
        <v>41520</v>
      </c>
      <c r="H306" s="13">
        <f t="shared" si="88"/>
        <v>41486</v>
      </c>
      <c r="I306" s="13">
        <v>42115</v>
      </c>
      <c r="J306" s="13"/>
      <c r="K306" s="1">
        <f t="shared" si="81"/>
        <v>1527</v>
      </c>
      <c r="L306" s="1">
        <f t="shared" si="82"/>
        <v>34</v>
      </c>
      <c r="M306" s="1">
        <f t="shared" si="83"/>
        <v>595</v>
      </c>
      <c r="N306" s="1" t="s">
        <v>417</v>
      </c>
      <c r="O306" s="1">
        <v>5.28</v>
      </c>
      <c r="P306" s="1">
        <f t="shared" si="92"/>
        <v>1</v>
      </c>
      <c r="Q306" s="1">
        <f t="shared" si="89"/>
        <v>1</v>
      </c>
      <c r="R306" s="1">
        <f t="shared" si="90"/>
        <v>1</v>
      </c>
      <c r="S306" s="1">
        <f t="shared" si="91"/>
        <v>1</v>
      </c>
      <c r="T306" s="1" t="s">
        <v>437</v>
      </c>
      <c r="U306" s="1"/>
      <c r="V306" s="1"/>
      <c r="W306" s="1"/>
      <c r="X306" s="1"/>
      <c r="Y306" s="1">
        <v>100</v>
      </c>
      <c r="Z306" s="1">
        <v>0</v>
      </c>
      <c r="AA306" s="1"/>
      <c r="AB306" s="1">
        <v>0</v>
      </c>
      <c r="AC306" s="98">
        <v>1</v>
      </c>
      <c r="AD306" s="172">
        <v>55</v>
      </c>
      <c r="AE306" s="1" t="s">
        <v>434</v>
      </c>
      <c r="AF306" s="1">
        <v>3.5</v>
      </c>
      <c r="AG306" s="1">
        <v>0.35</v>
      </c>
      <c r="AH306" s="1">
        <v>2.5</v>
      </c>
      <c r="AI306" s="1">
        <v>0.35</v>
      </c>
      <c r="AJ306" s="1"/>
      <c r="AK306" s="1"/>
      <c r="AL306" s="1">
        <v>0</v>
      </c>
    </row>
    <row r="307" spans="1:38" x14ac:dyDescent="0.25">
      <c r="A307" s="191" t="s">
        <v>122</v>
      </c>
      <c r="B307" s="1">
        <v>2</v>
      </c>
      <c r="C307" s="1" t="s">
        <v>418</v>
      </c>
      <c r="D307" s="13">
        <v>39993</v>
      </c>
      <c r="E307" s="174">
        <f t="shared" si="84"/>
        <v>2122</v>
      </c>
      <c r="F307" s="1"/>
      <c r="G307" s="13">
        <v>41646</v>
      </c>
      <c r="H307" s="13">
        <f t="shared" si="88"/>
        <v>41520</v>
      </c>
      <c r="I307" s="13">
        <v>42115</v>
      </c>
      <c r="J307" s="13"/>
      <c r="K307" s="1">
        <f t="shared" si="81"/>
        <v>1653</v>
      </c>
      <c r="L307" s="1">
        <f t="shared" si="82"/>
        <v>126</v>
      </c>
      <c r="M307" s="1">
        <f t="shared" si="83"/>
        <v>469</v>
      </c>
      <c r="N307" s="1" t="s">
        <v>417</v>
      </c>
      <c r="O307" s="4">
        <v>5.18</v>
      </c>
      <c r="P307" s="1"/>
      <c r="Q307" s="1">
        <f t="shared" si="89"/>
        <v>1</v>
      </c>
      <c r="R307" s="1">
        <f t="shared" si="90"/>
        <v>1</v>
      </c>
      <c r="S307" s="1">
        <f t="shared" si="91"/>
        <v>1</v>
      </c>
      <c r="T307" s="1" t="s">
        <v>442</v>
      </c>
      <c r="U307" s="1"/>
      <c r="V307" s="1"/>
      <c r="W307" s="1"/>
      <c r="X307" s="1"/>
      <c r="Y307" s="4">
        <v>100</v>
      </c>
      <c r="Z307" s="4">
        <v>4</v>
      </c>
      <c r="AA307" s="1"/>
      <c r="AB307" s="1">
        <v>0</v>
      </c>
      <c r="AC307" s="98">
        <v>7</v>
      </c>
      <c r="AD307" s="172">
        <v>55</v>
      </c>
      <c r="AE307" s="1" t="s">
        <v>417</v>
      </c>
      <c r="AF307" s="4">
        <v>4</v>
      </c>
      <c r="AG307" s="4">
        <v>0.35</v>
      </c>
      <c r="AH307" s="4">
        <v>3.5</v>
      </c>
      <c r="AI307" s="4">
        <v>0.35</v>
      </c>
      <c r="AJ307" s="1"/>
      <c r="AK307" s="1"/>
      <c r="AL307" s="1">
        <v>0</v>
      </c>
    </row>
    <row r="308" spans="1:38" x14ac:dyDescent="0.25">
      <c r="A308" s="191" t="s">
        <v>122</v>
      </c>
      <c r="B308" s="1">
        <v>2</v>
      </c>
      <c r="C308" s="1" t="s">
        <v>418</v>
      </c>
      <c r="D308" s="13">
        <v>39993</v>
      </c>
      <c r="E308" s="174">
        <f t="shared" si="84"/>
        <v>2122</v>
      </c>
      <c r="F308" s="201"/>
      <c r="G308" s="13">
        <v>41765</v>
      </c>
      <c r="H308" s="13">
        <f t="shared" si="88"/>
        <v>41646</v>
      </c>
      <c r="I308" s="13">
        <v>42115</v>
      </c>
      <c r="J308" s="13"/>
      <c r="K308" s="1">
        <f t="shared" si="81"/>
        <v>1772</v>
      </c>
      <c r="L308" s="1">
        <f t="shared" si="82"/>
        <v>119</v>
      </c>
      <c r="M308" s="1">
        <f t="shared" si="83"/>
        <v>350</v>
      </c>
      <c r="N308" s="1" t="s">
        <v>417</v>
      </c>
      <c r="O308" s="1">
        <v>5.15</v>
      </c>
      <c r="P308" s="1"/>
      <c r="Q308" s="1"/>
      <c r="R308" s="1">
        <f t="shared" si="90"/>
        <v>1</v>
      </c>
      <c r="S308" s="1">
        <f t="shared" si="91"/>
        <v>1</v>
      </c>
      <c r="T308" s="1" t="s">
        <v>442</v>
      </c>
      <c r="U308" s="1"/>
      <c r="V308" s="1"/>
      <c r="W308" s="1"/>
      <c r="X308" s="1"/>
      <c r="Y308" s="1">
        <v>99</v>
      </c>
      <c r="Z308" s="1">
        <v>12</v>
      </c>
      <c r="AA308" s="1"/>
      <c r="AB308" s="1">
        <v>0</v>
      </c>
      <c r="AC308" s="98">
        <v>10</v>
      </c>
      <c r="AD308" s="172">
        <v>55</v>
      </c>
      <c r="AE308" s="1" t="s">
        <v>434</v>
      </c>
      <c r="AF308" s="1">
        <v>4</v>
      </c>
      <c r="AG308" s="1">
        <v>0.35</v>
      </c>
      <c r="AH308" s="1">
        <v>3.5</v>
      </c>
      <c r="AI308" s="1">
        <v>0.35</v>
      </c>
      <c r="AJ308" s="1"/>
      <c r="AK308" s="1"/>
      <c r="AL308" s="1">
        <v>0</v>
      </c>
    </row>
    <row r="309" spans="1:38" x14ac:dyDescent="0.25">
      <c r="A309" s="191" t="s">
        <v>122</v>
      </c>
      <c r="B309" s="1">
        <v>2</v>
      </c>
      <c r="C309" s="1" t="s">
        <v>418</v>
      </c>
      <c r="D309" s="13">
        <v>39993</v>
      </c>
      <c r="E309" s="174">
        <f t="shared" si="84"/>
        <v>2122</v>
      </c>
      <c r="F309" s="201"/>
      <c r="G309" s="13">
        <v>41975</v>
      </c>
      <c r="H309" s="13">
        <f t="shared" si="88"/>
        <v>41765</v>
      </c>
      <c r="I309" s="13">
        <v>42115</v>
      </c>
      <c r="J309" s="13"/>
      <c r="K309" s="1">
        <f t="shared" si="81"/>
        <v>1982</v>
      </c>
      <c r="L309" s="1">
        <f t="shared" si="82"/>
        <v>210</v>
      </c>
      <c r="M309" s="1">
        <f t="shared" si="83"/>
        <v>140</v>
      </c>
      <c r="N309" s="1" t="s">
        <v>417</v>
      </c>
      <c r="O309" s="1">
        <v>5.14</v>
      </c>
      <c r="P309" s="1"/>
      <c r="Q309" s="1"/>
      <c r="R309" s="1"/>
      <c r="S309" s="1">
        <f t="shared" si="91"/>
        <v>1</v>
      </c>
      <c r="T309" s="1" t="s">
        <v>442</v>
      </c>
      <c r="U309" s="1"/>
      <c r="V309" s="1"/>
      <c r="W309" s="1"/>
      <c r="X309" s="1"/>
      <c r="Y309" s="1">
        <v>100</v>
      </c>
      <c r="Z309" s="1">
        <v>99</v>
      </c>
      <c r="AA309" s="1"/>
      <c r="AB309" s="1">
        <v>0</v>
      </c>
      <c r="AC309" s="98">
        <v>0</v>
      </c>
      <c r="AD309" s="172">
        <v>55</v>
      </c>
      <c r="AE309" s="1" t="s">
        <v>434</v>
      </c>
      <c r="AF309" s="1">
        <v>4</v>
      </c>
      <c r="AG309" s="1">
        <v>0.35</v>
      </c>
      <c r="AH309" s="1">
        <v>3.5</v>
      </c>
      <c r="AI309" s="1">
        <v>0.35</v>
      </c>
      <c r="AJ309" s="1"/>
      <c r="AK309" s="1"/>
      <c r="AL309" s="1">
        <v>0</v>
      </c>
    </row>
    <row r="310" spans="1:38" x14ac:dyDescent="0.25">
      <c r="A310" s="191" t="s">
        <v>122</v>
      </c>
      <c r="B310" s="1">
        <v>2</v>
      </c>
      <c r="C310" s="1" t="s">
        <v>418</v>
      </c>
      <c r="D310" s="13">
        <v>39993</v>
      </c>
      <c r="E310" s="174">
        <f t="shared" si="84"/>
        <v>2122</v>
      </c>
      <c r="F310" s="201"/>
      <c r="G310" s="13">
        <v>42023</v>
      </c>
      <c r="H310" s="13">
        <f t="shared" si="88"/>
        <v>41975</v>
      </c>
      <c r="I310" s="13">
        <v>42115</v>
      </c>
      <c r="J310" s="13"/>
      <c r="K310" s="1">
        <f t="shared" si="81"/>
        <v>2030</v>
      </c>
      <c r="L310" s="1">
        <f t="shared" si="82"/>
        <v>48</v>
      </c>
      <c r="M310" s="1">
        <f t="shared" si="83"/>
        <v>92</v>
      </c>
      <c r="N310" s="1" t="s">
        <v>417</v>
      </c>
      <c r="O310" s="1">
        <v>5.13</v>
      </c>
      <c r="P310" s="1"/>
      <c r="Q310" s="1"/>
      <c r="R310" s="1"/>
      <c r="S310" s="1">
        <f t="shared" si="91"/>
        <v>1</v>
      </c>
      <c r="T310" s="1" t="s">
        <v>442</v>
      </c>
      <c r="U310" s="1"/>
      <c r="V310" s="1"/>
      <c r="W310" s="1"/>
      <c r="X310" s="1"/>
      <c r="Y310" s="1">
        <v>99</v>
      </c>
      <c r="Z310" s="1">
        <v>99</v>
      </c>
      <c r="AA310" s="1"/>
      <c r="AB310" s="1">
        <v>1</v>
      </c>
      <c r="AC310" s="98">
        <v>3</v>
      </c>
      <c r="AD310" s="172">
        <v>55</v>
      </c>
      <c r="AE310" s="1" t="s">
        <v>434</v>
      </c>
      <c r="AF310" s="1">
        <v>4</v>
      </c>
      <c r="AG310" s="1">
        <v>0.35</v>
      </c>
      <c r="AH310" s="1">
        <v>3.5</v>
      </c>
      <c r="AI310" s="1">
        <v>0.35</v>
      </c>
      <c r="AJ310" s="1"/>
      <c r="AK310" s="1"/>
      <c r="AL310" s="1">
        <v>0</v>
      </c>
    </row>
    <row r="311" spans="1:38" x14ac:dyDescent="0.25">
      <c r="A311" s="191" t="s">
        <v>122</v>
      </c>
      <c r="B311" s="1">
        <v>2</v>
      </c>
      <c r="C311" s="1" t="s">
        <v>418</v>
      </c>
      <c r="D311" s="13">
        <v>39993</v>
      </c>
      <c r="E311" s="174">
        <f t="shared" si="84"/>
        <v>2122</v>
      </c>
      <c r="F311" s="1"/>
      <c r="G311" s="23">
        <v>42053</v>
      </c>
      <c r="H311" s="13">
        <f t="shared" si="88"/>
        <v>42023</v>
      </c>
      <c r="I311" s="13">
        <v>42115</v>
      </c>
      <c r="J311" s="13"/>
      <c r="K311" s="1">
        <f t="shared" si="81"/>
        <v>2060</v>
      </c>
      <c r="L311" s="1">
        <f t="shared" si="82"/>
        <v>30</v>
      </c>
      <c r="M311" s="1">
        <f t="shared" si="83"/>
        <v>62</v>
      </c>
      <c r="N311" s="1" t="s">
        <v>417</v>
      </c>
      <c r="O311" s="24">
        <v>5.13</v>
      </c>
      <c r="P311" s="1"/>
      <c r="Q311" s="1"/>
      <c r="R311" s="1"/>
      <c r="S311" s="1"/>
      <c r="T311" s="1" t="s">
        <v>442</v>
      </c>
      <c r="U311" s="1"/>
      <c r="V311" s="1"/>
      <c r="W311" s="1"/>
      <c r="X311" s="1"/>
      <c r="Y311" s="24">
        <v>100</v>
      </c>
      <c r="Z311" s="24">
        <v>99</v>
      </c>
      <c r="AA311" s="1"/>
      <c r="AB311" s="1">
        <v>0.4</v>
      </c>
      <c r="AC311" s="98">
        <v>26</v>
      </c>
      <c r="AD311" s="172">
        <v>55</v>
      </c>
      <c r="AE311" s="1" t="s">
        <v>417</v>
      </c>
      <c r="AF311" s="24">
        <v>2.5</v>
      </c>
      <c r="AG311" s="24">
        <v>0.6</v>
      </c>
      <c r="AH311" s="24">
        <v>2.5</v>
      </c>
      <c r="AI311" s="24">
        <v>0.5</v>
      </c>
      <c r="AJ311" s="1"/>
      <c r="AK311" s="1"/>
      <c r="AL311" s="1">
        <v>0</v>
      </c>
    </row>
    <row r="312" spans="1:38" x14ac:dyDescent="0.25">
      <c r="A312" s="191" t="s">
        <v>122</v>
      </c>
      <c r="B312" s="1">
        <v>2</v>
      </c>
      <c r="C312" s="1" t="s">
        <v>418</v>
      </c>
      <c r="D312" s="13">
        <v>39993</v>
      </c>
      <c r="E312" s="174">
        <f t="shared" si="84"/>
        <v>2122</v>
      </c>
      <c r="F312" s="201"/>
      <c r="G312" s="13">
        <v>42067</v>
      </c>
      <c r="H312" s="13">
        <f t="shared" si="88"/>
        <v>42053</v>
      </c>
      <c r="I312" s="13">
        <v>42115</v>
      </c>
      <c r="J312" s="13"/>
      <c r="K312" s="1">
        <f t="shared" si="81"/>
        <v>2074</v>
      </c>
      <c r="L312" s="1">
        <f t="shared" si="82"/>
        <v>14</v>
      </c>
      <c r="M312" s="1">
        <f t="shared" si="83"/>
        <v>48</v>
      </c>
      <c r="N312" s="1" t="s">
        <v>417</v>
      </c>
      <c r="O312" s="1">
        <v>5.13</v>
      </c>
      <c r="P312" s="1"/>
      <c r="Q312" s="1"/>
      <c r="R312" s="1"/>
      <c r="S312" s="1"/>
      <c r="T312" s="1" t="s">
        <v>442</v>
      </c>
      <c r="U312" s="1"/>
      <c r="V312" s="1"/>
      <c r="W312" s="1"/>
      <c r="X312" s="1"/>
      <c r="Y312" s="1">
        <v>99</v>
      </c>
      <c r="Z312" s="1">
        <v>99</v>
      </c>
      <c r="AA312" s="1"/>
      <c r="AB312" s="1">
        <v>0</v>
      </c>
      <c r="AC312" s="98">
        <v>1</v>
      </c>
      <c r="AD312" s="172">
        <v>55</v>
      </c>
      <c r="AE312" s="1" t="s">
        <v>434</v>
      </c>
      <c r="AF312" s="1">
        <v>4</v>
      </c>
      <c r="AG312" s="1">
        <v>0.35</v>
      </c>
      <c r="AH312" s="1">
        <v>3.5</v>
      </c>
      <c r="AI312" s="1">
        <v>0.35</v>
      </c>
      <c r="AJ312" s="1"/>
      <c r="AK312" s="1"/>
      <c r="AL312" s="1">
        <v>0</v>
      </c>
    </row>
    <row r="313" spans="1:38" x14ac:dyDescent="0.25">
      <c r="A313" s="191" t="s">
        <v>122</v>
      </c>
      <c r="B313" s="1">
        <v>2</v>
      </c>
      <c r="C313" s="1" t="s">
        <v>418</v>
      </c>
      <c r="D313" s="13">
        <v>39993</v>
      </c>
      <c r="E313" s="174">
        <f t="shared" si="84"/>
        <v>2122</v>
      </c>
      <c r="F313" s="1"/>
      <c r="G313" s="13">
        <v>42115</v>
      </c>
      <c r="H313" s="13">
        <f t="shared" si="88"/>
        <v>42067</v>
      </c>
      <c r="I313" s="13">
        <v>42115</v>
      </c>
      <c r="J313" s="13"/>
      <c r="K313" s="1">
        <f t="shared" si="81"/>
        <v>2122</v>
      </c>
      <c r="L313" s="1">
        <f t="shared" si="82"/>
        <v>48</v>
      </c>
      <c r="M313" s="1">
        <f t="shared" si="83"/>
        <v>0</v>
      </c>
      <c r="N313" s="1" t="s">
        <v>417</v>
      </c>
      <c r="O313" s="4">
        <v>5.1100000000000003</v>
      </c>
      <c r="P313" s="1"/>
      <c r="Q313" s="1"/>
      <c r="R313" s="1"/>
      <c r="S313" s="1"/>
      <c r="T313" s="1"/>
      <c r="U313" s="1"/>
      <c r="V313" s="1"/>
      <c r="W313" s="1"/>
      <c r="X313" s="1"/>
      <c r="Y313" s="4">
        <v>95</v>
      </c>
      <c r="Z313" s="4">
        <v>99</v>
      </c>
      <c r="AA313" s="1"/>
      <c r="AB313" s="1">
        <v>0</v>
      </c>
      <c r="AC313" s="98">
        <v>0</v>
      </c>
      <c r="AD313" s="172">
        <v>55</v>
      </c>
      <c r="AE313" s="1" t="s">
        <v>417</v>
      </c>
      <c r="AF313" s="24">
        <v>2.5</v>
      </c>
      <c r="AG313" s="24">
        <v>0.6</v>
      </c>
      <c r="AH313" s="24">
        <v>2.5</v>
      </c>
      <c r="AI313" s="24">
        <v>0.5</v>
      </c>
      <c r="AJ313" s="1"/>
      <c r="AK313" s="1"/>
      <c r="AL313" s="1">
        <v>0</v>
      </c>
    </row>
    <row r="314" spans="1:38" x14ac:dyDescent="0.25">
      <c r="A314" s="180" t="s">
        <v>133</v>
      </c>
      <c r="B314" s="1">
        <v>2</v>
      </c>
      <c r="C314" s="1" t="s">
        <v>418</v>
      </c>
      <c r="D314" s="13">
        <v>39119</v>
      </c>
      <c r="E314" s="174">
        <f t="shared" si="84"/>
        <v>2212</v>
      </c>
      <c r="F314" s="1"/>
      <c r="G314" s="61">
        <v>40120</v>
      </c>
      <c r="H314" s="13">
        <v>39119</v>
      </c>
      <c r="I314" s="13">
        <v>41331</v>
      </c>
      <c r="J314" s="13"/>
      <c r="K314" s="1">
        <f t="shared" si="81"/>
        <v>1001</v>
      </c>
      <c r="L314" s="1">
        <f t="shared" si="82"/>
        <v>1001</v>
      </c>
      <c r="M314" s="1">
        <f t="shared" si="83"/>
        <v>1211</v>
      </c>
      <c r="N314" s="1" t="s">
        <v>417</v>
      </c>
      <c r="O314" s="57">
        <v>5.83</v>
      </c>
      <c r="P314" s="1">
        <f t="shared" si="92"/>
        <v>1</v>
      </c>
      <c r="Q314" s="1">
        <f t="shared" si="89"/>
        <v>1</v>
      </c>
      <c r="R314" s="1">
        <f t="shared" si="90"/>
        <v>1</v>
      </c>
      <c r="S314" s="1">
        <f t="shared" si="91"/>
        <v>1</v>
      </c>
      <c r="T314" s="1" t="s">
        <v>437</v>
      </c>
      <c r="U314" s="1"/>
      <c r="V314" s="1"/>
      <c r="W314" s="1"/>
      <c r="X314" s="1"/>
      <c r="Y314" s="57">
        <v>61</v>
      </c>
      <c r="Z314" s="57">
        <v>7</v>
      </c>
      <c r="AA314" s="1"/>
      <c r="AB314" s="1">
        <v>0</v>
      </c>
      <c r="AC314" s="98">
        <v>0</v>
      </c>
      <c r="AD314" s="172">
        <v>60</v>
      </c>
      <c r="AE314" s="1" t="s">
        <v>417</v>
      </c>
      <c r="AF314" s="57">
        <v>4</v>
      </c>
      <c r="AG314" s="57">
        <v>0.6</v>
      </c>
      <c r="AH314" s="24">
        <v>2.5</v>
      </c>
      <c r="AI314" s="24">
        <v>0.5</v>
      </c>
      <c r="AJ314" s="1"/>
      <c r="AK314" s="1"/>
      <c r="AL314" s="1">
        <v>0</v>
      </c>
    </row>
    <row r="315" spans="1:38" x14ac:dyDescent="0.25">
      <c r="A315" s="180" t="s">
        <v>133</v>
      </c>
      <c r="B315" s="1">
        <v>2</v>
      </c>
      <c r="C315" s="1" t="s">
        <v>418</v>
      </c>
      <c r="D315" s="13">
        <v>39119</v>
      </c>
      <c r="E315" s="174">
        <f t="shared" si="84"/>
        <v>2212</v>
      </c>
      <c r="F315" s="1"/>
      <c r="G315" s="13">
        <v>40302</v>
      </c>
      <c r="H315" s="13">
        <f>G314</f>
        <v>40120</v>
      </c>
      <c r="I315" s="13">
        <v>41331</v>
      </c>
      <c r="J315" s="13"/>
      <c r="K315" s="1">
        <f t="shared" si="81"/>
        <v>1183</v>
      </c>
      <c r="L315" s="1">
        <f t="shared" si="82"/>
        <v>182</v>
      </c>
      <c r="M315" s="1">
        <f t="shared" si="83"/>
        <v>1029</v>
      </c>
      <c r="N315" s="1" t="s">
        <v>417</v>
      </c>
      <c r="O315" s="4">
        <v>5.39</v>
      </c>
      <c r="P315" s="1">
        <f t="shared" si="92"/>
        <v>1</v>
      </c>
      <c r="Q315" s="1">
        <f t="shared" si="89"/>
        <v>1</v>
      </c>
      <c r="R315" s="1">
        <f t="shared" si="90"/>
        <v>1</v>
      </c>
      <c r="S315" s="1">
        <f t="shared" si="91"/>
        <v>1</v>
      </c>
      <c r="T315" s="1" t="s">
        <v>437</v>
      </c>
      <c r="U315" s="1"/>
      <c r="V315" s="1"/>
      <c r="W315" s="1"/>
      <c r="X315" s="1"/>
      <c r="Y315" s="4">
        <v>57</v>
      </c>
      <c r="Z315" s="4">
        <v>1</v>
      </c>
      <c r="AA315" s="1"/>
      <c r="AB315" s="1">
        <v>0</v>
      </c>
      <c r="AC315" s="98">
        <v>1</v>
      </c>
      <c r="AD315" s="172">
        <v>60</v>
      </c>
      <c r="AE315" s="1" t="s">
        <v>417</v>
      </c>
      <c r="AF315" s="4">
        <v>4</v>
      </c>
      <c r="AG315" s="4">
        <v>0.6</v>
      </c>
      <c r="AH315" s="24">
        <v>2.5</v>
      </c>
      <c r="AI315" s="24">
        <v>0.5</v>
      </c>
      <c r="AJ315" s="1"/>
      <c r="AK315" s="1"/>
      <c r="AL315" s="1">
        <v>0</v>
      </c>
    </row>
    <row r="316" spans="1:38" x14ac:dyDescent="0.25">
      <c r="A316" s="180" t="s">
        <v>133</v>
      </c>
      <c r="B316" s="1">
        <v>2</v>
      </c>
      <c r="C316" s="1" t="s">
        <v>418</v>
      </c>
      <c r="D316" s="13">
        <v>39119</v>
      </c>
      <c r="E316" s="174">
        <f t="shared" si="84"/>
        <v>2212</v>
      </c>
      <c r="F316" s="201"/>
      <c r="G316" s="13">
        <v>40687</v>
      </c>
      <c r="H316" s="13">
        <f t="shared" ref="H316:H321" si="93">G315</f>
        <v>40302</v>
      </c>
      <c r="I316" s="13">
        <v>41331</v>
      </c>
      <c r="J316" s="13"/>
      <c r="K316" s="1">
        <f t="shared" si="81"/>
        <v>1568</v>
      </c>
      <c r="L316" s="1">
        <f t="shared" si="82"/>
        <v>385</v>
      </c>
      <c r="M316" s="1">
        <f t="shared" si="83"/>
        <v>644</v>
      </c>
      <c r="N316" s="1" t="s">
        <v>417</v>
      </c>
      <c r="O316" s="1">
        <v>5.15</v>
      </c>
      <c r="P316" s="1">
        <f t="shared" si="92"/>
        <v>1</v>
      </c>
      <c r="Q316" s="1">
        <f t="shared" si="89"/>
        <v>1</v>
      </c>
      <c r="R316" s="1">
        <f t="shared" si="90"/>
        <v>1</v>
      </c>
      <c r="S316" s="1">
        <f t="shared" si="91"/>
        <v>1</v>
      </c>
      <c r="T316" s="1" t="s">
        <v>437</v>
      </c>
      <c r="U316" s="1"/>
      <c r="V316" s="1"/>
      <c r="W316" s="1"/>
      <c r="X316" s="1"/>
      <c r="Y316" s="1">
        <v>70</v>
      </c>
      <c r="Z316" s="1">
        <v>3</v>
      </c>
      <c r="AA316" s="1"/>
      <c r="AB316" s="1">
        <v>0</v>
      </c>
      <c r="AC316" s="98">
        <v>1</v>
      </c>
      <c r="AD316" s="172">
        <v>60</v>
      </c>
      <c r="AE316" s="1" t="s">
        <v>417</v>
      </c>
      <c r="AF316" s="1">
        <v>4.5</v>
      </c>
      <c r="AG316" s="1">
        <v>0.6</v>
      </c>
      <c r="AH316" s="1">
        <v>2.5</v>
      </c>
      <c r="AI316" s="1">
        <v>0.5</v>
      </c>
      <c r="AJ316" s="1"/>
      <c r="AK316" s="1"/>
      <c r="AL316" s="1">
        <v>0</v>
      </c>
    </row>
    <row r="317" spans="1:38" x14ac:dyDescent="0.25">
      <c r="A317" s="180" t="s">
        <v>133</v>
      </c>
      <c r="B317" s="1">
        <v>2</v>
      </c>
      <c r="C317" s="1" t="s">
        <v>418</v>
      </c>
      <c r="D317" s="13">
        <v>39119</v>
      </c>
      <c r="E317" s="174">
        <f t="shared" si="84"/>
        <v>2212</v>
      </c>
      <c r="F317" s="201"/>
      <c r="G317" s="13">
        <v>40736</v>
      </c>
      <c r="H317" s="13">
        <f t="shared" si="93"/>
        <v>40687</v>
      </c>
      <c r="I317" s="13">
        <v>41331</v>
      </c>
      <c r="J317" s="13"/>
      <c r="K317" s="1">
        <f t="shared" si="81"/>
        <v>1617</v>
      </c>
      <c r="L317" s="1">
        <f t="shared" si="82"/>
        <v>49</v>
      </c>
      <c r="M317" s="1">
        <f t="shared" si="83"/>
        <v>595</v>
      </c>
      <c r="N317" s="1" t="s">
        <v>417</v>
      </c>
      <c r="O317" s="1">
        <v>5.14</v>
      </c>
      <c r="P317" s="1">
        <f t="shared" si="92"/>
        <v>1</v>
      </c>
      <c r="Q317" s="1">
        <f t="shared" si="89"/>
        <v>1</v>
      </c>
      <c r="R317" s="1">
        <f t="shared" si="90"/>
        <v>1</v>
      </c>
      <c r="S317" s="1">
        <f t="shared" si="91"/>
        <v>1</v>
      </c>
      <c r="T317" s="1" t="s">
        <v>437</v>
      </c>
      <c r="U317" s="1"/>
      <c r="V317" s="1"/>
      <c r="W317" s="1"/>
      <c r="X317" s="1"/>
      <c r="Y317" s="1">
        <v>74</v>
      </c>
      <c r="Z317" s="1">
        <v>31</v>
      </c>
      <c r="AA317" s="1"/>
      <c r="AB317" s="1">
        <v>0</v>
      </c>
      <c r="AC317" s="98">
        <v>0</v>
      </c>
      <c r="AD317" s="172">
        <v>60</v>
      </c>
      <c r="AE317" s="1" t="s">
        <v>417</v>
      </c>
      <c r="AF317" s="1">
        <v>4.5</v>
      </c>
      <c r="AG317" s="1">
        <v>0.6</v>
      </c>
      <c r="AH317" s="1">
        <v>2.5</v>
      </c>
      <c r="AI317" s="1">
        <v>0.5</v>
      </c>
      <c r="AJ317" s="1"/>
      <c r="AK317" s="1"/>
      <c r="AL317" s="1">
        <v>0</v>
      </c>
    </row>
    <row r="318" spans="1:38" x14ac:dyDescent="0.25">
      <c r="A318" s="180" t="s">
        <v>133</v>
      </c>
      <c r="B318" s="1">
        <v>2</v>
      </c>
      <c r="C318" s="1" t="s">
        <v>418</v>
      </c>
      <c r="D318" s="13">
        <v>39119</v>
      </c>
      <c r="E318" s="174">
        <f t="shared" si="84"/>
        <v>2212</v>
      </c>
      <c r="F318" s="201"/>
      <c r="G318" s="13">
        <v>40834</v>
      </c>
      <c r="H318" s="13">
        <f t="shared" si="93"/>
        <v>40736</v>
      </c>
      <c r="I318" s="13">
        <v>41331</v>
      </c>
      <c r="J318" s="13"/>
      <c r="K318" s="1">
        <f t="shared" si="81"/>
        <v>1715</v>
      </c>
      <c r="L318" s="1">
        <f t="shared" si="82"/>
        <v>98</v>
      </c>
      <c r="M318" s="1">
        <f t="shared" si="83"/>
        <v>497</v>
      </c>
      <c r="N318" s="1" t="s">
        <v>417</v>
      </c>
      <c r="O318" s="1">
        <v>5.14</v>
      </c>
      <c r="P318" s="1"/>
      <c r="Q318" s="1">
        <f t="shared" si="89"/>
        <v>1</v>
      </c>
      <c r="R318" s="1">
        <f t="shared" si="90"/>
        <v>1</v>
      </c>
      <c r="S318" s="1">
        <f t="shared" si="91"/>
        <v>1</v>
      </c>
      <c r="T318" s="1" t="s">
        <v>442</v>
      </c>
      <c r="U318" s="1"/>
      <c r="V318" s="1"/>
      <c r="W318" s="1"/>
      <c r="X318" s="1"/>
      <c r="Y318" s="1">
        <v>70</v>
      </c>
      <c r="Z318" s="1">
        <v>29</v>
      </c>
      <c r="AA318" s="1"/>
      <c r="AB318" s="1">
        <v>0</v>
      </c>
      <c r="AC318" s="98">
        <v>0</v>
      </c>
      <c r="AD318" s="172">
        <v>60</v>
      </c>
      <c r="AE318" s="1" t="s">
        <v>417</v>
      </c>
      <c r="AF318" s="1">
        <v>4.5</v>
      </c>
      <c r="AG318" s="1">
        <v>0.6</v>
      </c>
      <c r="AH318" s="1">
        <v>2.5</v>
      </c>
      <c r="AI318" s="1">
        <v>0.5</v>
      </c>
      <c r="AJ318" s="1"/>
      <c r="AK318" s="1"/>
      <c r="AL318" s="1">
        <v>0</v>
      </c>
    </row>
    <row r="319" spans="1:38" x14ac:dyDescent="0.25">
      <c r="A319" s="180" t="s">
        <v>133</v>
      </c>
      <c r="B319" s="1">
        <v>2</v>
      </c>
      <c r="C319" s="1" t="s">
        <v>418</v>
      </c>
      <c r="D319" s="13">
        <v>39119</v>
      </c>
      <c r="E319" s="174">
        <f t="shared" si="84"/>
        <v>2212</v>
      </c>
      <c r="F319" s="201"/>
      <c r="G319" s="13">
        <v>40940</v>
      </c>
      <c r="H319" s="13">
        <f t="shared" si="93"/>
        <v>40834</v>
      </c>
      <c r="I319" s="13">
        <v>41331</v>
      </c>
      <c r="J319" s="13"/>
      <c r="K319" s="1">
        <f t="shared" si="81"/>
        <v>1821</v>
      </c>
      <c r="L319" s="1">
        <f t="shared" si="82"/>
        <v>106</v>
      </c>
      <c r="M319" s="1">
        <f t="shared" si="83"/>
        <v>391</v>
      </c>
      <c r="N319" s="1" t="s">
        <v>417</v>
      </c>
      <c r="O319" s="1">
        <v>5.13</v>
      </c>
      <c r="P319" s="1"/>
      <c r="Q319" s="1">
        <f t="shared" si="89"/>
        <v>1</v>
      </c>
      <c r="R319" s="1">
        <f t="shared" si="90"/>
        <v>1</v>
      </c>
      <c r="S319" s="1">
        <f t="shared" si="91"/>
        <v>1</v>
      </c>
      <c r="T319" s="1" t="s">
        <v>442</v>
      </c>
      <c r="U319" s="1"/>
      <c r="V319" s="1"/>
      <c r="W319" s="1"/>
      <c r="X319" s="1"/>
      <c r="Y319" s="1">
        <v>69</v>
      </c>
      <c r="Z319" s="1">
        <v>5</v>
      </c>
      <c r="AA319" s="1"/>
      <c r="AB319" s="1">
        <v>0</v>
      </c>
      <c r="AC319" s="98">
        <v>0</v>
      </c>
      <c r="AD319" s="172">
        <v>60</v>
      </c>
      <c r="AE319" s="1" t="s">
        <v>417</v>
      </c>
      <c r="AF319" s="1">
        <v>4.5</v>
      </c>
      <c r="AG319" s="1">
        <v>0.6</v>
      </c>
      <c r="AH319" s="1">
        <v>2.5</v>
      </c>
      <c r="AI319" s="1">
        <v>0.5</v>
      </c>
      <c r="AJ319" s="1"/>
      <c r="AK319" s="1"/>
      <c r="AL319" s="1">
        <v>0</v>
      </c>
    </row>
    <row r="320" spans="1:38" x14ac:dyDescent="0.25">
      <c r="A320" s="180" t="s">
        <v>133</v>
      </c>
      <c r="B320" s="1">
        <v>2</v>
      </c>
      <c r="C320" s="1" t="s">
        <v>418</v>
      </c>
      <c r="D320" s="13">
        <v>39119</v>
      </c>
      <c r="E320" s="174">
        <f t="shared" si="84"/>
        <v>2212</v>
      </c>
      <c r="F320" s="201"/>
      <c r="G320" s="13">
        <v>41100</v>
      </c>
      <c r="H320" s="13">
        <f t="shared" si="93"/>
        <v>40940</v>
      </c>
      <c r="I320" s="13">
        <v>41331</v>
      </c>
      <c r="J320" s="13"/>
      <c r="K320" s="1">
        <f t="shared" si="81"/>
        <v>1981</v>
      </c>
      <c r="L320" s="1">
        <f t="shared" si="82"/>
        <v>160</v>
      </c>
      <c r="M320" s="1">
        <f t="shared" si="83"/>
        <v>231</v>
      </c>
      <c r="N320" s="1" t="s">
        <v>417</v>
      </c>
      <c r="O320" s="1">
        <v>5.07</v>
      </c>
      <c r="P320" s="1"/>
      <c r="Q320" s="1"/>
      <c r="R320" s="1">
        <f t="shared" si="90"/>
        <v>1</v>
      </c>
      <c r="S320" s="1">
        <f t="shared" si="91"/>
        <v>1</v>
      </c>
      <c r="T320" s="1" t="s">
        <v>442</v>
      </c>
      <c r="U320" s="1"/>
      <c r="V320" s="1"/>
      <c r="W320" s="1"/>
      <c r="X320" s="1"/>
      <c r="Y320" s="1">
        <v>64</v>
      </c>
      <c r="Z320" s="1">
        <v>21</v>
      </c>
      <c r="AA320" s="1"/>
      <c r="AB320" s="1">
        <v>0</v>
      </c>
      <c r="AC320" s="98">
        <v>0</v>
      </c>
      <c r="AD320" s="172">
        <v>60</v>
      </c>
      <c r="AE320" s="1" t="s">
        <v>417</v>
      </c>
      <c r="AF320" s="1">
        <v>3</v>
      </c>
      <c r="AG320" s="1">
        <v>0.6</v>
      </c>
      <c r="AH320" s="1">
        <v>3</v>
      </c>
      <c r="AI320" s="1">
        <v>0.5</v>
      </c>
      <c r="AJ320" s="1"/>
      <c r="AK320" s="1"/>
      <c r="AL320" s="1">
        <v>0</v>
      </c>
    </row>
    <row r="321" spans="1:38" x14ac:dyDescent="0.25">
      <c r="A321" s="180" t="s">
        <v>133</v>
      </c>
      <c r="B321" s="1">
        <v>2</v>
      </c>
      <c r="C321" s="1" t="s">
        <v>418</v>
      </c>
      <c r="D321" s="13">
        <v>39119</v>
      </c>
      <c r="E321" s="174">
        <f t="shared" si="84"/>
        <v>2212</v>
      </c>
      <c r="F321" s="201"/>
      <c r="G321" s="13">
        <v>41331</v>
      </c>
      <c r="H321" s="13">
        <f t="shared" si="93"/>
        <v>41100</v>
      </c>
      <c r="I321" s="13">
        <v>41331</v>
      </c>
      <c r="J321" s="13"/>
      <c r="K321" s="1">
        <f t="shared" si="81"/>
        <v>2212</v>
      </c>
      <c r="L321" s="1">
        <f t="shared" si="82"/>
        <v>231</v>
      </c>
      <c r="M321" s="1">
        <f t="shared" si="83"/>
        <v>0</v>
      </c>
      <c r="N321" s="1" t="s">
        <v>434</v>
      </c>
      <c r="O321" s="1">
        <v>4.72</v>
      </c>
      <c r="P321" s="1"/>
      <c r="Q321" s="1"/>
      <c r="R321" s="1"/>
      <c r="S321" s="1"/>
      <c r="T321" s="1"/>
      <c r="U321" s="1">
        <v>0</v>
      </c>
      <c r="V321" s="1">
        <v>0</v>
      </c>
      <c r="W321" s="1">
        <v>1</v>
      </c>
      <c r="X321" s="1">
        <v>1</v>
      </c>
      <c r="Y321" s="1">
        <v>60</v>
      </c>
      <c r="Z321" s="1">
        <v>20</v>
      </c>
      <c r="AA321" s="1"/>
      <c r="AB321" s="1">
        <v>0</v>
      </c>
      <c r="AC321" s="98">
        <v>0</v>
      </c>
      <c r="AD321" s="172">
        <v>60</v>
      </c>
      <c r="AE321" s="1" t="s">
        <v>434</v>
      </c>
      <c r="AF321" s="1">
        <v>3</v>
      </c>
      <c r="AG321" s="1">
        <v>0.6</v>
      </c>
      <c r="AH321" s="1">
        <v>3</v>
      </c>
      <c r="AI321" s="1">
        <v>0.5</v>
      </c>
      <c r="AJ321" s="1"/>
      <c r="AK321" s="1"/>
      <c r="AL321" s="1">
        <v>0</v>
      </c>
    </row>
    <row r="322" spans="1:38" x14ac:dyDescent="0.25">
      <c r="A322" s="194" t="s">
        <v>135</v>
      </c>
      <c r="B322" s="1">
        <v>2</v>
      </c>
      <c r="C322" s="1" t="s">
        <v>418</v>
      </c>
      <c r="D322" s="13">
        <v>39161</v>
      </c>
      <c r="E322" s="174">
        <f t="shared" si="84"/>
        <v>2617</v>
      </c>
      <c r="F322"/>
      <c r="G322" s="61">
        <v>40211</v>
      </c>
      <c r="H322" s="13">
        <v>39161</v>
      </c>
      <c r="I322" s="13">
        <v>41778</v>
      </c>
      <c r="J322" s="169"/>
      <c r="K322" s="1">
        <f t="shared" ref="K322:K385" si="94">G322-D322</f>
        <v>1050</v>
      </c>
      <c r="L322" s="1">
        <f t="shared" ref="L322:L385" si="95">G322-H322</f>
        <v>1050</v>
      </c>
      <c r="M322" s="1">
        <f t="shared" ref="M322:M385" si="96">I322-G322</f>
        <v>1567</v>
      </c>
      <c r="N322" s="1" t="s">
        <v>417</v>
      </c>
      <c r="O322" s="57">
        <v>6.16</v>
      </c>
      <c r="P322" s="1">
        <f t="shared" si="92"/>
        <v>1</v>
      </c>
      <c r="Q322" s="1">
        <f t="shared" si="89"/>
        <v>1</v>
      </c>
      <c r="R322" s="1">
        <f t="shared" si="90"/>
        <v>1</v>
      </c>
      <c r="S322" s="1">
        <f t="shared" si="91"/>
        <v>1</v>
      </c>
      <c r="T322" s="1" t="s">
        <v>437</v>
      </c>
      <c r="Y322" s="57">
        <v>71</v>
      </c>
      <c r="Z322" s="57">
        <v>0</v>
      </c>
      <c r="AA322" s="1"/>
      <c r="AB322" s="1">
        <v>0</v>
      </c>
      <c r="AC322" s="98">
        <v>3</v>
      </c>
      <c r="AD322" s="172">
        <v>60</v>
      </c>
      <c r="AE322" s="1" t="s">
        <v>417</v>
      </c>
      <c r="AF322" s="57">
        <v>2</v>
      </c>
      <c r="AG322" s="57">
        <v>0.35</v>
      </c>
      <c r="AH322" s="57">
        <v>2.5</v>
      </c>
      <c r="AI322" s="57">
        <v>0.35</v>
      </c>
      <c r="AJ322" s="1"/>
      <c r="AK322" s="1"/>
      <c r="AL322" s="1">
        <v>0</v>
      </c>
    </row>
    <row r="323" spans="1:38" x14ac:dyDescent="0.25">
      <c r="A323" s="194" t="s">
        <v>135</v>
      </c>
      <c r="B323" s="1">
        <v>2</v>
      </c>
      <c r="C323" s="1" t="s">
        <v>418</v>
      </c>
      <c r="D323" s="13">
        <v>39161</v>
      </c>
      <c r="E323" s="174">
        <f t="shared" ref="E323:E386" si="97">I323-D323</f>
        <v>2617</v>
      </c>
      <c r="F323" s="1"/>
      <c r="G323" s="13">
        <v>40813</v>
      </c>
      <c r="H323" s="13">
        <f>G322</f>
        <v>40211</v>
      </c>
      <c r="I323" s="13">
        <v>41778</v>
      </c>
      <c r="J323" s="13"/>
      <c r="K323" s="1">
        <f t="shared" si="94"/>
        <v>1652</v>
      </c>
      <c r="L323" s="1">
        <f t="shared" si="95"/>
        <v>602</v>
      </c>
      <c r="M323" s="1">
        <f t="shared" si="96"/>
        <v>965</v>
      </c>
      <c r="N323" s="1" t="s">
        <v>417</v>
      </c>
      <c r="O323" s="1">
        <v>5.29</v>
      </c>
      <c r="P323" s="1">
        <f t="shared" si="92"/>
        <v>1</v>
      </c>
      <c r="Q323" s="1">
        <f t="shared" si="89"/>
        <v>1</v>
      </c>
      <c r="R323" s="1">
        <f t="shared" si="90"/>
        <v>1</v>
      </c>
      <c r="S323" s="1">
        <f t="shared" si="91"/>
        <v>1</v>
      </c>
      <c r="T323" s="1" t="s">
        <v>437</v>
      </c>
      <c r="U323" s="1"/>
      <c r="V323" s="1"/>
      <c r="W323" s="1"/>
      <c r="X323" s="1"/>
      <c r="Y323" s="1">
        <v>89</v>
      </c>
      <c r="Z323" s="1">
        <v>0</v>
      </c>
      <c r="AA323" s="1"/>
      <c r="AB323" s="1">
        <v>0</v>
      </c>
      <c r="AC323" s="98">
        <v>0</v>
      </c>
      <c r="AD323" s="172">
        <v>60</v>
      </c>
      <c r="AE323" s="1" t="s">
        <v>417</v>
      </c>
      <c r="AF323" s="1">
        <v>2</v>
      </c>
      <c r="AG323" s="1">
        <v>0.35</v>
      </c>
      <c r="AH323" s="1">
        <v>2.5</v>
      </c>
      <c r="AI323" s="1">
        <v>0.35</v>
      </c>
      <c r="AJ323" s="1"/>
      <c r="AK323" s="1"/>
      <c r="AL323" s="1">
        <v>0</v>
      </c>
    </row>
    <row r="324" spans="1:38" x14ac:dyDescent="0.25">
      <c r="A324" s="194" t="s">
        <v>135</v>
      </c>
      <c r="B324" s="1">
        <v>2</v>
      </c>
      <c r="C324" s="1" t="s">
        <v>418</v>
      </c>
      <c r="D324" s="13">
        <v>39161</v>
      </c>
      <c r="E324" s="174">
        <f t="shared" si="97"/>
        <v>2617</v>
      </c>
      <c r="F324" s="1"/>
      <c r="G324" s="13">
        <v>40995</v>
      </c>
      <c r="H324" s="13">
        <f t="shared" ref="H324:H331" si="98">G323</f>
        <v>40813</v>
      </c>
      <c r="I324" s="13">
        <v>41778</v>
      </c>
      <c r="J324" s="13"/>
      <c r="K324" s="1">
        <f t="shared" si="94"/>
        <v>1834</v>
      </c>
      <c r="L324" s="1">
        <f t="shared" si="95"/>
        <v>182</v>
      </c>
      <c r="M324" s="1">
        <f t="shared" si="96"/>
        <v>783</v>
      </c>
      <c r="N324" s="1" t="s">
        <v>417</v>
      </c>
      <c r="O324" s="1">
        <v>5.18</v>
      </c>
      <c r="P324" s="1">
        <f t="shared" si="92"/>
        <v>1</v>
      </c>
      <c r="Q324" s="1">
        <f t="shared" si="89"/>
        <v>1</v>
      </c>
      <c r="R324" s="1">
        <f t="shared" si="90"/>
        <v>1</v>
      </c>
      <c r="S324" s="1">
        <f t="shared" si="91"/>
        <v>1</v>
      </c>
      <c r="T324" s="1" t="s">
        <v>437</v>
      </c>
      <c r="U324" s="1"/>
      <c r="V324" s="1"/>
      <c r="W324" s="1"/>
      <c r="X324" s="1"/>
      <c r="Y324" s="1">
        <v>78</v>
      </c>
      <c r="Z324" s="1">
        <v>0</v>
      </c>
      <c r="AA324" s="1"/>
      <c r="AB324" s="1">
        <v>1</v>
      </c>
      <c r="AC324" s="98">
        <v>2</v>
      </c>
      <c r="AD324" s="172">
        <v>60</v>
      </c>
      <c r="AE324" s="1" t="s">
        <v>417</v>
      </c>
      <c r="AF324" s="1">
        <v>2</v>
      </c>
      <c r="AG324" s="1">
        <v>0.35</v>
      </c>
      <c r="AH324" s="1">
        <v>2.5</v>
      </c>
      <c r="AI324" s="1">
        <v>0.35</v>
      </c>
      <c r="AJ324" s="1"/>
      <c r="AK324" s="1"/>
      <c r="AL324" s="1">
        <v>0</v>
      </c>
    </row>
    <row r="325" spans="1:38" x14ac:dyDescent="0.25">
      <c r="A325" s="194" t="s">
        <v>135</v>
      </c>
      <c r="B325" s="1">
        <v>2</v>
      </c>
      <c r="C325" s="1" t="s">
        <v>418</v>
      </c>
      <c r="D325" s="13">
        <v>39161</v>
      </c>
      <c r="E325" s="174">
        <f t="shared" si="97"/>
        <v>2617</v>
      </c>
      <c r="F325" s="1"/>
      <c r="G325" s="13">
        <v>41198</v>
      </c>
      <c r="H325" s="13">
        <f t="shared" si="98"/>
        <v>40995</v>
      </c>
      <c r="I325" s="13">
        <v>41778</v>
      </c>
      <c r="J325" s="13"/>
      <c r="K325" s="1">
        <f t="shared" si="94"/>
        <v>2037</v>
      </c>
      <c r="L325" s="1">
        <f t="shared" si="95"/>
        <v>203</v>
      </c>
      <c r="M325" s="1">
        <f t="shared" si="96"/>
        <v>580</v>
      </c>
      <c r="N325" s="1" t="s">
        <v>417</v>
      </c>
      <c r="O325" s="1">
        <v>5.16</v>
      </c>
      <c r="P325" s="1">
        <f t="shared" si="92"/>
        <v>1</v>
      </c>
      <c r="Q325" s="1">
        <f t="shared" si="89"/>
        <v>1</v>
      </c>
      <c r="R325" s="1">
        <f t="shared" si="90"/>
        <v>1</v>
      </c>
      <c r="S325" s="1">
        <f t="shared" si="91"/>
        <v>1</v>
      </c>
      <c r="T325" s="1" t="s">
        <v>437</v>
      </c>
      <c r="U325" s="1"/>
      <c r="V325" s="1"/>
      <c r="W325" s="1"/>
      <c r="X325" s="1"/>
      <c r="Y325" s="1">
        <v>57</v>
      </c>
      <c r="Z325" s="1">
        <v>17</v>
      </c>
      <c r="AA325" s="1"/>
      <c r="AB325" s="1">
        <v>0</v>
      </c>
      <c r="AC325" s="98">
        <v>0</v>
      </c>
      <c r="AD325" s="172">
        <v>60</v>
      </c>
      <c r="AE325" s="1" t="s">
        <v>417</v>
      </c>
      <c r="AF325" s="1">
        <v>2</v>
      </c>
      <c r="AG325" s="1">
        <v>0.35</v>
      </c>
      <c r="AH325" s="1">
        <v>2.5</v>
      </c>
      <c r="AI325" s="1">
        <v>0.35</v>
      </c>
      <c r="AJ325" s="1"/>
      <c r="AK325" s="1"/>
      <c r="AL325" s="1">
        <v>0</v>
      </c>
    </row>
    <row r="326" spans="1:38" x14ac:dyDescent="0.25">
      <c r="A326" s="194" t="s">
        <v>135</v>
      </c>
      <c r="B326" s="1">
        <v>2</v>
      </c>
      <c r="C326" s="1" t="s">
        <v>418</v>
      </c>
      <c r="D326" s="13">
        <v>39161</v>
      </c>
      <c r="E326" s="174">
        <f t="shared" si="97"/>
        <v>2617</v>
      </c>
      <c r="F326" s="1"/>
      <c r="G326" s="13">
        <v>41208</v>
      </c>
      <c r="H326" s="13">
        <f t="shared" si="98"/>
        <v>41198</v>
      </c>
      <c r="I326" s="13">
        <v>41778</v>
      </c>
      <c r="J326" s="13"/>
      <c r="K326" s="1">
        <f t="shared" si="94"/>
        <v>2047</v>
      </c>
      <c r="L326" s="1">
        <f t="shared" si="95"/>
        <v>10</v>
      </c>
      <c r="M326" s="1">
        <f t="shared" si="96"/>
        <v>570</v>
      </c>
      <c r="N326" s="1" t="s">
        <v>417</v>
      </c>
      <c r="O326" s="1">
        <v>5.16</v>
      </c>
      <c r="P326" s="1">
        <f t="shared" si="92"/>
        <v>1</v>
      </c>
      <c r="Q326" s="1">
        <f t="shared" si="89"/>
        <v>1</v>
      </c>
      <c r="R326" s="1">
        <f t="shared" si="90"/>
        <v>1</v>
      </c>
      <c r="S326" s="1">
        <f t="shared" si="91"/>
        <v>1</v>
      </c>
      <c r="T326" s="1" t="s">
        <v>437</v>
      </c>
      <c r="U326" s="1"/>
      <c r="V326" s="1"/>
      <c r="W326" s="1"/>
      <c r="X326" s="1"/>
      <c r="Y326" s="1">
        <v>0</v>
      </c>
      <c r="Z326" s="1">
        <v>68</v>
      </c>
      <c r="AA326" s="1"/>
      <c r="AB326" s="1">
        <v>0</v>
      </c>
      <c r="AC326" s="98">
        <v>0</v>
      </c>
      <c r="AD326" s="172">
        <v>60</v>
      </c>
      <c r="AE326" s="1" t="s">
        <v>417</v>
      </c>
      <c r="AF326" s="1">
        <v>2</v>
      </c>
      <c r="AG326" s="1">
        <v>0.35</v>
      </c>
      <c r="AH326" s="1">
        <v>2.5</v>
      </c>
      <c r="AI326" s="1">
        <v>0.35</v>
      </c>
      <c r="AJ326" s="1"/>
      <c r="AK326" s="1"/>
      <c r="AL326" s="1">
        <v>0</v>
      </c>
    </row>
    <row r="327" spans="1:38" x14ac:dyDescent="0.25">
      <c r="A327" s="194" t="s">
        <v>135</v>
      </c>
      <c r="B327" s="1">
        <v>2</v>
      </c>
      <c r="C327" s="1" t="s">
        <v>418</v>
      </c>
      <c r="D327" s="13">
        <v>39161</v>
      </c>
      <c r="E327" s="174">
        <f t="shared" si="97"/>
        <v>2617</v>
      </c>
      <c r="F327" s="1"/>
      <c r="G327" s="13">
        <v>41351</v>
      </c>
      <c r="H327" s="13">
        <f t="shared" si="98"/>
        <v>41208</v>
      </c>
      <c r="I327" s="13">
        <v>41778</v>
      </c>
      <c r="J327" s="13"/>
      <c r="K327" s="1">
        <f t="shared" si="94"/>
        <v>2190</v>
      </c>
      <c r="L327" s="1">
        <f t="shared" si="95"/>
        <v>143</v>
      </c>
      <c r="M327" s="1">
        <f t="shared" si="96"/>
        <v>427</v>
      </c>
      <c r="N327" s="1" t="s">
        <v>417</v>
      </c>
      <c r="O327" s="1">
        <v>5.15</v>
      </c>
      <c r="P327" s="1"/>
      <c r="Q327" s="1">
        <f t="shared" si="89"/>
        <v>1</v>
      </c>
      <c r="R327" s="1">
        <f t="shared" si="90"/>
        <v>1</v>
      </c>
      <c r="S327" s="1">
        <f t="shared" si="91"/>
        <v>1</v>
      </c>
      <c r="T327" s="1" t="s">
        <v>442</v>
      </c>
      <c r="U327" s="1"/>
      <c r="V327" s="1"/>
      <c r="W327" s="1"/>
      <c r="X327" s="1"/>
      <c r="Y327" s="1">
        <v>99</v>
      </c>
      <c r="Z327" s="1">
        <v>0</v>
      </c>
      <c r="AA327" s="1"/>
      <c r="AB327" s="1">
        <v>0</v>
      </c>
      <c r="AC327" s="98">
        <v>0</v>
      </c>
      <c r="AD327" s="172">
        <v>60</v>
      </c>
      <c r="AE327" s="1" t="s">
        <v>434</v>
      </c>
      <c r="AF327" s="1">
        <v>2</v>
      </c>
      <c r="AG327" s="1">
        <v>0.35</v>
      </c>
      <c r="AH327" s="1">
        <v>2.5</v>
      </c>
      <c r="AI327" s="1">
        <v>0.35</v>
      </c>
      <c r="AJ327" s="1"/>
      <c r="AK327" s="1"/>
      <c r="AL327" s="1">
        <v>0</v>
      </c>
    </row>
    <row r="328" spans="1:38" x14ac:dyDescent="0.25">
      <c r="A328" s="194" t="s">
        <v>135</v>
      </c>
      <c r="B328" s="1">
        <v>2</v>
      </c>
      <c r="C328" s="1" t="s">
        <v>418</v>
      </c>
      <c r="D328" s="13">
        <v>39161</v>
      </c>
      <c r="E328" s="174">
        <f t="shared" si="97"/>
        <v>2617</v>
      </c>
      <c r="F328" s="1"/>
      <c r="G328" s="13">
        <v>41428</v>
      </c>
      <c r="H328" s="13">
        <f t="shared" si="98"/>
        <v>41351</v>
      </c>
      <c r="I328" s="13">
        <v>41778</v>
      </c>
      <c r="J328" s="13"/>
      <c r="K328" s="1">
        <f t="shared" si="94"/>
        <v>2267</v>
      </c>
      <c r="L328" s="1">
        <f t="shared" si="95"/>
        <v>77</v>
      </c>
      <c r="M328" s="1">
        <f t="shared" si="96"/>
        <v>350</v>
      </c>
      <c r="N328" s="1" t="s">
        <v>417</v>
      </c>
      <c r="O328" s="1">
        <v>5.14</v>
      </c>
      <c r="P328" s="1"/>
      <c r="Q328" s="1"/>
      <c r="R328" s="1">
        <f t="shared" si="90"/>
        <v>1</v>
      </c>
      <c r="S328" s="1">
        <f t="shared" si="91"/>
        <v>1</v>
      </c>
      <c r="T328" s="1" t="s">
        <v>442</v>
      </c>
      <c r="U328" s="1"/>
      <c r="V328" s="1"/>
      <c r="W328" s="1"/>
      <c r="X328" s="1"/>
      <c r="Y328" s="1">
        <v>99</v>
      </c>
      <c r="Z328" s="1">
        <v>3</v>
      </c>
      <c r="AA328" s="1"/>
      <c r="AB328" s="1">
        <v>0</v>
      </c>
      <c r="AC328" s="98">
        <v>0</v>
      </c>
      <c r="AD328" s="172">
        <v>60</v>
      </c>
      <c r="AE328" s="1" t="s">
        <v>434</v>
      </c>
      <c r="AF328" s="1">
        <v>2</v>
      </c>
      <c r="AG328" s="1">
        <v>0.35</v>
      </c>
      <c r="AH328" s="1">
        <v>2.5</v>
      </c>
      <c r="AI328" s="1">
        <v>0.35</v>
      </c>
      <c r="AJ328" s="1"/>
      <c r="AK328" s="1"/>
      <c r="AL328" s="1">
        <v>0</v>
      </c>
    </row>
    <row r="329" spans="1:38" x14ac:dyDescent="0.25">
      <c r="A329" s="194" t="s">
        <v>135</v>
      </c>
      <c r="B329" s="1">
        <v>2</v>
      </c>
      <c r="C329" s="1" t="s">
        <v>418</v>
      </c>
      <c r="D329" s="13">
        <v>39161</v>
      </c>
      <c r="E329" s="174">
        <f t="shared" si="97"/>
        <v>2617</v>
      </c>
      <c r="F329" s="1"/>
      <c r="G329" s="13">
        <v>41547</v>
      </c>
      <c r="H329" s="13">
        <f t="shared" si="98"/>
        <v>41428</v>
      </c>
      <c r="I329" s="13">
        <v>41778</v>
      </c>
      <c r="J329" s="13"/>
      <c r="K329" s="1">
        <f t="shared" si="94"/>
        <v>2386</v>
      </c>
      <c r="L329" s="1">
        <f t="shared" si="95"/>
        <v>119</v>
      </c>
      <c r="M329" s="1">
        <f t="shared" si="96"/>
        <v>231</v>
      </c>
      <c r="N329" s="1" t="s">
        <v>417</v>
      </c>
      <c r="O329" s="1">
        <v>5.12</v>
      </c>
      <c r="P329" s="1"/>
      <c r="Q329" s="1"/>
      <c r="R329" s="1">
        <f t="shared" si="90"/>
        <v>1</v>
      </c>
      <c r="S329" s="1">
        <f t="shared" si="91"/>
        <v>1</v>
      </c>
      <c r="T329" s="1" t="s">
        <v>442</v>
      </c>
      <c r="U329" s="1"/>
      <c r="V329" s="1"/>
      <c r="W329" s="1"/>
      <c r="X329" s="1"/>
      <c r="Y329" s="1">
        <v>100</v>
      </c>
      <c r="Z329" s="1">
        <v>13</v>
      </c>
      <c r="AA329" s="1"/>
      <c r="AB329" s="1">
        <v>0</v>
      </c>
      <c r="AC329" s="98">
        <v>0</v>
      </c>
      <c r="AD329" s="172">
        <v>60</v>
      </c>
      <c r="AE329" s="1" t="s">
        <v>434</v>
      </c>
      <c r="AF329" s="1">
        <v>2</v>
      </c>
      <c r="AG329" s="1">
        <v>0.35</v>
      </c>
      <c r="AH329" s="1">
        <v>2.5</v>
      </c>
      <c r="AI329" s="1">
        <v>0.35</v>
      </c>
      <c r="AJ329" s="1"/>
      <c r="AK329" s="1"/>
      <c r="AL329" s="1">
        <v>0</v>
      </c>
    </row>
    <row r="330" spans="1:38" x14ac:dyDescent="0.25">
      <c r="A330" s="194" t="s">
        <v>135</v>
      </c>
      <c r="B330" s="1">
        <v>2</v>
      </c>
      <c r="C330" s="1" t="s">
        <v>418</v>
      </c>
      <c r="D330" s="13">
        <v>39161</v>
      </c>
      <c r="E330" s="174">
        <f t="shared" si="97"/>
        <v>2617</v>
      </c>
      <c r="F330" s="1"/>
      <c r="G330" s="13">
        <v>41723</v>
      </c>
      <c r="H330" s="13">
        <f t="shared" si="98"/>
        <v>41547</v>
      </c>
      <c r="I330" s="13">
        <v>41778</v>
      </c>
      <c r="J330" s="13"/>
      <c r="K330" s="1">
        <f t="shared" si="94"/>
        <v>2562</v>
      </c>
      <c r="L330" s="1">
        <f t="shared" si="95"/>
        <v>176</v>
      </c>
      <c r="M330" s="1">
        <f t="shared" si="96"/>
        <v>55</v>
      </c>
      <c r="N330" s="1" t="s">
        <v>417</v>
      </c>
      <c r="O330" s="1">
        <v>5.04</v>
      </c>
      <c r="P330" s="1"/>
      <c r="Q330" s="1"/>
      <c r="R330" s="1"/>
      <c r="S330" s="1"/>
      <c r="T330" s="1" t="s">
        <v>442</v>
      </c>
      <c r="U330" s="1"/>
      <c r="V330" s="1"/>
      <c r="W330" s="1"/>
      <c r="X330" s="1"/>
      <c r="Y330" s="1">
        <v>99</v>
      </c>
      <c r="Z330" s="1">
        <v>31</v>
      </c>
      <c r="AA330" s="1"/>
      <c r="AB330" s="1">
        <v>0</v>
      </c>
      <c r="AC330" s="98">
        <v>0</v>
      </c>
      <c r="AD330" s="172">
        <v>60</v>
      </c>
      <c r="AE330" s="1" t="s">
        <v>434</v>
      </c>
      <c r="AF330" s="1">
        <v>2</v>
      </c>
      <c r="AG330" s="1">
        <v>0.35</v>
      </c>
      <c r="AH330" s="1">
        <v>2.5</v>
      </c>
      <c r="AI330" s="1">
        <v>0.35</v>
      </c>
      <c r="AJ330" s="1"/>
      <c r="AK330" s="1"/>
      <c r="AL330" s="1">
        <v>0</v>
      </c>
    </row>
    <row r="331" spans="1:38" x14ac:dyDescent="0.25">
      <c r="A331" s="194" t="s">
        <v>135</v>
      </c>
      <c r="B331" s="1">
        <v>2</v>
      </c>
      <c r="C331" s="1" t="s">
        <v>418</v>
      </c>
      <c r="D331" s="13">
        <v>39161</v>
      </c>
      <c r="E331" s="174">
        <f t="shared" si="97"/>
        <v>2617</v>
      </c>
      <c r="F331"/>
      <c r="G331" s="13">
        <v>41778</v>
      </c>
      <c r="H331" s="13">
        <f t="shared" si="98"/>
        <v>41723</v>
      </c>
      <c r="I331" s="13">
        <v>41778</v>
      </c>
      <c r="J331" s="169"/>
      <c r="K331" s="1">
        <f t="shared" si="94"/>
        <v>2617</v>
      </c>
      <c r="L331" s="1">
        <f t="shared" si="95"/>
        <v>55</v>
      </c>
      <c r="M331" s="1">
        <f t="shared" si="96"/>
        <v>0</v>
      </c>
      <c r="N331" s="1" t="s">
        <v>417</v>
      </c>
      <c r="O331" s="4">
        <v>4.97</v>
      </c>
      <c r="P331" s="1"/>
      <c r="Q331" s="1"/>
      <c r="R331" s="1"/>
      <c r="S331" s="1"/>
      <c r="T331" s="1"/>
      <c r="Y331" s="4">
        <v>63</v>
      </c>
      <c r="Z331" s="4">
        <v>71</v>
      </c>
      <c r="AA331" s="1"/>
      <c r="AB331" s="1">
        <v>0</v>
      </c>
      <c r="AC331" s="98">
        <v>0</v>
      </c>
      <c r="AD331" s="172">
        <v>60</v>
      </c>
      <c r="AE331" s="1" t="s">
        <v>434</v>
      </c>
      <c r="AF331" s="4">
        <v>2</v>
      </c>
      <c r="AG331" s="4">
        <v>0.35</v>
      </c>
      <c r="AH331" s="4">
        <v>2.5</v>
      </c>
      <c r="AI331" s="4">
        <v>0.35</v>
      </c>
      <c r="AJ331" s="1"/>
      <c r="AK331" s="1"/>
      <c r="AL331" s="1">
        <v>0</v>
      </c>
    </row>
    <row r="332" spans="1:38" x14ac:dyDescent="0.25">
      <c r="A332" s="195" t="s">
        <v>144</v>
      </c>
      <c r="B332" s="1">
        <v>2</v>
      </c>
      <c r="C332" s="1" t="s">
        <v>418</v>
      </c>
      <c r="D332" s="13">
        <v>39567</v>
      </c>
      <c r="E332" s="174">
        <f t="shared" si="97"/>
        <v>2505</v>
      </c>
      <c r="F332" s="1"/>
      <c r="G332" s="61">
        <v>40092</v>
      </c>
      <c r="H332" s="13">
        <v>39567</v>
      </c>
      <c r="I332" s="13">
        <v>42072</v>
      </c>
      <c r="J332" s="13"/>
      <c r="K332" s="1">
        <f t="shared" si="94"/>
        <v>525</v>
      </c>
      <c r="L332" s="1">
        <f t="shared" si="95"/>
        <v>525</v>
      </c>
      <c r="M332" s="1">
        <f t="shared" si="96"/>
        <v>1980</v>
      </c>
      <c r="N332" s="1" t="s">
        <v>417</v>
      </c>
      <c r="O332" s="57">
        <v>6.36</v>
      </c>
      <c r="P332" s="1">
        <f t="shared" si="92"/>
        <v>1</v>
      </c>
      <c r="Q332" s="1">
        <f t="shared" si="89"/>
        <v>1</v>
      </c>
      <c r="R332" s="1">
        <f t="shared" si="90"/>
        <v>1</v>
      </c>
      <c r="S332" s="1">
        <f t="shared" si="91"/>
        <v>1</v>
      </c>
      <c r="T332" s="1" t="s">
        <v>437</v>
      </c>
      <c r="U332" s="1"/>
      <c r="V332" s="1"/>
      <c r="W332" s="1"/>
      <c r="X332" s="1"/>
      <c r="Y332" s="57">
        <v>34</v>
      </c>
      <c r="Z332" s="57">
        <v>4</v>
      </c>
      <c r="AA332" s="1"/>
      <c r="AB332" s="1">
        <v>0</v>
      </c>
      <c r="AC332" s="98">
        <v>0</v>
      </c>
      <c r="AD332" s="172">
        <v>60</v>
      </c>
      <c r="AE332" s="1" t="s">
        <v>417</v>
      </c>
      <c r="AF332" s="57">
        <v>2</v>
      </c>
      <c r="AG332" s="57">
        <v>0.35</v>
      </c>
      <c r="AH332" s="57">
        <v>3.5</v>
      </c>
      <c r="AI332" s="57">
        <v>0.35</v>
      </c>
      <c r="AJ332" s="1"/>
      <c r="AK332" s="1"/>
      <c r="AL332" s="1">
        <v>0</v>
      </c>
    </row>
    <row r="333" spans="1:38" x14ac:dyDescent="0.25">
      <c r="A333" s="195" t="s">
        <v>144</v>
      </c>
      <c r="B333" s="1">
        <v>2</v>
      </c>
      <c r="C333" s="1" t="s">
        <v>418</v>
      </c>
      <c r="D333" s="13">
        <v>39567</v>
      </c>
      <c r="E333" s="174">
        <f t="shared" si="97"/>
        <v>2505</v>
      </c>
      <c r="F333" s="1"/>
      <c r="G333" s="13">
        <v>40365</v>
      </c>
      <c r="H333" s="13">
        <f>G332</f>
        <v>40092</v>
      </c>
      <c r="I333" s="13">
        <v>42072</v>
      </c>
      <c r="J333" s="13"/>
      <c r="K333" s="1">
        <f t="shared" si="94"/>
        <v>798</v>
      </c>
      <c r="L333" s="1">
        <f t="shared" si="95"/>
        <v>273</v>
      </c>
      <c r="M333" s="1">
        <f t="shared" si="96"/>
        <v>1707</v>
      </c>
      <c r="N333" s="1" t="s">
        <v>417</v>
      </c>
      <c r="O333" s="4">
        <v>6.22</v>
      </c>
      <c r="P333" s="1">
        <f t="shared" si="92"/>
        <v>1</v>
      </c>
      <c r="Q333" s="1">
        <f t="shared" si="89"/>
        <v>1</v>
      </c>
      <c r="R333" s="1">
        <f t="shared" si="90"/>
        <v>1</v>
      </c>
      <c r="S333" s="1">
        <f t="shared" si="91"/>
        <v>1</v>
      </c>
      <c r="T333" s="1" t="s">
        <v>437</v>
      </c>
      <c r="U333" s="1"/>
      <c r="V333" s="1"/>
      <c r="W333" s="1"/>
      <c r="X333" s="1"/>
      <c r="Y333" s="4">
        <v>37</v>
      </c>
      <c r="Z333" s="4">
        <v>4</v>
      </c>
      <c r="AA333" s="1"/>
      <c r="AB333" s="1">
        <v>0</v>
      </c>
      <c r="AC333" s="98">
        <v>0</v>
      </c>
      <c r="AD333" s="172">
        <v>60</v>
      </c>
      <c r="AE333" s="1" t="s">
        <v>434</v>
      </c>
      <c r="AF333" s="4">
        <v>2</v>
      </c>
      <c r="AG333" s="4">
        <v>0.35</v>
      </c>
      <c r="AH333" s="4">
        <v>3.5</v>
      </c>
      <c r="AI333" s="4">
        <v>0.35</v>
      </c>
      <c r="AJ333" s="1"/>
      <c r="AK333" s="1"/>
      <c r="AL333" s="1">
        <v>0</v>
      </c>
    </row>
    <row r="334" spans="1:38" x14ac:dyDescent="0.25">
      <c r="A334" s="195" t="s">
        <v>144</v>
      </c>
      <c r="B334" s="1">
        <v>2</v>
      </c>
      <c r="C334" s="1" t="s">
        <v>418</v>
      </c>
      <c r="D334" s="13">
        <v>39567</v>
      </c>
      <c r="E334" s="174">
        <f t="shared" si="97"/>
        <v>2505</v>
      </c>
      <c r="F334" s="1"/>
      <c r="G334" s="13">
        <v>40720</v>
      </c>
      <c r="H334" s="13">
        <f t="shared" ref="H334:H346" si="99">G333</f>
        <v>40365</v>
      </c>
      <c r="I334" s="13">
        <v>42072</v>
      </c>
      <c r="J334" s="13"/>
      <c r="K334" s="1">
        <f t="shared" si="94"/>
        <v>1153</v>
      </c>
      <c r="L334" s="1">
        <f t="shared" si="95"/>
        <v>355</v>
      </c>
      <c r="M334" s="1">
        <f t="shared" si="96"/>
        <v>1352</v>
      </c>
      <c r="N334" s="1" t="s">
        <v>417</v>
      </c>
      <c r="O334" s="1">
        <v>5.61</v>
      </c>
      <c r="P334" s="1">
        <f t="shared" si="92"/>
        <v>1</v>
      </c>
      <c r="Q334" s="1">
        <f t="shared" si="89"/>
        <v>1</v>
      </c>
      <c r="R334" s="1">
        <f t="shared" si="90"/>
        <v>1</v>
      </c>
      <c r="S334" s="1">
        <f t="shared" si="91"/>
        <v>1</v>
      </c>
      <c r="T334" s="1" t="s">
        <v>437</v>
      </c>
      <c r="U334" s="1"/>
      <c r="V334" s="1"/>
      <c r="W334" s="1"/>
      <c r="X334" s="1"/>
      <c r="Y334" s="1">
        <v>33</v>
      </c>
      <c r="Z334" s="1">
        <v>73</v>
      </c>
      <c r="AA334" s="1"/>
      <c r="AB334" s="1">
        <v>0</v>
      </c>
      <c r="AC334" s="98">
        <v>0</v>
      </c>
      <c r="AD334" s="172">
        <v>60</v>
      </c>
      <c r="AE334" s="1" t="s">
        <v>417</v>
      </c>
      <c r="AF334" s="1">
        <v>2</v>
      </c>
      <c r="AG334" s="1">
        <v>0.35</v>
      </c>
      <c r="AH334" s="1">
        <v>3.5</v>
      </c>
      <c r="AI334" s="1">
        <v>0.35</v>
      </c>
      <c r="AJ334" s="1"/>
      <c r="AK334" s="1"/>
      <c r="AL334" s="1">
        <v>0</v>
      </c>
    </row>
    <row r="335" spans="1:38" x14ac:dyDescent="0.25">
      <c r="A335" s="195" t="s">
        <v>144</v>
      </c>
      <c r="B335" s="1">
        <v>2</v>
      </c>
      <c r="C335" s="1" t="s">
        <v>418</v>
      </c>
      <c r="D335" s="13">
        <v>39567</v>
      </c>
      <c r="E335" s="174">
        <f t="shared" si="97"/>
        <v>2505</v>
      </c>
      <c r="F335" s="1"/>
      <c r="G335" s="13">
        <v>40905</v>
      </c>
      <c r="H335" s="13">
        <f t="shared" si="99"/>
        <v>40720</v>
      </c>
      <c r="I335" s="13">
        <v>42072</v>
      </c>
      <c r="J335" s="13"/>
      <c r="K335" s="1">
        <f t="shared" si="94"/>
        <v>1338</v>
      </c>
      <c r="L335" s="1">
        <f t="shared" si="95"/>
        <v>185</v>
      </c>
      <c r="M335" s="1">
        <f t="shared" si="96"/>
        <v>1167</v>
      </c>
      <c r="N335" s="1" t="s">
        <v>417</v>
      </c>
      <c r="O335" s="1">
        <v>5.25</v>
      </c>
      <c r="P335" s="1">
        <f t="shared" si="92"/>
        <v>1</v>
      </c>
      <c r="Q335" s="1">
        <f t="shared" si="89"/>
        <v>1</v>
      </c>
      <c r="R335" s="1">
        <f t="shared" si="90"/>
        <v>1</v>
      </c>
      <c r="S335" s="1">
        <f t="shared" si="91"/>
        <v>1</v>
      </c>
      <c r="T335" s="1" t="s">
        <v>437</v>
      </c>
      <c r="U335" s="1"/>
      <c r="V335" s="1"/>
      <c r="W335" s="1"/>
      <c r="X335" s="1"/>
      <c r="Y335" s="1">
        <v>33</v>
      </c>
      <c r="Z335" s="1">
        <v>75</v>
      </c>
      <c r="AA335" s="1"/>
      <c r="AB335" s="1">
        <v>0</v>
      </c>
      <c r="AC335" s="98">
        <v>0</v>
      </c>
      <c r="AD335" s="172">
        <v>60</v>
      </c>
      <c r="AE335" s="1" t="s">
        <v>417</v>
      </c>
      <c r="AF335" s="1">
        <v>2</v>
      </c>
      <c r="AG335" s="1">
        <v>0.35</v>
      </c>
      <c r="AH335" s="1">
        <v>3.5</v>
      </c>
      <c r="AI335" s="1">
        <v>0.35</v>
      </c>
      <c r="AJ335" s="1"/>
      <c r="AK335" s="1"/>
      <c r="AL335" s="1">
        <v>0</v>
      </c>
    </row>
    <row r="336" spans="1:38" x14ac:dyDescent="0.25">
      <c r="A336" s="195" t="s">
        <v>144</v>
      </c>
      <c r="B336" s="1">
        <v>2</v>
      </c>
      <c r="C336" s="1" t="s">
        <v>418</v>
      </c>
      <c r="D336" s="13">
        <v>39567</v>
      </c>
      <c r="E336" s="174">
        <f t="shared" si="97"/>
        <v>2505</v>
      </c>
      <c r="F336" s="1"/>
      <c r="G336" s="13">
        <v>41058</v>
      </c>
      <c r="H336" s="13">
        <f t="shared" si="99"/>
        <v>40905</v>
      </c>
      <c r="I336" s="13">
        <v>42072</v>
      </c>
      <c r="J336" s="13"/>
      <c r="K336" s="1">
        <f t="shared" si="94"/>
        <v>1491</v>
      </c>
      <c r="L336" s="1">
        <f t="shared" si="95"/>
        <v>153</v>
      </c>
      <c r="M336" s="1">
        <f t="shared" si="96"/>
        <v>1014</v>
      </c>
      <c r="N336" s="1" t="s">
        <v>417</v>
      </c>
      <c r="O336" s="1">
        <v>5.2</v>
      </c>
      <c r="P336" s="1">
        <f t="shared" si="92"/>
        <v>1</v>
      </c>
      <c r="Q336" s="1">
        <f t="shared" si="89"/>
        <v>1</v>
      </c>
      <c r="R336" s="1">
        <f t="shared" si="90"/>
        <v>1</v>
      </c>
      <c r="S336" s="1">
        <f t="shared" si="91"/>
        <v>1</v>
      </c>
      <c r="T336" s="1" t="s">
        <v>437</v>
      </c>
      <c r="U336" s="1"/>
      <c r="V336" s="1"/>
      <c r="W336" s="1"/>
      <c r="X336" s="1"/>
      <c r="Y336" s="1">
        <v>79</v>
      </c>
      <c r="Z336" s="1">
        <v>89</v>
      </c>
      <c r="AA336" s="1"/>
      <c r="AB336" s="1">
        <v>0</v>
      </c>
      <c r="AC336" s="98">
        <v>0</v>
      </c>
      <c r="AD336" s="172">
        <v>60</v>
      </c>
      <c r="AE336" s="1" t="s">
        <v>417</v>
      </c>
      <c r="AF336" s="1">
        <v>2</v>
      </c>
      <c r="AG336" s="1">
        <v>0.35</v>
      </c>
      <c r="AH336" s="1">
        <v>3.5</v>
      </c>
      <c r="AI336" s="1">
        <v>0.35</v>
      </c>
      <c r="AJ336" s="1"/>
      <c r="AK336" s="1"/>
      <c r="AL336" s="1">
        <v>0</v>
      </c>
    </row>
    <row r="337" spans="1:38" x14ac:dyDescent="0.25">
      <c r="A337" s="195" t="s">
        <v>144</v>
      </c>
      <c r="B337" s="1">
        <v>2</v>
      </c>
      <c r="C337" s="1" t="s">
        <v>418</v>
      </c>
      <c r="D337" s="13">
        <v>39567</v>
      </c>
      <c r="E337" s="174">
        <f t="shared" si="97"/>
        <v>2505</v>
      </c>
      <c r="F337" s="1"/>
      <c r="G337" s="13">
        <v>41171</v>
      </c>
      <c r="H337" s="13">
        <f t="shared" si="99"/>
        <v>41058</v>
      </c>
      <c r="I337" s="13">
        <v>42072</v>
      </c>
      <c r="J337" s="13"/>
      <c r="K337" s="1">
        <f t="shared" si="94"/>
        <v>1604</v>
      </c>
      <c r="L337" s="1">
        <f t="shared" si="95"/>
        <v>113</v>
      </c>
      <c r="M337" s="1">
        <f t="shared" si="96"/>
        <v>901</v>
      </c>
      <c r="N337" s="1" t="s">
        <v>417</v>
      </c>
      <c r="O337" s="1">
        <v>5.17</v>
      </c>
      <c r="P337" s="1">
        <f t="shared" si="92"/>
        <v>1</v>
      </c>
      <c r="Q337" s="1">
        <f t="shared" si="89"/>
        <v>1</v>
      </c>
      <c r="R337" s="1">
        <f t="shared" si="90"/>
        <v>1</v>
      </c>
      <c r="S337" s="1">
        <f t="shared" si="91"/>
        <v>1</v>
      </c>
      <c r="T337" s="1" t="s">
        <v>437</v>
      </c>
      <c r="U337" s="1"/>
      <c r="V337" s="1"/>
      <c r="W337" s="1"/>
      <c r="X337" s="1"/>
      <c r="Y337" s="1">
        <v>59</v>
      </c>
      <c r="Z337" s="1">
        <v>96</v>
      </c>
      <c r="AA337" s="1"/>
      <c r="AB337" s="1">
        <v>0</v>
      </c>
      <c r="AC337" s="98">
        <v>0</v>
      </c>
      <c r="AD337" s="172">
        <v>60</v>
      </c>
      <c r="AE337" s="1" t="s">
        <v>417</v>
      </c>
      <c r="AF337" s="1">
        <v>2</v>
      </c>
      <c r="AG337" s="1">
        <v>0.35</v>
      </c>
      <c r="AH337" s="1">
        <v>3.5</v>
      </c>
      <c r="AI337" s="1">
        <v>0.35</v>
      </c>
      <c r="AJ337" s="1"/>
      <c r="AK337" s="1"/>
      <c r="AL337" s="1">
        <v>0</v>
      </c>
    </row>
    <row r="338" spans="1:38" x14ac:dyDescent="0.25">
      <c r="A338" s="195" t="s">
        <v>144</v>
      </c>
      <c r="B338" s="1">
        <v>2</v>
      </c>
      <c r="C338" s="1" t="s">
        <v>418</v>
      </c>
      <c r="D338" s="13">
        <v>39567</v>
      </c>
      <c r="E338" s="174">
        <f t="shared" si="97"/>
        <v>2505</v>
      </c>
      <c r="F338" s="1"/>
      <c r="G338" s="13">
        <v>41291</v>
      </c>
      <c r="H338" s="13">
        <f t="shared" si="99"/>
        <v>41171</v>
      </c>
      <c r="I338" s="13">
        <v>42072</v>
      </c>
      <c r="J338" s="13"/>
      <c r="K338" s="1">
        <f t="shared" si="94"/>
        <v>1724</v>
      </c>
      <c r="L338" s="1">
        <f t="shared" si="95"/>
        <v>120</v>
      </c>
      <c r="M338" s="1">
        <f t="shared" si="96"/>
        <v>781</v>
      </c>
      <c r="N338" s="1" t="s">
        <v>417</v>
      </c>
      <c r="O338" s="1">
        <v>5.14</v>
      </c>
      <c r="P338" s="1">
        <f t="shared" si="92"/>
        <v>1</v>
      </c>
      <c r="Q338" s="1">
        <f t="shared" si="89"/>
        <v>1</v>
      </c>
      <c r="R338" s="1">
        <f t="shared" si="90"/>
        <v>1</v>
      </c>
      <c r="S338" s="1">
        <f t="shared" si="91"/>
        <v>1</v>
      </c>
      <c r="T338" s="1" t="s">
        <v>437</v>
      </c>
      <c r="U338" s="1"/>
      <c r="V338" s="1"/>
      <c r="W338" s="1"/>
      <c r="X338" s="1"/>
      <c r="Y338" s="1">
        <v>49</v>
      </c>
      <c r="Z338" s="1">
        <v>95</v>
      </c>
      <c r="AA338" s="1"/>
      <c r="AB338" s="1">
        <v>0</v>
      </c>
      <c r="AC338" s="98">
        <v>0</v>
      </c>
      <c r="AD338" s="172">
        <v>60</v>
      </c>
      <c r="AE338" s="1" t="s">
        <v>417</v>
      </c>
      <c r="AF338" s="1">
        <v>2</v>
      </c>
      <c r="AG338" s="1">
        <v>0.35</v>
      </c>
      <c r="AH338" s="1">
        <v>3.5</v>
      </c>
      <c r="AI338" s="1">
        <v>0.35</v>
      </c>
      <c r="AJ338" s="1"/>
      <c r="AK338" s="1"/>
      <c r="AL338" s="1">
        <v>0</v>
      </c>
    </row>
    <row r="339" spans="1:38" x14ac:dyDescent="0.25">
      <c r="A339" s="195" t="s">
        <v>144</v>
      </c>
      <c r="B339" s="1">
        <v>2</v>
      </c>
      <c r="C339" s="1" t="s">
        <v>418</v>
      </c>
      <c r="D339" s="13">
        <v>39567</v>
      </c>
      <c r="E339" s="174">
        <f t="shared" si="97"/>
        <v>2505</v>
      </c>
      <c r="F339" s="1"/>
      <c r="G339" s="13">
        <v>41352</v>
      </c>
      <c r="H339" s="13">
        <f t="shared" si="99"/>
        <v>41291</v>
      </c>
      <c r="I339" s="13">
        <v>42072</v>
      </c>
      <c r="J339" s="13"/>
      <c r="K339" s="1">
        <f t="shared" si="94"/>
        <v>1785</v>
      </c>
      <c r="L339" s="1">
        <f t="shared" si="95"/>
        <v>61</v>
      </c>
      <c r="M339" s="1">
        <f t="shared" si="96"/>
        <v>720</v>
      </c>
      <c r="N339" s="1" t="s">
        <v>417</v>
      </c>
      <c r="O339" s="1">
        <v>5.14</v>
      </c>
      <c r="P339" s="1">
        <f t="shared" si="92"/>
        <v>1</v>
      </c>
      <c r="Q339" s="1">
        <f t="shared" si="89"/>
        <v>1</v>
      </c>
      <c r="R339" s="1">
        <f t="shared" si="90"/>
        <v>1</v>
      </c>
      <c r="S339" s="1">
        <f t="shared" si="91"/>
        <v>1</v>
      </c>
      <c r="T339" s="1" t="s">
        <v>437</v>
      </c>
      <c r="U339" s="1"/>
      <c r="V339" s="1"/>
      <c r="W339" s="1"/>
      <c r="X339" s="1"/>
      <c r="Y339" s="1">
        <v>39</v>
      </c>
      <c r="Z339" s="1">
        <v>75</v>
      </c>
      <c r="AA339" s="1"/>
      <c r="AB339" s="1">
        <v>0</v>
      </c>
      <c r="AC339" s="98">
        <v>0</v>
      </c>
      <c r="AD339" s="172">
        <v>60</v>
      </c>
      <c r="AE339" s="1" t="s">
        <v>417</v>
      </c>
      <c r="AF339" s="1">
        <v>2</v>
      </c>
      <c r="AG339" s="1">
        <v>0.35</v>
      </c>
      <c r="AH339" s="1">
        <v>3.5</v>
      </c>
      <c r="AI339" s="1">
        <v>0.35</v>
      </c>
      <c r="AJ339" s="1"/>
      <c r="AK339" s="1"/>
      <c r="AL339" s="1">
        <v>0</v>
      </c>
    </row>
    <row r="340" spans="1:38" x14ac:dyDescent="0.25">
      <c r="A340" s="195" t="s">
        <v>144</v>
      </c>
      <c r="B340" s="1">
        <v>2</v>
      </c>
      <c r="C340" s="1" t="s">
        <v>418</v>
      </c>
      <c r="D340" s="13">
        <v>39567</v>
      </c>
      <c r="E340" s="174">
        <f t="shared" si="97"/>
        <v>2505</v>
      </c>
      <c r="F340" s="1"/>
      <c r="G340" s="13">
        <v>41428</v>
      </c>
      <c r="H340" s="13">
        <f t="shared" si="99"/>
        <v>41352</v>
      </c>
      <c r="I340" s="13">
        <v>42072</v>
      </c>
      <c r="J340" s="13"/>
      <c r="K340" s="1">
        <f t="shared" si="94"/>
        <v>1861</v>
      </c>
      <c r="L340" s="1">
        <f t="shared" si="95"/>
        <v>76</v>
      </c>
      <c r="M340" s="1">
        <f t="shared" si="96"/>
        <v>644</v>
      </c>
      <c r="N340" s="1" t="s">
        <v>417</v>
      </c>
      <c r="O340" s="1">
        <v>5.14</v>
      </c>
      <c r="P340" s="1">
        <f t="shared" si="92"/>
        <v>1</v>
      </c>
      <c r="Q340" s="1">
        <f t="shared" si="89"/>
        <v>1</v>
      </c>
      <c r="R340" s="1">
        <f t="shared" si="90"/>
        <v>1</v>
      </c>
      <c r="S340" s="1">
        <f t="shared" si="91"/>
        <v>1</v>
      </c>
      <c r="T340" s="1" t="s">
        <v>437</v>
      </c>
      <c r="U340" s="1"/>
      <c r="V340" s="1"/>
      <c r="W340" s="1"/>
      <c r="X340" s="1"/>
      <c r="Y340" s="1">
        <v>53</v>
      </c>
      <c r="Z340" s="1">
        <v>90</v>
      </c>
      <c r="AA340" s="1"/>
      <c r="AB340" s="1">
        <v>0</v>
      </c>
      <c r="AC340" s="98">
        <v>0</v>
      </c>
      <c r="AD340" s="172">
        <v>60</v>
      </c>
      <c r="AE340" s="1" t="s">
        <v>417</v>
      </c>
      <c r="AF340" s="1">
        <v>2</v>
      </c>
      <c r="AG340" s="1">
        <v>0.35</v>
      </c>
      <c r="AH340" s="1">
        <v>3.5</v>
      </c>
      <c r="AI340" s="1">
        <v>0.35</v>
      </c>
      <c r="AJ340" s="1"/>
      <c r="AK340" s="1"/>
      <c r="AL340" s="1">
        <v>0</v>
      </c>
    </row>
    <row r="341" spans="1:38" x14ac:dyDescent="0.25">
      <c r="A341" s="195" t="s">
        <v>144</v>
      </c>
      <c r="B341" s="1">
        <v>2</v>
      </c>
      <c r="C341" s="1" t="s">
        <v>418</v>
      </c>
      <c r="D341" s="13">
        <v>39567</v>
      </c>
      <c r="E341" s="174">
        <f t="shared" si="97"/>
        <v>2505</v>
      </c>
      <c r="F341" s="1"/>
      <c r="G341" s="13">
        <v>41528</v>
      </c>
      <c r="H341" s="13">
        <f t="shared" si="99"/>
        <v>41428</v>
      </c>
      <c r="I341" s="13">
        <v>42072</v>
      </c>
      <c r="J341" s="13"/>
      <c r="K341" s="1">
        <f t="shared" si="94"/>
        <v>1961</v>
      </c>
      <c r="L341" s="1">
        <f t="shared" si="95"/>
        <v>100</v>
      </c>
      <c r="M341" s="1">
        <f t="shared" si="96"/>
        <v>544</v>
      </c>
      <c r="N341" s="1" t="s">
        <v>417</v>
      </c>
      <c r="O341" s="1">
        <v>5.13</v>
      </c>
      <c r="P341" s="1">
        <f t="shared" si="92"/>
        <v>1</v>
      </c>
      <c r="Q341" s="1">
        <f t="shared" si="89"/>
        <v>1</v>
      </c>
      <c r="R341" s="1">
        <f t="shared" si="90"/>
        <v>1</v>
      </c>
      <c r="S341" s="1">
        <f t="shared" si="91"/>
        <v>1</v>
      </c>
      <c r="T341" s="1" t="s">
        <v>437</v>
      </c>
      <c r="U341" s="1"/>
      <c r="V341" s="1"/>
      <c r="W341" s="1"/>
      <c r="X341" s="1"/>
      <c r="Y341" s="1">
        <v>55</v>
      </c>
      <c r="Z341" s="1">
        <v>94</v>
      </c>
      <c r="AA341" s="1"/>
      <c r="AB341" s="1">
        <v>0</v>
      </c>
      <c r="AC341" s="98">
        <v>0</v>
      </c>
      <c r="AD341" s="172">
        <v>60</v>
      </c>
      <c r="AE341" s="1" t="s">
        <v>417</v>
      </c>
      <c r="AF341" s="1">
        <v>2</v>
      </c>
      <c r="AG341" s="1">
        <v>0.35</v>
      </c>
      <c r="AH341" s="1">
        <v>3.5</v>
      </c>
      <c r="AI341" s="1">
        <v>0.35</v>
      </c>
      <c r="AJ341" s="1"/>
      <c r="AK341" s="1"/>
      <c r="AL341" s="1">
        <v>0</v>
      </c>
    </row>
    <row r="342" spans="1:38" x14ac:dyDescent="0.25">
      <c r="A342" s="195" t="s">
        <v>144</v>
      </c>
      <c r="B342" s="1">
        <v>2</v>
      </c>
      <c r="C342" s="1" t="s">
        <v>418</v>
      </c>
      <c r="D342" s="13">
        <v>39567</v>
      </c>
      <c r="E342" s="174">
        <f t="shared" si="97"/>
        <v>2505</v>
      </c>
      <c r="F342" s="1"/>
      <c r="G342" s="13">
        <v>41716</v>
      </c>
      <c r="H342" s="13">
        <f t="shared" si="99"/>
        <v>41528</v>
      </c>
      <c r="I342" s="13">
        <v>42072</v>
      </c>
      <c r="J342" s="13"/>
      <c r="K342" s="1">
        <f t="shared" si="94"/>
        <v>2149</v>
      </c>
      <c r="L342" s="1">
        <f t="shared" si="95"/>
        <v>188</v>
      </c>
      <c r="M342" s="1">
        <f t="shared" si="96"/>
        <v>356</v>
      </c>
      <c r="N342" s="1" t="s">
        <v>417</v>
      </c>
      <c r="O342" s="1">
        <v>5.08</v>
      </c>
      <c r="P342" s="1"/>
      <c r="Q342" s="1"/>
      <c r="R342" s="1">
        <f t="shared" si="90"/>
        <v>1</v>
      </c>
      <c r="S342" s="1">
        <f t="shared" si="91"/>
        <v>1</v>
      </c>
      <c r="T342" s="1" t="s">
        <v>442</v>
      </c>
      <c r="U342" s="1"/>
      <c r="V342" s="1"/>
      <c r="W342" s="1"/>
      <c r="X342" s="1"/>
      <c r="Y342" s="1">
        <v>41</v>
      </c>
      <c r="Z342" s="1">
        <v>96</v>
      </c>
      <c r="AA342" s="1"/>
      <c r="AB342" s="1">
        <v>0</v>
      </c>
      <c r="AC342" s="98">
        <v>0</v>
      </c>
      <c r="AD342" s="172">
        <v>60</v>
      </c>
      <c r="AE342" s="1" t="s">
        <v>417</v>
      </c>
      <c r="AF342" s="1">
        <v>2</v>
      </c>
      <c r="AG342" s="1">
        <v>0.35</v>
      </c>
      <c r="AH342" s="1">
        <v>3.5</v>
      </c>
      <c r="AI342" s="1">
        <v>0.35</v>
      </c>
      <c r="AJ342" s="1"/>
      <c r="AK342" s="1"/>
      <c r="AL342" s="1">
        <v>0</v>
      </c>
    </row>
    <row r="343" spans="1:38" x14ac:dyDescent="0.25">
      <c r="A343" s="195" t="s">
        <v>144</v>
      </c>
      <c r="B343" s="1">
        <v>2</v>
      </c>
      <c r="C343" s="1" t="s">
        <v>418</v>
      </c>
      <c r="D343" s="13">
        <v>39567</v>
      </c>
      <c r="E343" s="174">
        <f t="shared" si="97"/>
        <v>2505</v>
      </c>
      <c r="F343" s="1"/>
      <c r="G343" s="13">
        <v>41764</v>
      </c>
      <c r="H343" s="13">
        <f t="shared" si="99"/>
        <v>41716</v>
      </c>
      <c r="I343" s="13">
        <v>42072</v>
      </c>
      <c r="J343" s="13"/>
      <c r="K343" s="1">
        <f t="shared" si="94"/>
        <v>2197</v>
      </c>
      <c r="L343" s="1">
        <f t="shared" si="95"/>
        <v>48</v>
      </c>
      <c r="M343" s="1">
        <f t="shared" si="96"/>
        <v>308</v>
      </c>
      <c r="N343" s="1" t="s">
        <v>417</v>
      </c>
      <c r="O343" s="1">
        <v>5.07</v>
      </c>
      <c r="P343" s="1"/>
      <c r="Q343" s="1"/>
      <c r="R343" s="1">
        <f t="shared" si="90"/>
        <v>1</v>
      </c>
      <c r="S343" s="1">
        <f t="shared" si="91"/>
        <v>1</v>
      </c>
      <c r="T343" s="1" t="s">
        <v>442</v>
      </c>
      <c r="U343" s="1"/>
      <c r="V343" s="1"/>
      <c r="W343" s="1"/>
      <c r="X343" s="1"/>
      <c r="Y343" s="1">
        <v>0</v>
      </c>
      <c r="Z343" s="1">
        <v>56</v>
      </c>
      <c r="AA343" s="1"/>
      <c r="AB343" s="1">
        <v>0</v>
      </c>
      <c r="AC343" s="98">
        <v>0</v>
      </c>
      <c r="AD343" s="172">
        <v>60</v>
      </c>
      <c r="AE343" s="1" t="s">
        <v>434</v>
      </c>
      <c r="AF343" s="1">
        <v>2</v>
      </c>
      <c r="AG343" s="1">
        <v>0.35</v>
      </c>
      <c r="AH343" s="1">
        <v>3.5</v>
      </c>
      <c r="AI343" s="1">
        <v>0.35</v>
      </c>
      <c r="AJ343" s="1"/>
      <c r="AK343" s="1"/>
      <c r="AL343" s="1">
        <v>0</v>
      </c>
    </row>
    <row r="344" spans="1:38" x14ac:dyDescent="0.25">
      <c r="A344" s="195" t="s">
        <v>144</v>
      </c>
      <c r="B344" s="1">
        <v>2</v>
      </c>
      <c r="C344" s="1" t="s">
        <v>418</v>
      </c>
      <c r="D344" s="13">
        <v>39567</v>
      </c>
      <c r="E344" s="174">
        <f t="shared" si="97"/>
        <v>2505</v>
      </c>
      <c r="F344" s="1"/>
      <c r="G344" s="13">
        <v>41948</v>
      </c>
      <c r="H344" s="13">
        <f t="shared" si="99"/>
        <v>41764</v>
      </c>
      <c r="I344" s="13">
        <v>42072</v>
      </c>
      <c r="J344" s="13"/>
      <c r="K344" s="1">
        <f t="shared" si="94"/>
        <v>2381</v>
      </c>
      <c r="L344" s="1">
        <f t="shared" si="95"/>
        <v>184</v>
      </c>
      <c r="M344" s="1">
        <f t="shared" si="96"/>
        <v>124</v>
      </c>
      <c r="N344" s="1" t="s">
        <v>417</v>
      </c>
      <c r="O344" s="1">
        <v>4.97</v>
      </c>
      <c r="P344" s="1"/>
      <c r="Q344" s="1"/>
      <c r="R344" s="1"/>
      <c r="S344" s="1">
        <f t="shared" si="91"/>
        <v>1</v>
      </c>
      <c r="T344" s="1" t="s">
        <v>442</v>
      </c>
      <c r="U344" s="1"/>
      <c r="V344" s="1"/>
      <c r="W344" s="1"/>
      <c r="X344" s="1"/>
      <c r="Y344" s="1">
        <v>0</v>
      </c>
      <c r="Z344" s="1">
        <v>98</v>
      </c>
      <c r="AA344" s="1"/>
      <c r="AB344" s="1">
        <v>0</v>
      </c>
      <c r="AC344" s="98">
        <v>0</v>
      </c>
      <c r="AD344" s="172">
        <v>60</v>
      </c>
      <c r="AE344" s="1" t="s">
        <v>434</v>
      </c>
      <c r="AF344" s="1">
        <v>2</v>
      </c>
      <c r="AG344" s="1">
        <v>0.35</v>
      </c>
      <c r="AH344" s="1">
        <v>3.5</v>
      </c>
      <c r="AI344" s="1">
        <v>0.35</v>
      </c>
      <c r="AJ344" s="1"/>
      <c r="AK344" s="1"/>
      <c r="AL344" s="1">
        <v>0</v>
      </c>
    </row>
    <row r="345" spans="1:38" x14ac:dyDescent="0.25">
      <c r="A345" s="195" t="s">
        <v>144</v>
      </c>
      <c r="B345" s="1">
        <v>2</v>
      </c>
      <c r="C345" s="1" t="s">
        <v>418</v>
      </c>
      <c r="D345" s="13">
        <v>39567</v>
      </c>
      <c r="E345" s="174">
        <f t="shared" si="97"/>
        <v>2505</v>
      </c>
      <c r="F345" s="1"/>
      <c r="G345" s="13">
        <v>42065</v>
      </c>
      <c r="H345" s="13">
        <f t="shared" si="99"/>
        <v>41948</v>
      </c>
      <c r="I345" s="13">
        <v>42072</v>
      </c>
      <c r="J345" s="13"/>
      <c r="K345" s="1">
        <f t="shared" si="94"/>
        <v>2498</v>
      </c>
      <c r="L345" s="1">
        <f t="shared" si="95"/>
        <v>117</v>
      </c>
      <c r="M345" s="1">
        <f t="shared" si="96"/>
        <v>7</v>
      </c>
      <c r="N345" s="1" t="s">
        <v>434</v>
      </c>
      <c r="O345" s="4">
        <v>4.74</v>
      </c>
      <c r="P345" s="1"/>
      <c r="Q345" s="1"/>
      <c r="R345" s="1"/>
      <c r="S345" s="1"/>
      <c r="T345" s="1" t="s">
        <v>442</v>
      </c>
      <c r="U345" s="1">
        <v>0</v>
      </c>
      <c r="V345" s="1">
        <v>0</v>
      </c>
      <c r="W345" s="1">
        <v>0</v>
      </c>
      <c r="X345" s="1">
        <v>1</v>
      </c>
      <c r="Y345" s="4">
        <v>0</v>
      </c>
      <c r="Z345" s="4">
        <v>95</v>
      </c>
      <c r="AA345" s="1"/>
      <c r="AB345" s="1">
        <v>0</v>
      </c>
      <c r="AC345" s="98">
        <v>0</v>
      </c>
      <c r="AD345" s="172">
        <v>60</v>
      </c>
      <c r="AE345" s="1" t="s">
        <v>434</v>
      </c>
      <c r="AF345" s="4">
        <v>2</v>
      </c>
      <c r="AG345" s="4">
        <v>0.35</v>
      </c>
      <c r="AH345" s="4">
        <v>2.5</v>
      </c>
      <c r="AI345" s="4">
        <v>0.35</v>
      </c>
      <c r="AJ345" s="1"/>
      <c r="AK345" s="1"/>
      <c r="AL345" s="1">
        <v>0</v>
      </c>
    </row>
    <row r="346" spans="1:38" x14ac:dyDescent="0.25">
      <c r="A346" s="195" t="s">
        <v>144</v>
      </c>
      <c r="B346" s="1">
        <v>2</v>
      </c>
      <c r="C346" s="1" t="s">
        <v>418</v>
      </c>
      <c r="D346" s="13">
        <v>39567</v>
      </c>
      <c r="E346" s="174">
        <f t="shared" si="97"/>
        <v>2505</v>
      </c>
      <c r="F346" s="1"/>
      <c r="G346" s="13">
        <v>42072</v>
      </c>
      <c r="H346" s="13">
        <f t="shared" si="99"/>
        <v>42065</v>
      </c>
      <c r="I346" s="13">
        <v>42072</v>
      </c>
      <c r="J346" s="13"/>
      <c r="K346" s="1">
        <f t="shared" si="94"/>
        <v>2505</v>
      </c>
      <c r="L346" s="1">
        <f t="shared" si="95"/>
        <v>7</v>
      </c>
      <c r="M346" s="1">
        <f t="shared" si="96"/>
        <v>0</v>
      </c>
      <c r="N346" s="1" t="s">
        <v>434</v>
      </c>
      <c r="O346" s="4">
        <v>4.74</v>
      </c>
      <c r="P346" s="1"/>
      <c r="Q346" s="1"/>
      <c r="R346" s="1"/>
      <c r="S346" s="1"/>
      <c r="T346" s="1"/>
      <c r="U346" s="1"/>
      <c r="V346" s="1"/>
      <c r="W346" s="1"/>
      <c r="X346" s="1"/>
      <c r="Y346" s="4">
        <v>0</v>
      </c>
      <c r="Z346" s="4">
        <v>97</v>
      </c>
      <c r="AA346" s="1"/>
      <c r="AB346" s="1">
        <v>0</v>
      </c>
      <c r="AC346" s="98">
        <v>0</v>
      </c>
      <c r="AD346" s="172">
        <v>60</v>
      </c>
      <c r="AE346" s="1" t="s">
        <v>434</v>
      </c>
      <c r="AF346" s="4">
        <v>2</v>
      </c>
      <c r="AG346" s="4">
        <v>0.35</v>
      </c>
      <c r="AH346" s="4">
        <v>2.5</v>
      </c>
      <c r="AI346" s="4">
        <v>0.35</v>
      </c>
      <c r="AJ346" s="1"/>
      <c r="AK346" s="1"/>
      <c r="AL346" s="1">
        <v>0</v>
      </c>
    </row>
    <row r="347" spans="1:38" x14ac:dyDescent="0.25">
      <c r="A347" s="223" t="s">
        <v>146</v>
      </c>
      <c r="B347" s="1">
        <v>2</v>
      </c>
      <c r="C347" s="1" t="s">
        <v>418</v>
      </c>
      <c r="D347" s="13">
        <v>39140</v>
      </c>
      <c r="E347" s="174">
        <f t="shared" si="97"/>
        <v>1800</v>
      </c>
      <c r="F347" s="1"/>
      <c r="G347" s="61">
        <v>40092</v>
      </c>
      <c r="H347" s="13">
        <v>39140</v>
      </c>
      <c r="I347" s="13">
        <v>40940</v>
      </c>
      <c r="J347" s="13"/>
      <c r="K347" s="1">
        <f t="shared" si="94"/>
        <v>952</v>
      </c>
      <c r="L347" s="1">
        <f t="shared" si="95"/>
        <v>952</v>
      </c>
      <c r="M347" s="1">
        <f t="shared" si="96"/>
        <v>848</v>
      </c>
      <c r="N347" s="1" t="s">
        <v>417</v>
      </c>
      <c r="O347" s="57">
        <v>6.16</v>
      </c>
      <c r="P347" s="1">
        <f t="shared" si="92"/>
        <v>1</v>
      </c>
      <c r="Q347" s="1">
        <f t="shared" si="89"/>
        <v>1</v>
      </c>
      <c r="R347" s="1">
        <f t="shared" si="90"/>
        <v>1</v>
      </c>
      <c r="S347" s="1">
        <f t="shared" si="91"/>
        <v>1</v>
      </c>
      <c r="T347" s="1" t="s">
        <v>437</v>
      </c>
      <c r="U347" s="1"/>
      <c r="V347" s="1"/>
      <c r="W347" s="1"/>
      <c r="X347" s="1"/>
      <c r="Y347" s="57">
        <v>4</v>
      </c>
      <c r="Z347" s="57">
        <v>37</v>
      </c>
      <c r="AA347" s="1"/>
      <c r="AB347" s="1">
        <v>0</v>
      </c>
      <c r="AC347" s="98">
        <v>0</v>
      </c>
      <c r="AD347" s="172">
        <v>60</v>
      </c>
      <c r="AE347" s="1" t="s">
        <v>417</v>
      </c>
      <c r="AF347" s="57">
        <v>2</v>
      </c>
      <c r="AG347" s="57">
        <v>0.35</v>
      </c>
      <c r="AH347" s="57">
        <v>3</v>
      </c>
      <c r="AI347" s="57">
        <v>0.35</v>
      </c>
      <c r="AJ347" s="1"/>
      <c r="AK347" s="1"/>
      <c r="AL347" s="1">
        <v>0</v>
      </c>
    </row>
    <row r="348" spans="1:38" x14ac:dyDescent="0.25">
      <c r="A348" s="223" t="s">
        <v>146</v>
      </c>
      <c r="B348" s="1">
        <v>2</v>
      </c>
      <c r="C348" s="1" t="s">
        <v>418</v>
      </c>
      <c r="D348" s="13">
        <v>39140</v>
      </c>
      <c r="E348" s="174">
        <f t="shared" si="97"/>
        <v>1800</v>
      </c>
      <c r="F348" s="1"/>
      <c r="G348" s="13">
        <v>40302</v>
      </c>
      <c r="H348" s="13">
        <f>G347</f>
        <v>40092</v>
      </c>
      <c r="I348" s="13">
        <v>40940</v>
      </c>
      <c r="J348" s="13"/>
      <c r="K348" s="1">
        <f t="shared" si="94"/>
        <v>1162</v>
      </c>
      <c r="L348" s="1">
        <f t="shared" si="95"/>
        <v>210</v>
      </c>
      <c r="M348" s="1">
        <f t="shared" si="96"/>
        <v>638</v>
      </c>
      <c r="N348" s="1" t="s">
        <v>417</v>
      </c>
      <c r="O348" s="4">
        <v>5.93</v>
      </c>
      <c r="P348" s="1">
        <f t="shared" si="92"/>
        <v>1</v>
      </c>
      <c r="Q348" s="1">
        <f t="shared" si="89"/>
        <v>1</v>
      </c>
      <c r="R348" s="1">
        <f t="shared" si="90"/>
        <v>1</v>
      </c>
      <c r="S348" s="1">
        <f t="shared" si="91"/>
        <v>1</v>
      </c>
      <c r="T348" s="1" t="s">
        <v>437</v>
      </c>
      <c r="U348" s="1"/>
      <c r="V348" s="1"/>
      <c r="W348" s="1"/>
      <c r="X348" s="1"/>
      <c r="Y348" s="4">
        <v>4</v>
      </c>
      <c r="Z348" s="4">
        <v>25</v>
      </c>
      <c r="AA348" s="1"/>
      <c r="AB348" s="1">
        <v>1</v>
      </c>
      <c r="AC348" s="98">
        <v>0</v>
      </c>
      <c r="AD348" s="172">
        <v>60</v>
      </c>
      <c r="AE348" s="1" t="s">
        <v>417</v>
      </c>
      <c r="AF348" s="4">
        <v>2</v>
      </c>
      <c r="AG348" s="4">
        <v>0.35</v>
      </c>
      <c r="AH348" s="4">
        <v>3</v>
      </c>
      <c r="AI348" s="4">
        <v>0.35</v>
      </c>
      <c r="AJ348" s="1"/>
      <c r="AK348" s="1"/>
      <c r="AL348" s="1">
        <v>0</v>
      </c>
    </row>
    <row r="349" spans="1:38" x14ac:dyDescent="0.25">
      <c r="A349" s="223" t="s">
        <v>146</v>
      </c>
      <c r="B349" s="1">
        <v>2</v>
      </c>
      <c r="C349" s="1" t="s">
        <v>418</v>
      </c>
      <c r="D349" s="13">
        <v>39140</v>
      </c>
      <c r="E349" s="174">
        <f t="shared" si="97"/>
        <v>1800</v>
      </c>
      <c r="F349" s="1"/>
      <c r="G349" s="13">
        <v>40715</v>
      </c>
      <c r="H349" s="13">
        <f t="shared" ref="H349:H350" si="100">G348</f>
        <v>40302</v>
      </c>
      <c r="I349" s="13">
        <v>40940</v>
      </c>
      <c r="J349" s="13"/>
      <c r="K349" s="1">
        <f t="shared" si="94"/>
        <v>1575</v>
      </c>
      <c r="L349" s="1">
        <f t="shared" si="95"/>
        <v>413</v>
      </c>
      <c r="M349" s="1">
        <f t="shared" si="96"/>
        <v>225</v>
      </c>
      <c r="N349" s="1" t="s">
        <v>417</v>
      </c>
      <c r="O349" s="1">
        <v>5.3</v>
      </c>
      <c r="P349" s="1"/>
      <c r="Q349" s="1"/>
      <c r="R349" s="1">
        <f t="shared" si="90"/>
        <v>1</v>
      </c>
      <c r="S349" s="1">
        <f t="shared" si="91"/>
        <v>1</v>
      </c>
      <c r="T349" s="1" t="s">
        <v>442</v>
      </c>
      <c r="U349" s="1"/>
      <c r="V349" s="1"/>
      <c r="W349" s="1"/>
      <c r="X349" s="1"/>
      <c r="Y349" s="1">
        <v>5</v>
      </c>
      <c r="Z349" s="1">
        <v>38</v>
      </c>
      <c r="AA349" s="1"/>
      <c r="AB349" s="1">
        <v>1</v>
      </c>
      <c r="AC349" s="98">
        <v>0</v>
      </c>
      <c r="AD349" s="172">
        <v>60</v>
      </c>
      <c r="AE349" s="1" t="s">
        <v>417</v>
      </c>
      <c r="AF349" s="1">
        <v>2</v>
      </c>
      <c r="AG349" s="1">
        <v>0.35</v>
      </c>
      <c r="AH349" s="1">
        <v>3</v>
      </c>
      <c r="AI349" s="1">
        <v>0.35</v>
      </c>
      <c r="AJ349" s="1"/>
      <c r="AK349" s="1"/>
      <c r="AL349" s="1">
        <v>0</v>
      </c>
    </row>
    <row r="350" spans="1:38" x14ac:dyDescent="0.25">
      <c r="A350" s="223" t="s">
        <v>146</v>
      </c>
      <c r="B350" s="1">
        <v>2</v>
      </c>
      <c r="C350" s="1" t="s">
        <v>418</v>
      </c>
      <c r="D350" s="13">
        <v>39140</v>
      </c>
      <c r="E350" s="174">
        <f t="shared" si="97"/>
        <v>1800</v>
      </c>
      <c r="F350" s="1"/>
      <c r="G350" s="13">
        <v>40940</v>
      </c>
      <c r="H350" s="13">
        <f t="shared" si="100"/>
        <v>40715</v>
      </c>
      <c r="I350" s="13">
        <v>40940</v>
      </c>
      <c r="J350" s="13"/>
      <c r="K350" s="1">
        <f t="shared" si="94"/>
        <v>1800</v>
      </c>
      <c r="L350" s="1">
        <f t="shared" si="95"/>
        <v>225</v>
      </c>
      <c r="M350" s="1">
        <f t="shared" si="96"/>
        <v>0</v>
      </c>
      <c r="N350" s="1" t="s">
        <v>417</v>
      </c>
      <c r="O350" s="1">
        <v>5.18</v>
      </c>
      <c r="P350" s="1"/>
      <c r="Q350" s="1"/>
      <c r="R350" s="1"/>
      <c r="S350" s="1"/>
      <c r="T350" s="1"/>
      <c r="U350" s="1"/>
      <c r="V350" s="1"/>
      <c r="W350" s="1"/>
      <c r="X350" s="1"/>
      <c r="Y350" s="1">
        <v>6</v>
      </c>
      <c r="Z350" s="1">
        <v>36</v>
      </c>
      <c r="AA350" s="1"/>
      <c r="AB350" s="1">
        <v>0</v>
      </c>
      <c r="AC350" s="98">
        <v>0</v>
      </c>
      <c r="AD350" s="172">
        <v>60</v>
      </c>
      <c r="AE350" s="1" t="s">
        <v>417</v>
      </c>
      <c r="AF350" s="1">
        <v>2</v>
      </c>
      <c r="AG350" s="1">
        <v>0.35</v>
      </c>
      <c r="AH350" s="1">
        <v>3</v>
      </c>
      <c r="AI350" s="1">
        <v>0.35</v>
      </c>
      <c r="AJ350" s="1"/>
      <c r="AK350" s="1"/>
      <c r="AL350" s="1">
        <v>0</v>
      </c>
    </row>
    <row r="351" spans="1:38" s="1" customFormat="1" x14ac:dyDescent="0.25">
      <c r="A351" s="196" t="s">
        <v>147</v>
      </c>
      <c r="B351" s="1">
        <v>2</v>
      </c>
      <c r="C351" s="1" t="s">
        <v>418</v>
      </c>
      <c r="D351" s="1">
        <v>39972</v>
      </c>
      <c r="E351" s="1">
        <f t="shared" si="97"/>
        <v>2039</v>
      </c>
      <c r="G351" s="1">
        <v>40204</v>
      </c>
      <c r="H351" s="1">
        <v>39972</v>
      </c>
      <c r="I351" s="1">
        <v>42011</v>
      </c>
      <c r="K351" s="1">
        <f t="shared" si="94"/>
        <v>232</v>
      </c>
      <c r="L351" s="1">
        <f t="shared" si="95"/>
        <v>232</v>
      </c>
      <c r="M351" s="1">
        <f t="shared" si="96"/>
        <v>1807</v>
      </c>
      <c r="N351" s="1" t="s">
        <v>417</v>
      </c>
      <c r="O351" s="1">
        <v>6.46</v>
      </c>
      <c r="P351" s="1">
        <f t="shared" si="92"/>
        <v>1</v>
      </c>
      <c r="Q351" s="1">
        <f t="shared" si="89"/>
        <v>1</v>
      </c>
      <c r="R351" s="1">
        <f t="shared" si="90"/>
        <v>1</v>
      </c>
      <c r="S351" s="1">
        <f t="shared" si="91"/>
        <v>1</v>
      </c>
      <c r="T351" s="1" t="s">
        <v>437</v>
      </c>
      <c r="Y351" s="1">
        <v>0</v>
      </c>
      <c r="Z351" s="1">
        <v>0</v>
      </c>
      <c r="AB351" s="1">
        <v>0</v>
      </c>
      <c r="AC351" s="1">
        <v>0</v>
      </c>
      <c r="AD351" s="1">
        <v>50</v>
      </c>
      <c r="AE351" s="1" t="s">
        <v>417</v>
      </c>
      <c r="AF351" s="1">
        <v>3.5</v>
      </c>
      <c r="AG351" s="1">
        <v>0.35</v>
      </c>
      <c r="AH351" s="1">
        <v>3.5</v>
      </c>
      <c r="AI351" s="1">
        <v>0.35</v>
      </c>
      <c r="AL351" s="1">
        <v>0</v>
      </c>
    </row>
    <row r="352" spans="1:38" s="1" customFormat="1" x14ac:dyDescent="0.25">
      <c r="A352" s="196" t="s">
        <v>147</v>
      </c>
      <c r="B352" s="1">
        <v>2</v>
      </c>
      <c r="C352" s="1" t="s">
        <v>418</v>
      </c>
      <c r="D352" s="1">
        <v>39972</v>
      </c>
      <c r="E352" s="1">
        <f t="shared" si="97"/>
        <v>2039</v>
      </c>
      <c r="G352" s="1">
        <v>40274</v>
      </c>
      <c r="H352" s="1">
        <f>G351</f>
        <v>40204</v>
      </c>
      <c r="I352" s="1">
        <v>42011</v>
      </c>
      <c r="K352" s="1">
        <f t="shared" si="94"/>
        <v>302</v>
      </c>
      <c r="L352" s="1">
        <f t="shared" si="95"/>
        <v>70</v>
      </c>
      <c r="M352" s="1">
        <f t="shared" si="96"/>
        <v>1737</v>
      </c>
      <c r="N352" s="1" t="s">
        <v>417</v>
      </c>
      <c r="O352" s="1">
        <v>6.44</v>
      </c>
      <c r="P352" s="1">
        <f t="shared" si="92"/>
        <v>1</v>
      </c>
      <c r="Q352" s="1">
        <f t="shared" si="89"/>
        <v>1</v>
      </c>
      <c r="R352" s="1">
        <f t="shared" si="90"/>
        <v>1</v>
      </c>
      <c r="S352" s="1">
        <f t="shared" si="91"/>
        <v>1</v>
      </c>
      <c r="T352" s="1" t="s">
        <v>437</v>
      </c>
      <c r="Y352" s="1">
        <v>0</v>
      </c>
      <c r="Z352" s="1">
        <v>0</v>
      </c>
      <c r="AB352" s="1">
        <v>0</v>
      </c>
      <c r="AC352" s="1">
        <v>0</v>
      </c>
      <c r="AD352" s="1">
        <v>50</v>
      </c>
      <c r="AE352" s="1" t="s">
        <v>417</v>
      </c>
      <c r="AF352" s="1">
        <v>3.5</v>
      </c>
      <c r="AG352" s="1">
        <v>0.35</v>
      </c>
      <c r="AH352" s="1">
        <v>3.5</v>
      </c>
      <c r="AI352" s="1">
        <v>0.35</v>
      </c>
      <c r="AL352" s="1">
        <v>0</v>
      </c>
    </row>
    <row r="353" spans="1:38" s="1" customFormat="1" x14ac:dyDescent="0.25">
      <c r="A353" s="196" t="s">
        <v>147</v>
      </c>
      <c r="B353" s="1">
        <v>2</v>
      </c>
      <c r="C353" s="1" t="s">
        <v>418</v>
      </c>
      <c r="D353" s="1">
        <v>39972</v>
      </c>
      <c r="E353" s="1">
        <f t="shared" si="97"/>
        <v>2039</v>
      </c>
      <c r="G353" s="1">
        <v>40659</v>
      </c>
      <c r="H353" s="1">
        <f t="shared" ref="H353:H364" si="101">G352</f>
        <v>40274</v>
      </c>
      <c r="I353" s="1">
        <v>42011</v>
      </c>
      <c r="K353" s="1">
        <f t="shared" si="94"/>
        <v>687</v>
      </c>
      <c r="L353" s="1">
        <f t="shared" si="95"/>
        <v>385</v>
      </c>
      <c r="M353" s="1">
        <f t="shared" si="96"/>
        <v>1352</v>
      </c>
      <c r="N353" s="1" t="s">
        <v>417</v>
      </c>
      <c r="O353" s="1">
        <v>6.39</v>
      </c>
      <c r="P353" s="1">
        <f t="shared" si="92"/>
        <v>1</v>
      </c>
      <c r="Q353" s="1">
        <f t="shared" si="89"/>
        <v>1</v>
      </c>
      <c r="R353" s="1">
        <f t="shared" si="90"/>
        <v>1</v>
      </c>
      <c r="S353" s="1">
        <f t="shared" si="91"/>
        <v>1</v>
      </c>
      <c r="T353" s="1" t="s">
        <v>437</v>
      </c>
      <c r="Y353" s="1">
        <v>2</v>
      </c>
      <c r="Z353" s="1">
        <v>0</v>
      </c>
      <c r="AB353" s="1">
        <v>0</v>
      </c>
      <c r="AC353" s="1">
        <v>0</v>
      </c>
      <c r="AD353" s="1">
        <v>50</v>
      </c>
      <c r="AE353" s="1" t="s">
        <v>434</v>
      </c>
      <c r="AF353" s="1">
        <v>2</v>
      </c>
      <c r="AG353" s="1">
        <v>0.35</v>
      </c>
      <c r="AH353" s="1">
        <v>4.5</v>
      </c>
      <c r="AI353" s="1">
        <v>0.5</v>
      </c>
      <c r="AL353" s="1">
        <v>0</v>
      </c>
    </row>
    <row r="354" spans="1:38" s="1" customFormat="1" x14ac:dyDescent="0.25">
      <c r="A354" s="196" t="s">
        <v>147</v>
      </c>
      <c r="B354" s="1">
        <v>2</v>
      </c>
      <c r="C354" s="1" t="s">
        <v>418</v>
      </c>
      <c r="D354" s="1">
        <v>39972</v>
      </c>
      <c r="E354" s="1">
        <f t="shared" si="97"/>
        <v>2039</v>
      </c>
      <c r="G354" s="1">
        <v>40862</v>
      </c>
      <c r="H354" s="1">
        <f t="shared" si="101"/>
        <v>40659</v>
      </c>
      <c r="I354" s="1">
        <v>42011</v>
      </c>
      <c r="K354" s="1">
        <f t="shared" si="94"/>
        <v>890</v>
      </c>
      <c r="L354" s="1">
        <f t="shared" si="95"/>
        <v>203</v>
      </c>
      <c r="M354" s="1">
        <f t="shared" si="96"/>
        <v>1149</v>
      </c>
      <c r="N354" s="1" t="s">
        <v>417</v>
      </c>
      <c r="O354" s="1">
        <v>6.33</v>
      </c>
      <c r="P354" s="1">
        <f t="shared" si="92"/>
        <v>1</v>
      </c>
      <c r="Q354" s="1">
        <f t="shared" si="89"/>
        <v>1</v>
      </c>
      <c r="R354" s="1">
        <f t="shared" si="90"/>
        <v>1</v>
      </c>
      <c r="S354" s="1">
        <f t="shared" si="91"/>
        <v>1</v>
      </c>
      <c r="T354" s="1" t="s">
        <v>437</v>
      </c>
      <c r="Y354" s="1">
        <v>18</v>
      </c>
      <c r="Z354" s="1">
        <v>0</v>
      </c>
      <c r="AB354" s="1">
        <v>0</v>
      </c>
      <c r="AC354" s="1">
        <v>0</v>
      </c>
      <c r="AD354" s="1">
        <v>50</v>
      </c>
      <c r="AE354" s="1" t="s">
        <v>434</v>
      </c>
      <c r="AF354" s="1">
        <v>2</v>
      </c>
      <c r="AG354" s="1">
        <v>0.35</v>
      </c>
      <c r="AH354" s="1">
        <v>4.5</v>
      </c>
      <c r="AI354" s="1">
        <v>0.5</v>
      </c>
      <c r="AL354" s="1">
        <v>0</v>
      </c>
    </row>
    <row r="355" spans="1:38" s="1" customFormat="1" x14ac:dyDescent="0.25">
      <c r="A355" s="196" t="s">
        <v>147</v>
      </c>
      <c r="B355" s="1">
        <v>2</v>
      </c>
      <c r="C355" s="1" t="s">
        <v>418</v>
      </c>
      <c r="D355" s="1">
        <v>39972</v>
      </c>
      <c r="E355" s="1">
        <f t="shared" si="97"/>
        <v>2039</v>
      </c>
      <c r="G355" s="1">
        <v>41051</v>
      </c>
      <c r="H355" s="1">
        <f t="shared" si="101"/>
        <v>40862</v>
      </c>
      <c r="I355" s="1">
        <v>42011</v>
      </c>
      <c r="K355" s="1">
        <f t="shared" si="94"/>
        <v>1079</v>
      </c>
      <c r="L355" s="1">
        <f t="shared" si="95"/>
        <v>189</v>
      </c>
      <c r="M355" s="1">
        <f t="shared" si="96"/>
        <v>960</v>
      </c>
      <c r="N355" s="1" t="s">
        <v>417</v>
      </c>
      <c r="O355" s="1">
        <v>6.19</v>
      </c>
      <c r="P355" s="1">
        <f t="shared" si="92"/>
        <v>1</v>
      </c>
      <c r="Q355" s="1">
        <f t="shared" si="89"/>
        <v>1</v>
      </c>
      <c r="R355" s="1">
        <f t="shared" si="90"/>
        <v>1</v>
      </c>
      <c r="S355" s="1">
        <f t="shared" si="91"/>
        <v>1</v>
      </c>
      <c r="T355" s="1" t="s">
        <v>437</v>
      </c>
      <c r="Y355" s="1">
        <v>10</v>
      </c>
      <c r="Z355" s="1">
        <v>0</v>
      </c>
      <c r="AB355" s="1">
        <v>0</v>
      </c>
      <c r="AC355" s="1">
        <v>0</v>
      </c>
      <c r="AD355" s="1">
        <v>50</v>
      </c>
      <c r="AE355" s="1" t="s">
        <v>434</v>
      </c>
      <c r="AF355" s="1">
        <v>2</v>
      </c>
      <c r="AG355" s="1">
        <v>0.35</v>
      </c>
      <c r="AH355" s="1">
        <v>4.5</v>
      </c>
      <c r="AI355" s="1">
        <v>0.5</v>
      </c>
      <c r="AL355" s="1">
        <v>0</v>
      </c>
    </row>
    <row r="356" spans="1:38" s="1" customFormat="1" x14ac:dyDescent="0.25">
      <c r="A356" s="196" t="s">
        <v>147</v>
      </c>
      <c r="B356" s="1">
        <v>2</v>
      </c>
      <c r="C356" s="1" t="s">
        <v>418</v>
      </c>
      <c r="D356" s="1">
        <v>39972</v>
      </c>
      <c r="E356" s="1">
        <f t="shared" si="97"/>
        <v>2039</v>
      </c>
      <c r="G356" s="1">
        <v>41303</v>
      </c>
      <c r="H356" s="1">
        <f t="shared" si="101"/>
        <v>41051</v>
      </c>
      <c r="I356" s="1">
        <v>42011</v>
      </c>
      <c r="K356" s="1">
        <f t="shared" si="94"/>
        <v>1331</v>
      </c>
      <c r="L356" s="1">
        <f t="shared" si="95"/>
        <v>252</v>
      </c>
      <c r="M356" s="1">
        <f t="shared" si="96"/>
        <v>708</v>
      </c>
      <c r="N356" s="1" t="s">
        <v>417</v>
      </c>
      <c r="O356" s="1">
        <v>5.9</v>
      </c>
      <c r="P356" s="1">
        <f t="shared" si="92"/>
        <v>1</v>
      </c>
      <c r="Q356" s="1">
        <f t="shared" si="89"/>
        <v>1</v>
      </c>
      <c r="R356" s="1">
        <f t="shared" si="90"/>
        <v>1</v>
      </c>
      <c r="S356" s="1">
        <f t="shared" si="91"/>
        <v>1</v>
      </c>
      <c r="T356" s="1" t="s">
        <v>437</v>
      </c>
      <c r="Y356" s="1">
        <v>12</v>
      </c>
      <c r="Z356" s="1">
        <v>0</v>
      </c>
      <c r="AB356" s="1">
        <v>0</v>
      </c>
      <c r="AC356" s="1">
        <v>0</v>
      </c>
      <c r="AD356" s="1">
        <v>50</v>
      </c>
      <c r="AE356" s="1" t="s">
        <v>434</v>
      </c>
      <c r="AF356" s="1">
        <v>2</v>
      </c>
      <c r="AG356" s="1">
        <v>0.35</v>
      </c>
      <c r="AH356" s="1">
        <v>4.5</v>
      </c>
      <c r="AI356" s="1">
        <v>0.5</v>
      </c>
      <c r="AL356" s="1">
        <v>0</v>
      </c>
    </row>
    <row r="357" spans="1:38" s="1" customFormat="1" ht="13.5" customHeight="1" x14ac:dyDescent="0.25">
      <c r="A357" s="196" t="s">
        <v>147</v>
      </c>
      <c r="B357" s="1">
        <v>2</v>
      </c>
      <c r="C357" s="1" t="s">
        <v>418</v>
      </c>
      <c r="D357" s="1">
        <v>39972</v>
      </c>
      <c r="E357" s="1">
        <f t="shared" si="97"/>
        <v>2039</v>
      </c>
      <c r="G357" s="1">
        <v>41351</v>
      </c>
      <c r="H357" s="1">
        <f t="shared" si="101"/>
        <v>41303</v>
      </c>
      <c r="I357" s="1">
        <v>42011</v>
      </c>
      <c r="K357" s="1">
        <f t="shared" si="94"/>
        <v>1379</v>
      </c>
      <c r="L357" s="1">
        <f t="shared" si="95"/>
        <v>48</v>
      </c>
      <c r="M357" s="1">
        <f t="shared" si="96"/>
        <v>660</v>
      </c>
      <c r="N357" s="1" t="s">
        <v>417</v>
      </c>
      <c r="O357" s="1">
        <v>5.8</v>
      </c>
      <c r="P357" s="1">
        <f t="shared" si="92"/>
        <v>1</v>
      </c>
      <c r="Q357" s="1">
        <f t="shared" si="89"/>
        <v>1</v>
      </c>
      <c r="R357" s="1">
        <f t="shared" si="90"/>
        <v>1</v>
      </c>
      <c r="S357" s="1">
        <f t="shared" si="91"/>
        <v>1</v>
      </c>
      <c r="T357" s="1" t="s">
        <v>437</v>
      </c>
      <c r="Y357" s="1">
        <v>7</v>
      </c>
      <c r="Z357" s="1">
        <v>0</v>
      </c>
      <c r="AB357" s="1">
        <v>0</v>
      </c>
      <c r="AC357" s="1">
        <v>0</v>
      </c>
      <c r="AD357" s="1">
        <v>50</v>
      </c>
      <c r="AE357" s="1" t="s">
        <v>434</v>
      </c>
      <c r="AF357" s="1">
        <v>2</v>
      </c>
      <c r="AG357" s="1">
        <v>0.35</v>
      </c>
      <c r="AH357" s="1">
        <v>4.5</v>
      </c>
      <c r="AI357" s="1">
        <v>0.75</v>
      </c>
      <c r="AL357" s="1">
        <v>0</v>
      </c>
    </row>
    <row r="358" spans="1:38" s="1" customFormat="1" x14ac:dyDescent="0.25">
      <c r="A358" s="196" t="s">
        <v>147</v>
      </c>
      <c r="B358" s="1">
        <v>2</v>
      </c>
      <c r="C358" s="1" t="s">
        <v>418</v>
      </c>
      <c r="D358" s="1">
        <v>39972</v>
      </c>
      <c r="E358" s="1">
        <f t="shared" si="97"/>
        <v>2039</v>
      </c>
      <c r="G358" s="1">
        <v>41471</v>
      </c>
      <c r="H358" s="1">
        <f t="shared" si="101"/>
        <v>41351</v>
      </c>
      <c r="I358" s="1">
        <v>42011</v>
      </c>
      <c r="K358" s="1">
        <f t="shared" si="94"/>
        <v>1499</v>
      </c>
      <c r="L358" s="1">
        <f t="shared" si="95"/>
        <v>120</v>
      </c>
      <c r="M358" s="1">
        <f t="shared" si="96"/>
        <v>540</v>
      </c>
      <c r="N358" s="1" t="s">
        <v>417</v>
      </c>
      <c r="O358" s="1">
        <v>5.6</v>
      </c>
      <c r="P358" s="1">
        <f t="shared" si="92"/>
        <v>1</v>
      </c>
      <c r="Q358" s="1">
        <f t="shared" si="89"/>
        <v>1</v>
      </c>
      <c r="R358" s="1">
        <f t="shared" si="90"/>
        <v>1</v>
      </c>
      <c r="S358" s="1">
        <f t="shared" si="91"/>
        <v>1</v>
      </c>
      <c r="T358" s="1" t="s">
        <v>437</v>
      </c>
      <c r="Y358" s="1">
        <v>8</v>
      </c>
      <c r="Z358" s="1">
        <v>0</v>
      </c>
      <c r="AB358" s="1">
        <v>0</v>
      </c>
      <c r="AC358" s="1">
        <v>0</v>
      </c>
      <c r="AD358" s="1">
        <v>50</v>
      </c>
      <c r="AE358" s="1" t="s">
        <v>434</v>
      </c>
      <c r="AF358" s="1">
        <v>2</v>
      </c>
      <c r="AG358" s="1">
        <v>0.35</v>
      </c>
      <c r="AH358" s="1">
        <v>4.5</v>
      </c>
      <c r="AI358" s="1">
        <v>1</v>
      </c>
      <c r="AL358" s="1">
        <v>0</v>
      </c>
    </row>
    <row r="359" spans="1:38" s="1" customFormat="1" x14ac:dyDescent="0.25">
      <c r="A359" s="196" t="s">
        <v>147</v>
      </c>
      <c r="B359" s="1">
        <v>2</v>
      </c>
      <c r="C359" s="1" t="s">
        <v>418</v>
      </c>
      <c r="D359" s="1">
        <v>39972</v>
      </c>
      <c r="E359" s="1">
        <f t="shared" si="97"/>
        <v>2039</v>
      </c>
      <c r="G359" s="1">
        <v>41544</v>
      </c>
      <c r="H359" s="1">
        <f t="shared" si="101"/>
        <v>41471</v>
      </c>
      <c r="I359" s="1">
        <v>42011</v>
      </c>
      <c r="K359" s="1">
        <f t="shared" si="94"/>
        <v>1572</v>
      </c>
      <c r="L359" s="1">
        <f t="shared" si="95"/>
        <v>73</v>
      </c>
      <c r="M359" s="1">
        <f t="shared" si="96"/>
        <v>467</v>
      </c>
      <c r="N359" s="1" t="s">
        <v>417</v>
      </c>
      <c r="O359" s="1">
        <v>5.47</v>
      </c>
      <c r="Q359" s="1">
        <f t="shared" si="89"/>
        <v>1</v>
      </c>
      <c r="R359" s="1">
        <f t="shared" si="90"/>
        <v>1</v>
      </c>
      <c r="S359" s="1">
        <f t="shared" si="91"/>
        <v>1</v>
      </c>
      <c r="T359" s="1" t="s">
        <v>442</v>
      </c>
      <c r="Y359" s="1">
        <v>1</v>
      </c>
      <c r="Z359" s="1">
        <v>0</v>
      </c>
      <c r="AB359" s="1">
        <v>0</v>
      </c>
      <c r="AC359" s="1">
        <v>0</v>
      </c>
      <c r="AD359" s="1">
        <v>50</v>
      </c>
      <c r="AE359" s="1" t="s">
        <v>417</v>
      </c>
      <c r="AF359" s="1">
        <v>2</v>
      </c>
      <c r="AG359" s="1">
        <v>0.35</v>
      </c>
      <c r="AH359" s="1">
        <v>7</v>
      </c>
      <c r="AI359" s="1">
        <v>1</v>
      </c>
      <c r="AL359" s="1">
        <v>0</v>
      </c>
    </row>
    <row r="360" spans="1:38" s="1" customFormat="1" x14ac:dyDescent="0.25">
      <c r="A360" s="196" t="s">
        <v>147</v>
      </c>
      <c r="B360" s="1">
        <v>2</v>
      </c>
      <c r="C360" s="1" t="s">
        <v>418</v>
      </c>
      <c r="D360" s="1">
        <v>39972</v>
      </c>
      <c r="E360" s="1">
        <f t="shared" si="97"/>
        <v>2039</v>
      </c>
      <c r="G360" s="1">
        <v>41547</v>
      </c>
      <c r="H360" s="1">
        <f t="shared" si="101"/>
        <v>41544</v>
      </c>
      <c r="I360" s="1">
        <v>42011</v>
      </c>
      <c r="K360" s="1">
        <f t="shared" si="94"/>
        <v>1575</v>
      </c>
      <c r="L360" s="1">
        <f t="shared" si="95"/>
        <v>3</v>
      </c>
      <c r="M360" s="1">
        <f t="shared" si="96"/>
        <v>464</v>
      </c>
      <c r="N360" s="1" t="s">
        <v>417</v>
      </c>
      <c r="O360" s="1">
        <v>5.39</v>
      </c>
      <c r="Q360" s="1">
        <f t="shared" si="89"/>
        <v>1</v>
      </c>
      <c r="R360" s="1">
        <f t="shared" si="90"/>
        <v>1</v>
      </c>
      <c r="S360" s="1">
        <f t="shared" si="91"/>
        <v>1</v>
      </c>
      <c r="T360" s="1" t="s">
        <v>442</v>
      </c>
      <c r="Y360" s="1">
        <v>5</v>
      </c>
      <c r="Z360" s="1">
        <v>0</v>
      </c>
      <c r="AB360" s="1">
        <v>0</v>
      </c>
      <c r="AC360" s="1">
        <v>0</v>
      </c>
      <c r="AD360" s="1">
        <v>50</v>
      </c>
      <c r="AE360" s="1" t="s">
        <v>434</v>
      </c>
      <c r="AF360" s="1">
        <v>2</v>
      </c>
      <c r="AG360" s="1">
        <v>0.35</v>
      </c>
      <c r="AH360" s="1">
        <v>7</v>
      </c>
      <c r="AI360" s="1">
        <v>1</v>
      </c>
      <c r="AL360" s="1">
        <v>0</v>
      </c>
    </row>
    <row r="361" spans="1:38" s="1" customFormat="1" x14ac:dyDescent="0.25">
      <c r="A361" s="196" t="s">
        <v>147</v>
      </c>
      <c r="B361" s="1">
        <v>2</v>
      </c>
      <c r="C361" s="1" t="s">
        <v>418</v>
      </c>
      <c r="D361" s="1">
        <v>39972</v>
      </c>
      <c r="E361" s="1">
        <f t="shared" si="97"/>
        <v>2039</v>
      </c>
      <c r="G361" s="1">
        <v>41597</v>
      </c>
      <c r="H361" s="1">
        <f t="shared" si="101"/>
        <v>41547</v>
      </c>
      <c r="I361" s="1">
        <v>42011</v>
      </c>
      <c r="K361" s="1">
        <f t="shared" si="94"/>
        <v>1625</v>
      </c>
      <c r="L361" s="1">
        <f t="shared" si="95"/>
        <v>50</v>
      </c>
      <c r="M361" s="1">
        <f t="shared" si="96"/>
        <v>414</v>
      </c>
      <c r="N361" s="1" t="s">
        <v>417</v>
      </c>
      <c r="O361" s="1">
        <v>5.3</v>
      </c>
      <c r="Q361" s="1">
        <f t="shared" ref="Q361:Q371" si="102">IF(M361&gt;=360,1,"nulo")</f>
        <v>1</v>
      </c>
      <c r="R361" s="1">
        <f t="shared" ref="R361:R373" si="103">IF(M361&gt;=180,1,"nulo")</f>
        <v>1</v>
      </c>
      <c r="S361" s="1">
        <f t="shared" ref="S361:S373" si="104">IF(M361&gt;=90,1,"nulo")</f>
        <v>1</v>
      </c>
      <c r="T361" s="1" t="s">
        <v>442</v>
      </c>
      <c r="Y361" s="1">
        <v>1</v>
      </c>
      <c r="Z361" s="1">
        <v>0</v>
      </c>
      <c r="AB361" s="1">
        <v>0</v>
      </c>
      <c r="AC361" s="1">
        <v>0</v>
      </c>
      <c r="AD361" s="1">
        <v>50</v>
      </c>
      <c r="AE361" s="1" t="s">
        <v>417</v>
      </c>
      <c r="AF361" s="1">
        <v>2</v>
      </c>
      <c r="AG361" s="1">
        <v>0.35</v>
      </c>
      <c r="AH361" s="1">
        <v>7</v>
      </c>
      <c r="AI361" s="1">
        <v>1</v>
      </c>
      <c r="AL361" s="1">
        <v>0</v>
      </c>
    </row>
    <row r="362" spans="1:38" s="1" customFormat="1" x14ac:dyDescent="0.25">
      <c r="A362" s="196" t="s">
        <v>147</v>
      </c>
      <c r="B362" s="1">
        <v>2</v>
      </c>
      <c r="C362" s="1" t="s">
        <v>418</v>
      </c>
      <c r="D362" s="1">
        <v>39972</v>
      </c>
      <c r="E362" s="1">
        <f t="shared" si="97"/>
        <v>2039</v>
      </c>
      <c r="G362" s="1">
        <v>41730</v>
      </c>
      <c r="H362" s="1">
        <f t="shared" si="101"/>
        <v>41597</v>
      </c>
      <c r="I362" s="1">
        <v>42011</v>
      </c>
      <c r="K362" s="1">
        <f t="shared" si="94"/>
        <v>1758</v>
      </c>
      <c r="L362" s="1">
        <f t="shared" si="95"/>
        <v>133</v>
      </c>
      <c r="M362" s="1">
        <f t="shared" si="96"/>
        <v>281</v>
      </c>
      <c r="N362" s="1" t="s">
        <v>417</v>
      </c>
      <c r="O362" s="1">
        <v>5.23</v>
      </c>
      <c r="R362" s="1">
        <f t="shared" si="103"/>
        <v>1</v>
      </c>
      <c r="S362" s="1">
        <f t="shared" si="104"/>
        <v>1</v>
      </c>
      <c r="T362" s="1" t="s">
        <v>442</v>
      </c>
      <c r="Y362" s="1">
        <v>0</v>
      </c>
      <c r="Z362" s="1">
        <v>0</v>
      </c>
      <c r="AB362" s="1">
        <v>0</v>
      </c>
      <c r="AC362" s="1">
        <v>0</v>
      </c>
      <c r="AD362" s="1">
        <v>50</v>
      </c>
      <c r="AE362" s="1" t="s">
        <v>417</v>
      </c>
      <c r="AF362" s="1">
        <v>2</v>
      </c>
      <c r="AG362" s="1">
        <v>0.35</v>
      </c>
      <c r="AH362" s="1">
        <v>7</v>
      </c>
      <c r="AI362" s="1">
        <v>1</v>
      </c>
      <c r="AL362" s="1">
        <v>0</v>
      </c>
    </row>
    <row r="363" spans="1:38" s="1" customFormat="1" x14ac:dyDescent="0.25">
      <c r="A363" s="196" t="s">
        <v>147</v>
      </c>
      <c r="B363" s="1">
        <v>2</v>
      </c>
      <c r="C363" s="1" t="s">
        <v>418</v>
      </c>
      <c r="D363" s="1">
        <v>39972</v>
      </c>
      <c r="E363" s="1">
        <f t="shared" si="97"/>
        <v>2039</v>
      </c>
      <c r="G363" s="1">
        <v>41947</v>
      </c>
      <c r="H363" s="1">
        <f t="shared" si="101"/>
        <v>41730</v>
      </c>
      <c r="I363" s="1">
        <v>42011</v>
      </c>
      <c r="K363" s="1">
        <f t="shared" si="94"/>
        <v>1975</v>
      </c>
      <c r="L363" s="1">
        <f t="shared" si="95"/>
        <v>217</v>
      </c>
      <c r="M363" s="1">
        <f t="shared" si="96"/>
        <v>64</v>
      </c>
      <c r="N363" s="1" t="s">
        <v>417</v>
      </c>
      <c r="O363" s="1">
        <v>5.16</v>
      </c>
      <c r="T363" s="1" t="s">
        <v>442</v>
      </c>
      <c r="Y363" s="1">
        <v>1</v>
      </c>
      <c r="Z363" s="1">
        <v>0</v>
      </c>
      <c r="AB363" s="1">
        <v>0</v>
      </c>
      <c r="AC363" s="1">
        <v>0</v>
      </c>
      <c r="AD363" s="1">
        <v>50</v>
      </c>
      <c r="AE363" s="1" t="s">
        <v>417</v>
      </c>
      <c r="AF363" s="1">
        <v>2</v>
      </c>
      <c r="AG363" s="1">
        <v>0.35</v>
      </c>
      <c r="AH363" s="1">
        <v>7</v>
      </c>
      <c r="AI363" s="1">
        <v>1</v>
      </c>
      <c r="AL363" s="1">
        <v>0</v>
      </c>
    </row>
    <row r="364" spans="1:38" s="1" customFormat="1" x14ac:dyDescent="0.25">
      <c r="A364" s="196" t="s">
        <v>147</v>
      </c>
      <c r="B364" s="1">
        <v>2</v>
      </c>
      <c r="C364" s="1" t="s">
        <v>418</v>
      </c>
      <c r="D364" s="1">
        <v>39972</v>
      </c>
      <c r="E364" s="1">
        <f t="shared" si="97"/>
        <v>2039</v>
      </c>
      <c r="G364" s="1">
        <v>42011</v>
      </c>
      <c r="H364" s="1">
        <f t="shared" si="101"/>
        <v>41947</v>
      </c>
      <c r="I364" s="1">
        <v>42011</v>
      </c>
      <c r="K364" s="1">
        <f t="shared" si="94"/>
        <v>2039</v>
      </c>
      <c r="L364" s="1">
        <f t="shared" si="95"/>
        <v>64</v>
      </c>
      <c r="M364" s="1">
        <f t="shared" si="96"/>
        <v>0</v>
      </c>
      <c r="N364" s="1" t="s">
        <v>417</v>
      </c>
      <c r="O364" s="1">
        <v>5.14</v>
      </c>
      <c r="Y364" s="1">
        <v>3</v>
      </c>
      <c r="Z364" s="1">
        <v>0</v>
      </c>
      <c r="AB364" s="1">
        <v>0</v>
      </c>
      <c r="AC364" s="1">
        <v>0</v>
      </c>
      <c r="AD364" s="1">
        <v>50</v>
      </c>
      <c r="AE364" s="1" t="s">
        <v>434</v>
      </c>
      <c r="AF364" s="1">
        <v>2</v>
      </c>
      <c r="AG364" s="1">
        <v>0.35</v>
      </c>
      <c r="AH364" s="1">
        <v>7</v>
      </c>
      <c r="AI364" s="1">
        <v>1</v>
      </c>
      <c r="AL364" s="1">
        <v>0</v>
      </c>
    </row>
    <row r="365" spans="1:38" s="1" customFormat="1" x14ac:dyDescent="0.25">
      <c r="A365" s="228" t="s">
        <v>163</v>
      </c>
      <c r="B365" s="1">
        <v>2</v>
      </c>
      <c r="C365" s="1" t="s">
        <v>418</v>
      </c>
      <c r="D365" s="67">
        <v>39147</v>
      </c>
      <c r="E365" s="174">
        <f t="shared" si="97"/>
        <v>2127</v>
      </c>
      <c r="G365" s="61">
        <v>40188</v>
      </c>
      <c r="H365" s="67">
        <v>39147</v>
      </c>
      <c r="I365" s="13">
        <v>41274</v>
      </c>
      <c r="J365" s="13"/>
      <c r="K365" s="1">
        <f t="shared" si="94"/>
        <v>1041</v>
      </c>
      <c r="L365" s="1">
        <f t="shared" si="95"/>
        <v>1041</v>
      </c>
      <c r="M365" s="1">
        <f t="shared" si="96"/>
        <v>1086</v>
      </c>
      <c r="N365" s="1" t="s">
        <v>417</v>
      </c>
      <c r="O365" s="57">
        <v>6.22</v>
      </c>
      <c r="P365" s="1">
        <f t="shared" ref="P365:P371" si="105">IF(M365&gt;=540,1,"nulo")</f>
        <v>1</v>
      </c>
      <c r="Q365" s="1">
        <f t="shared" si="102"/>
        <v>1</v>
      </c>
      <c r="R365" s="1">
        <f t="shared" si="103"/>
        <v>1</v>
      </c>
      <c r="S365" s="1">
        <f t="shared" si="104"/>
        <v>1</v>
      </c>
      <c r="T365" s="1" t="s">
        <v>437</v>
      </c>
      <c r="Y365" s="57">
        <v>8</v>
      </c>
      <c r="Z365" s="57">
        <v>0</v>
      </c>
      <c r="AB365" s="1">
        <v>0</v>
      </c>
      <c r="AC365" s="98">
        <v>0</v>
      </c>
      <c r="AD365" s="172">
        <v>50</v>
      </c>
      <c r="AE365" s="1" t="s">
        <v>417</v>
      </c>
      <c r="AF365" s="57">
        <v>2.5</v>
      </c>
      <c r="AG365" s="57">
        <v>0.5</v>
      </c>
      <c r="AH365" s="57">
        <v>2.5</v>
      </c>
      <c r="AI365" s="57">
        <v>0.5</v>
      </c>
      <c r="AL365" s="1">
        <v>0</v>
      </c>
    </row>
    <row r="366" spans="1:38" s="1" customFormat="1" x14ac:dyDescent="0.25">
      <c r="A366" s="228" t="s">
        <v>163</v>
      </c>
      <c r="B366" s="1">
        <v>2</v>
      </c>
      <c r="C366" s="1" t="s">
        <v>418</v>
      </c>
      <c r="D366" s="67">
        <v>39147</v>
      </c>
      <c r="E366" s="174">
        <f t="shared" si="97"/>
        <v>2127</v>
      </c>
      <c r="G366" s="13">
        <v>41114</v>
      </c>
      <c r="H366" s="13">
        <f>G365</f>
        <v>40188</v>
      </c>
      <c r="I366" s="13">
        <v>41274</v>
      </c>
      <c r="J366" s="13"/>
      <c r="K366" s="1">
        <f t="shared" si="94"/>
        <v>1967</v>
      </c>
      <c r="L366" s="1">
        <f t="shared" si="95"/>
        <v>926</v>
      </c>
      <c r="M366" s="1">
        <f t="shared" si="96"/>
        <v>160</v>
      </c>
      <c r="N366" s="1" t="s">
        <v>417</v>
      </c>
      <c r="O366" s="4">
        <v>5.2</v>
      </c>
      <c r="S366" s="1">
        <f t="shared" si="104"/>
        <v>1</v>
      </c>
      <c r="T366" s="1" t="s">
        <v>442</v>
      </c>
      <c r="Y366" s="4">
        <v>6</v>
      </c>
      <c r="Z366" s="4">
        <v>0</v>
      </c>
      <c r="AB366" s="1">
        <v>0</v>
      </c>
      <c r="AC366" s="98">
        <v>24</v>
      </c>
      <c r="AD366" s="172">
        <v>50</v>
      </c>
      <c r="AE366" s="1" t="s">
        <v>417</v>
      </c>
      <c r="AF366" s="4">
        <v>2.5</v>
      </c>
      <c r="AG366" s="4">
        <v>0.5</v>
      </c>
      <c r="AH366" s="4">
        <v>2.5</v>
      </c>
      <c r="AI366" s="4">
        <v>0.5</v>
      </c>
      <c r="AL366" s="1">
        <v>0</v>
      </c>
    </row>
    <row r="367" spans="1:38" s="1" customFormat="1" x14ac:dyDescent="0.25">
      <c r="A367" s="228" t="s">
        <v>163</v>
      </c>
      <c r="B367" s="1">
        <v>2</v>
      </c>
      <c r="C367" s="1" t="s">
        <v>418</v>
      </c>
      <c r="D367" s="67">
        <v>39147</v>
      </c>
      <c r="E367" s="174">
        <f t="shared" si="97"/>
        <v>2127</v>
      </c>
      <c r="G367" s="13">
        <v>41274</v>
      </c>
      <c r="H367" s="13">
        <f>G366</f>
        <v>41114</v>
      </c>
      <c r="I367" s="13">
        <v>41274</v>
      </c>
      <c r="J367" s="13"/>
      <c r="K367" s="1">
        <f t="shared" si="94"/>
        <v>2127</v>
      </c>
      <c r="L367" s="1">
        <f t="shared" si="95"/>
        <v>160</v>
      </c>
      <c r="M367" s="1">
        <f t="shared" si="96"/>
        <v>0</v>
      </c>
      <c r="N367" s="1" t="s">
        <v>417</v>
      </c>
      <c r="O367" s="4">
        <v>5.17</v>
      </c>
      <c r="Y367" s="4">
        <v>58</v>
      </c>
      <c r="Z367" s="4">
        <v>0</v>
      </c>
      <c r="AB367" s="1">
        <v>0</v>
      </c>
      <c r="AC367" s="98">
        <v>36</v>
      </c>
      <c r="AD367" s="172">
        <v>50</v>
      </c>
      <c r="AE367" s="1" t="s">
        <v>417</v>
      </c>
      <c r="AF367" s="4">
        <v>3</v>
      </c>
      <c r="AG367" s="4">
        <v>0.5</v>
      </c>
      <c r="AH367" s="4">
        <v>2.5</v>
      </c>
      <c r="AI367" s="4">
        <v>0.5</v>
      </c>
      <c r="AL367" s="1">
        <v>0</v>
      </c>
    </row>
    <row r="368" spans="1:38" s="1" customFormat="1" x14ac:dyDescent="0.25">
      <c r="A368" s="229" t="s">
        <v>317</v>
      </c>
      <c r="B368" s="1">
        <v>2</v>
      </c>
      <c r="C368" s="1" t="s">
        <v>418</v>
      </c>
      <c r="D368" s="67">
        <v>39175</v>
      </c>
      <c r="E368" s="174">
        <f t="shared" si="97"/>
        <v>2794</v>
      </c>
      <c r="G368" s="67">
        <v>40127</v>
      </c>
      <c r="H368" s="67">
        <v>39175</v>
      </c>
      <c r="I368" s="13">
        <v>41969</v>
      </c>
      <c r="J368" s="13"/>
      <c r="K368" s="1">
        <f t="shared" si="94"/>
        <v>952</v>
      </c>
      <c r="L368" s="1">
        <f t="shared" si="95"/>
        <v>952</v>
      </c>
      <c r="M368" s="1">
        <f t="shared" si="96"/>
        <v>1842</v>
      </c>
      <c r="N368" s="1" t="s">
        <v>417</v>
      </c>
      <c r="O368" s="57">
        <v>6.26</v>
      </c>
      <c r="P368" s="1">
        <f t="shared" si="105"/>
        <v>1</v>
      </c>
      <c r="Q368" s="1">
        <f t="shared" si="102"/>
        <v>1</v>
      </c>
      <c r="R368" s="1">
        <f t="shared" si="103"/>
        <v>1</v>
      </c>
      <c r="S368" s="1">
        <f t="shared" si="104"/>
        <v>1</v>
      </c>
      <c r="T368" s="1" t="s">
        <v>437</v>
      </c>
      <c r="Y368" s="57">
        <v>0</v>
      </c>
      <c r="Z368" s="57">
        <v>0</v>
      </c>
      <c r="AB368" s="1">
        <v>0</v>
      </c>
      <c r="AC368" s="98">
        <v>0</v>
      </c>
      <c r="AD368" s="172">
        <v>60</v>
      </c>
      <c r="AE368" s="1" t="s">
        <v>417</v>
      </c>
      <c r="AF368" s="57">
        <v>2.5</v>
      </c>
      <c r="AG368" s="57">
        <v>0.35</v>
      </c>
      <c r="AH368" s="57">
        <v>3</v>
      </c>
      <c r="AI368" s="57">
        <v>0.35</v>
      </c>
      <c r="AL368" s="1">
        <v>0</v>
      </c>
    </row>
    <row r="369" spans="1:38" s="1" customFormat="1" x14ac:dyDescent="0.25">
      <c r="A369" s="229" t="s">
        <v>317</v>
      </c>
      <c r="B369" s="1">
        <v>2</v>
      </c>
      <c r="C369" s="1" t="s">
        <v>418</v>
      </c>
      <c r="D369" s="67">
        <v>39175</v>
      </c>
      <c r="E369" s="174">
        <f t="shared" si="97"/>
        <v>2794</v>
      </c>
      <c r="G369" s="13">
        <v>40191</v>
      </c>
      <c r="H369" s="13">
        <f>G368</f>
        <v>40127</v>
      </c>
      <c r="I369" s="13">
        <v>41969</v>
      </c>
      <c r="J369" s="13"/>
      <c r="K369" s="1">
        <f t="shared" si="94"/>
        <v>1016</v>
      </c>
      <c r="L369" s="1">
        <f t="shared" si="95"/>
        <v>64</v>
      </c>
      <c r="M369" s="1">
        <f t="shared" si="96"/>
        <v>1778</v>
      </c>
      <c r="N369" s="1" t="s">
        <v>417</v>
      </c>
      <c r="O369" s="4">
        <v>6.16</v>
      </c>
      <c r="P369" s="1">
        <f t="shared" si="105"/>
        <v>1</v>
      </c>
      <c r="Q369" s="1">
        <f t="shared" si="102"/>
        <v>1</v>
      </c>
      <c r="R369" s="1">
        <f t="shared" si="103"/>
        <v>1</v>
      </c>
      <c r="S369" s="1">
        <f t="shared" si="104"/>
        <v>1</v>
      </c>
      <c r="T369" s="1" t="s">
        <v>437</v>
      </c>
      <c r="Y369" s="4">
        <v>0</v>
      </c>
      <c r="Z369" s="4">
        <v>0</v>
      </c>
      <c r="AB369" s="1">
        <v>1</v>
      </c>
      <c r="AC369" s="98">
        <v>0</v>
      </c>
      <c r="AD369" s="172">
        <v>60</v>
      </c>
      <c r="AE369" s="1" t="s">
        <v>417</v>
      </c>
      <c r="AF369" s="4">
        <v>2.5</v>
      </c>
      <c r="AG369" s="4">
        <v>0.35</v>
      </c>
      <c r="AH369" s="4">
        <v>3</v>
      </c>
      <c r="AI369" s="4">
        <v>0.35</v>
      </c>
      <c r="AL369" s="1">
        <v>0</v>
      </c>
    </row>
    <row r="370" spans="1:38" s="1" customFormat="1" x14ac:dyDescent="0.25">
      <c r="A370" s="229" t="s">
        <v>317</v>
      </c>
      <c r="B370" s="1">
        <v>2</v>
      </c>
      <c r="C370" s="1" t="s">
        <v>418</v>
      </c>
      <c r="D370" s="67">
        <v>39175</v>
      </c>
      <c r="E370" s="174">
        <f t="shared" si="97"/>
        <v>2794</v>
      </c>
      <c r="G370" s="13">
        <v>40309</v>
      </c>
      <c r="H370" s="13">
        <f t="shared" ref="H370:H372" si="106">G369</f>
        <v>40191</v>
      </c>
      <c r="I370" s="13">
        <v>41969</v>
      </c>
      <c r="J370" s="13"/>
      <c r="K370" s="1">
        <f t="shared" si="94"/>
        <v>1134</v>
      </c>
      <c r="L370" s="1">
        <f t="shared" si="95"/>
        <v>118</v>
      </c>
      <c r="M370" s="1">
        <f t="shared" si="96"/>
        <v>1660</v>
      </c>
      <c r="N370" s="1" t="s">
        <v>417</v>
      </c>
      <c r="O370" s="4">
        <v>6.02</v>
      </c>
      <c r="P370" s="1">
        <f t="shared" si="105"/>
        <v>1</v>
      </c>
      <c r="Q370" s="1">
        <f t="shared" si="102"/>
        <v>1</v>
      </c>
      <c r="R370" s="1">
        <f t="shared" si="103"/>
        <v>1</v>
      </c>
      <c r="S370" s="1">
        <f t="shared" si="104"/>
        <v>1</v>
      </c>
      <c r="T370" s="1" t="s">
        <v>437</v>
      </c>
      <c r="Y370" s="4">
        <v>0</v>
      </c>
      <c r="Z370" s="4">
        <v>0</v>
      </c>
      <c r="AB370" s="1">
        <v>1</v>
      </c>
      <c r="AC370" s="98">
        <v>0</v>
      </c>
      <c r="AD370" s="172">
        <v>60</v>
      </c>
      <c r="AE370" s="1" t="s">
        <v>417</v>
      </c>
      <c r="AF370" s="4">
        <v>2.5</v>
      </c>
      <c r="AG370" s="4">
        <v>0.35</v>
      </c>
      <c r="AH370" s="4">
        <v>3</v>
      </c>
      <c r="AI370" s="4">
        <v>0.35</v>
      </c>
      <c r="AL370" s="1">
        <v>0</v>
      </c>
    </row>
    <row r="371" spans="1:38" s="1" customFormat="1" x14ac:dyDescent="0.25">
      <c r="A371" s="229" t="s">
        <v>317</v>
      </c>
      <c r="B371" s="1">
        <v>2</v>
      </c>
      <c r="C371" s="1" t="s">
        <v>418</v>
      </c>
      <c r="D371" s="67">
        <v>39175</v>
      </c>
      <c r="E371" s="174">
        <f t="shared" si="97"/>
        <v>2794</v>
      </c>
      <c r="G371" s="13">
        <v>40337</v>
      </c>
      <c r="H371" s="13">
        <f t="shared" si="106"/>
        <v>40309</v>
      </c>
      <c r="I371" s="13">
        <v>41969</v>
      </c>
      <c r="J371" s="13"/>
      <c r="K371" s="1">
        <f t="shared" si="94"/>
        <v>1162</v>
      </c>
      <c r="L371" s="1">
        <f t="shared" si="95"/>
        <v>28</v>
      </c>
      <c r="M371" s="1">
        <f t="shared" si="96"/>
        <v>1632</v>
      </c>
      <c r="N371" s="1" t="s">
        <v>417</v>
      </c>
      <c r="O371" s="4">
        <v>6.05</v>
      </c>
      <c r="P371" s="1">
        <f t="shared" si="105"/>
        <v>1</v>
      </c>
      <c r="Q371" s="1">
        <f t="shared" si="102"/>
        <v>1</v>
      </c>
      <c r="R371" s="1">
        <f t="shared" si="103"/>
        <v>1</v>
      </c>
      <c r="S371" s="1">
        <f t="shared" si="104"/>
        <v>1</v>
      </c>
      <c r="T371" s="1" t="s">
        <v>437</v>
      </c>
      <c r="Y371" s="4">
        <v>0</v>
      </c>
      <c r="Z371" s="4">
        <v>0</v>
      </c>
      <c r="AB371" s="1">
        <v>0</v>
      </c>
      <c r="AC371" s="98">
        <v>0</v>
      </c>
      <c r="AD371" s="172">
        <v>60</v>
      </c>
      <c r="AE371" s="1" t="s">
        <v>417</v>
      </c>
      <c r="AF371" s="4">
        <v>2.5</v>
      </c>
      <c r="AG371" s="4">
        <v>0.35</v>
      </c>
      <c r="AH371" s="4">
        <v>3</v>
      </c>
      <c r="AI371" s="4">
        <v>0.35</v>
      </c>
      <c r="AL371" s="1">
        <v>0</v>
      </c>
    </row>
    <row r="372" spans="1:38" s="1" customFormat="1" x14ac:dyDescent="0.25">
      <c r="A372" s="229" t="s">
        <v>317</v>
      </c>
      <c r="B372" s="1">
        <v>2</v>
      </c>
      <c r="C372" s="1" t="s">
        <v>418</v>
      </c>
      <c r="D372" s="67">
        <v>39175</v>
      </c>
      <c r="E372" s="174">
        <f t="shared" si="97"/>
        <v>2794</v>
      </c>
      <c r="G372" s="13">
        <v>41969</v>
      </c>
      <c r="H372" s="13">
        <f t="shared" si="106"/>
        <v>40337</v>
      </c>
      <c r="I372" s="13">
        <v>41969</v>
      </c>
      <c r="J372" s="13"/>
      <c r="K372" s="1">
        <f t="shared" si="94"/>
        <v>2794</v>
      </c>
      <c r="L372" s="1">
        <f t="shared" si="95"/>
        <v>1632</v>
      </c>
      <c r="M372" s="1">
        <f t="shared" si="96"/>
        <v>0</v>
      </c>
      <c r="N372" s="1" t="s">
        <v>434</v>
      </c>
      <c r="O372" s="4">
        <v>4.63</v>
      </c>
      <c r="U372" s="1">
        <v>1</v>
      </c>
      <c r="V372" s="1">
        <v>1</v>
      </c>
      <c r="W372" s="1">
        <v>1</v>
      </c>
      <c r="X372" s="1">
        <v>1</v>
      </c>
      <c r="Y372" s="4">
        <v>1</v>
      </c>
      <c r="Z372" s="4">
        <v>100</v>
      </c>
      <c r="AB372" s="1">
        <v>0</v>
      </c>
      <c r="AC372" s="98">
        <v>0</v>
      </c>
      <c r="AD372" s="172">
        <v>60</v>
      </c>
      <c r="AE372" s="1" t="s">
        <v>417</v>
      </c>
      <c r="AF372" s="4">
        <v>2</v>
      </c>
      <c r="AG372" s="4">
        <v>0.35</v>
      </c>
      <c r="AH372" s="4">
        <v>3</v>
      </c>
      <c r="AI372" s="4">
        <v>0.35</v>
      </c>
      <c r="AL372" s="1">
        <v>0</v>
      </c>
    </row>
    <row r="373" spans="1:38" s="1" customFormat="1" x14ac:dyDescent="0.25">
      <c r="A373" s="230" t="s">
        <v>318</v>
      </c>
      <c r="B373" s="1">
        <v>2</v>
      </c>
      <c r="C373" s="1" t="s">
        <v>418</v>
      </c>
      <c r="D373" s="67">
        <v>39864</v>
      </c>
      <c r="E373" s="174">
        <f t="shared" si="97"/>
        <v>501</v>
      </c>
      <c r="G373" s="61">
        <v>40092</v>
      </c>
      <c r="H373" s="67">
        <v>39864</v>
      </c>
      <c r="I373" s="13">
        <v>40365</v>
      </c>
      <c r="J373" s="13"/>
      <c r="K373" s="1">
        <f t="shared" si="94"/>
        <v>228</v>
      </c>
      <c r="L373" s="1">
        <f t="shared" si="95"/>
        <v>228</v>
      </c>
      <c r="M373" s="1">
        <f t="shared" si="96"/>
        <v>273</v>
      </c>
      <c r="N373" s="1" t="s">
        <v>417</v>
      </c>
      <c r="O373" s="57">
        <v>6.47</v>
      </c>
      <c r="R373" s="1">
        <f t="shared" si="103"/>
        <v>1</v>
      </c>
      <c r="S373" s="1">
        <f t="shared" si="104"/>
        <v>1</v>
      </c>
      <c r="T373" s="1" t="s">
        <v>442</v>
      </c>
      <c r="Y373" s="57">
        <v>6</v>
      </c>
      <c r="Z373" s="57">
        <v>19</v>
      </c>
      <c r="AB373" s="1">
        <v>0.2</v>
      </c>
      <c r="AC373" s="98">
        <v>12</v>
      </c>
      <c r="AD373" s="172">
        <v>50</v>
      </c>
      <c r="AE373" s="1" t="s">
        <v>417</v>
      </c>
      <c r="AF373" s="57">
        <v>2.5</v>
      </c>
      <c r="AG373" s="57">
        <v>0.35</v>
      </c>
      <c r="AH373" s="57">
        <v>3.5</v>
      </c>
      <c r="AI373" s="57">
        <v>0.35</v>
      </c>
      <c r="AL373" s="1">
        <v>0</v>
      </c>
    </row>
    <row r="374" spans="1:38" s="1" customFormat="1" x14ac:dyDescent="0.25">
      <c r="A374" s="230" t="s">
        <v>318</v>
      </c>
      <c r="B374" s="1">
        <v>2</v>
      </c>
      <c r="C374" s="1" t="s">
        <v>418</v>
      </c>
      <c r="D374" s="67">
        <v>39864</v>
      </c>
      <c r="E374" s="174">
        <f t="shared" si="97"/>
        <v>501</v>
      </c>
      <c r="G374" s="13">
        <v>40365</v>
      </c>
      <c r="H374" s="13">
        <f>G373</f>
        <v>40092</v>
      </c>
      <c r="I374" s="13">
        <v>40365</v>
      </c>
      <c r="J374" s="13"/>
      <c r="K374" s="1">
        <f t="shared" si="94"/>
        <v>501</v>
      </c>
      <c r="L374" s="1">
        <f t="shared" si="95"/>
        <v>273</v>
      </c>
      <c r="M374" s="1">
        <f t="shared" si="96"/>
        <v>0</v>
      </c>
      <c r="N374" s="1" t="s">
        <v>417</v>
      </c>
      <c r="O374" s="4">
        <v>6.44</v>
      </c>
      <c r="Y374" s="4">
        <v>2</v>
      </c>
      <c r="Z374" s="4">
        <v>61</v>
      </c>
      <c r="AB374" s="1">
        <v>0</v>
      </c>
      <c r="AC374" s="98">
        <v>0</v>
      </c>
      <c r="AD374" s="172">
        <v>50</v>
      </c>
      <c r="AE374" s="1" t="s">
        <v>417</v>
      </c>
      <c r="AF374" s="4">
        <v>2.5</v>
      </c>
      <c r="AG374" s="4">
        <v>0.35</v>
      </c>
      <c r="AH374" s="4">
        <v>3.5</v>
      </c>
      <c r="AI374" s="4">
        <v>0.35</v>
      </c>
      <c r="AL374" s="1">
        <v>0</v>
      </c>
    </row>
    <row r="375" spans="1:38" s="1" customFormat="1" x14ac:dyDescent="0.25">
      <c r="A375" s="233" t="s">
        <v>326</v>
      </c>
      <c r="B375" s="1">
        <v>2</v>
      </c>
      <c r="C375" s="1" t="s">
        <v>418</v>
      </c>
      <c r="D375" s="67">
        <v>38748</v>
      </c>
      <c r="E375" s="174">
        <f t="shared" si="97"/>
        <v>2247</v>
      </c>
      <c r="G375" s="61">
        <v>40085</v>
      </c>
      <c r="H375" s="67">
        <v>38748</v>
      </c>
      <c r="I375" s="13">
        <v>40995</v>
      </c>
      <c r="J375" s="13"/>
      <c r="K375" s="1">
        <f t="shared" si="94"/>
        <v>1337</v>
      </c>
      <c r="L375" s="1">
        <f t="shared" si="95"/>
        <v>1337</v>
      </c>
      <c r="M375" s="1">
        <f t="shared" si="96"/>
        <v>910</v>
      </c>
      <c r="N375" s="1" t="s">
        <v>417</v>
      </c>
      <c r="O375" s="57">
        <v>5.9</v>
      </c>
      <c r="P375" s="1">
        <f t="shared" ref="P375:P376" si="107">IF(M375&gt;=540,1,"nulo")</f>
        <v>1</v>
      </c>
      <c r="Q375" s="1">
        <f t="shared" ref="Q375:Q376" si="108">IF(M375&gt;=360,1,"nulo")</f>
        <v>1</v>
      </c>
      <c r="R375" s="1">
        <f t="shared" ref="R375:R377" si="109">IF(M375&gt;=180,1,"nulo")</f>
        <v>1</v>
      </c>
      <c r="S375" s="1">
        <f t="shared" ref="S375:S377" si="110">IF(M375&gt;=90,1,"nulo")</f>
        <v>1</v>
      </c>
      <c r="T375" s="1" t="s">
        <v>437</v>
      </c>
      <c r="Y375" s="57">
        <v>8</v>
      </c>
      <c r="Z375" s="57">
        <v>0</v>
      </c>
      <c r="AA375" s="57"/>
      <c r="AB375" s="1">
        <v>0</v>
      </c>
      <c r="AC375" s="98">
        <v>0</v>
      </c>
      <c r="AD375" s="172">
        <v>45</v>
      </c>
      <c r="AE375" s="1" t="s">
        <v>417</v>
      </c>
      <c r="AF375" s="57">
        <v>2</v>
      </c>
      <c r="AG375" s="57">
        <v>0.35</v>
      </c>
      <c r="AH375" s="57">
        <v>2</v>
      </c>
      <c r="AI375" s="57">
        <v>0.35</v>
      </c>
      <c r="AL375" s="1">
        <v>0</v>
      </c>
    </row>
    <row r="376" spans="1:38" s="1" customFormat="1" x14ac:dyDescent="0.25">
      <c r="A376" s="233" t="s">
        <v>326</v>
      </c>
      <c r="B376" s="1">
        <v>2</v>
      </c>
      <c r="C376" s="1" t="s">
        <v>418</v>
      </c>
      <c r="D376" s="67">
        <v>38748</v>
      </c>
      <c r="E376" s="174">
        <f t="shared" si="97"/>
        <v>2247</v>
      </c>
      <c r="G376" s="234">
        <v>40274</v>
      </c>
      <c r="H376" s="13">
        <f>G375</f>
        <v>40085</v>
      </c>
      <c r="I376" s="13">
        <v>40995</v>
      </c>
      <c r="J376" s="13"/>
      <c r="K376" s="1">
        <f t="shared" si="94"/>
        <v>1526</v>
      </c>
      <c r="L376" s="1">
        <f t="shared" si="95"/>
        <v>189</v>
      </c>
      <c r="M376" s="1">
        <f t="shared" si="96"/>
        <v>721</v>
      </c>
      <c r="N376" s="1" t="s">
        <v>417</v>
      </c>
      <c r="O376" s="4">
        <v>5.54</v>
      </c>
      <c r="P376" s="1">
        <f t="shared" si="107"/>
        <v>1</v>
      </c>
      <c r="Q376" s="1">
        <f t="shared" si="108"/>
        <v>1</v>
      </c>
      <c r="R376" s="1">
        <f t="shared" si="109"/>
        <v>1</v>
      </c>
      <c r="S376" s="1">
        <f t="shared" si="110"/>
        <v>1</v>
      </c>
      <c r="T376" s="1" t="s">
        <v>437</v>
      </c>
      <c r="Y376" s="4">
        <v>8</v>
      </c>
      <c r="Z376" s="4">
        <v>0</v>
      </c>
      <c r="AA376" s="57"/>
      <c r="AB376" s="1">
        <v>0</v>
      </c>
      <c r="AC376" s="98">
        <v>0</v>
      </c>
      <c r="AD376" s="172">
        <v>45</v>
      </c>
      <c r="AE376" s="1" t="s">
        <v>417</v>
      </c>
      <c r="AF376" s="4">
        <v>2</v>
      </c>
      <c r="AG376" s="4">
        <v>0.35</v>
      </c>
      <c r="AH376" s="4">
        <v>2</v>
      </c>
      <c r="AI376" s="4">
        <v>0.35</v>
      </c>
      <c r="AL376" s="1">
        <v>0</v>
      </c>
    </row>
    <row r="377" spans="1:38" s="1" customFormat="1" x14ac:dyDescent="0.25">
      <c r="A377" s="233" t="s">
        <v>326</v>
      </c>
      <c r="B377" s="1">
        <v>2</v>
      </c>
      <c r="C377" s="1" t="s">
        <v>418</v>
      </c>
      <c r="D377" s="67">
        <v>38748</v>
      </c>
      <c r="E377" s="174">
        <f t="shared" si="97"/>
        <v>2247</v>
      </c>
      <c r="G377" s="13">
        <v>40652</v>
      </c>
      <c r="H377" s="13">
        <f t="shared" ref="H377:H378" si="111">G376</f>
        <v>40274</v>
      </c>
      <c r="I377" s="13">
        <v>40995</v>
      </c>
      <c r="J377" s="13"/>
      <c r="K377" s="1">
        <f t="shared" si="94"/>
        <v>1904</v>
      </c>
      <c r="L377" s="1">
        <f t="shared" si="95"/>
        <v>378</v>
      </c>
      <c r="M377" s="1">
        <f t="shared" si="96"/>
        <v>343</v>
      </c>
      <c r="N377" s="1" t="s">
        <v>417</v>
      </c>
      <c r="O377" s="4">
        <v>5.2</v>
      </c>
      <c r="R377" s="1">
        <f t="shared" si="109"/>
        <v>1</v>
      </c>
      <c r="S377" s="1">
        <f t="shared" si="110"/>
        <v>1</v>
      </c>
      <c r="T377" s="1" t="s">
        <v>442</v>
      </c>
      <c r="Y377" s="4">
        <v>8</v>
      </c>
      <c r="Z377" s="4">
        <v>0</v>
      </c>
      <c r="AA377" s="57"/>
      <c r="AB377" s="1">
        <v>0</v>
      </c>
      <c r="AC377" s="98">
        <v>4</v>
      </c>
      <c r="AD377" s="172">
        <v>45</v>
      </c>
      <c r="AE377" s="1" t="s">
        <v>417</v>
      </c>
      <c r="AF377" s="4">
        <v>2</v>
      </c>
      <c r="AG377" s="4">
        <v>0.35</v>
      </c>
      <c r="AH377" s="4">
        <v>2</v>
      </c>
      <c r="AI377" s="4">
        <v>0.35</v>
      </c>
      <c r="AL377" s="1">
        <v>0</v>
      </c>
    </row>
    <row r="378" spans="1:38" s="1" customFormat="1" x14ac:dyDescent="0.25">
      <c r="A378" s="233" t="s">
        <v>326</v>
      </c>
      <c r="B378" s="1">
        <v>2</v>
      </c>
      <c r="C378" s="1" t="s">
        <v>418</v>
      </c>
      <c r="D378" s="67">
        <v>38748</v>
      </c>
      <c r="E378" s="174">
        <f t="shared" si="97"/>
        <v>2247</v>
      </c>
      <c r="G378" s="13">
        <v>40995</v>
      </c>
      <c r="H378" s="13">
        <f t="shared" si="111"/>
        <v>40652</v>
      </c>
      <c r="I378" s="13">
        <v>40995</v>
      </c>
      <c r="J378" s="13"/>
      <c r="K378" s="1">
        <f t="shared" si="94"/>
        <v>2247</v>
      </c>
      <c r="L378" s="1">
        <f t="shared" si="95"/>
        <v>343</v>
      </c>
      <c r="M378" s="1">
        <f t="shared" si="96"/>
        <v>0</v>
      </c>
      <c r="N378" s="1" t="s">
        <v>417</v>
      </c>
      <c r="O378" s="4">
        <v>5.18</v>
      </c>
      <c r="Y378" s="4">
        <v>2</v>
      </c>
      <c r="Z378" s="4">
        <v>0</v>
      </c>
      <c r="AA378" s="57"/>
      <c r="AB378" s="1">
        <v>0</v>
      </c>
      <c r="AC378" s="98">
        <v>4</v>
      </c>
      <c r="AD378" s="172">
        <v>45</v>
      </c>
      <c r="AE378" s="1" t="s">
        <v>417</v>
      </c>
      <c r="AF378" s="4">
        <v>2</v>
      </c>
      <c r="AG378" s="4">
        <v>0.35</v>
      </c>
      <c r="AH378" s="4">
        <v>2</v>
      </c>
      <c r="AI378" s="4">
        <v>0.35</v>
      </c>
      <c r="AL378" s="1">
        <v>0</v>
      </c>
    </row>
    <row r="379" spans="1:38" s="1" customFormat="1" x14ac:dyDescent="0.25">
      <c r="A379" s="235" t="s">
        <v>329</v>
      </c>
      <c r="B379" s="1">
        <v>2</v>
      </c>
      <c r="C379" s="1" t="s">
        <v>418</v>
      </c>
      <c r="D379" s="67">
        <v>38846</v>
      </c>
      <c r="E379" s="174">
        <f t="shared" si="97"/>
        <v>2732</v>
      </c>
      <c r="G379" s="61">
        <v>40736</v>
      </c>
      <c r="H379" s="67">
        <v>38846</v>
      </c>
      <c r="I379" s="13">
        <v>41578</v>
      </c>
      <c r="J379" s="13"/>
      <c r="K379" s="1">
        <f t="shared" si="94"/>
        <v>1890</v>
      </c>
      <c r="L379" s="1">
        <f t="shared" si="95"/>
        <v>1890</v>
      </c>
      <c r="M379" s="1">
        <f t="shared" si="96"/>
        <v>842</v>
      </c>
      <c r="N379" s="1" t="s">
        <v>417</v>
      </c>
      <c r="O379" s="57">
        <v>5.31</v>
      </c>
      <c r="P379" s="1">
        <f t="shared" ref="P379:P380" si="112">IF(M379&gt;=540,1,"nulo")</f>
        <v>1</v>
      </c>
      <c r="Q379" s="1">
        <f t="shared" ref="Q379:Q381" si="113">IF(M379&gt;=360,1,"nulo")</f>
        <v>1</v>
      </c>
      <c r="R379" s="1">
        <f t="shared" ref="R379:R382" si="114">IF(M379&gt;=180,1,"nulo")</f>
        <v>1</v>
      </c>
      <c r="S379" s="1">
        <f t="shared" ref="S379:S383" si="115">IF(M379&gt;=90,1,"nulo")</f>
        <v>1</v>
      </c>
      <c r="T379" s="1" t="s">
        <v>437</v>
      </c>
      <c r="Y379" s="57">
        <v>0</v>
      </c>
      <c r="Z379" s="57">
        <v>0</v>
      </c>
      <c r="AA379" s="57"/>
      <c r="AB379" s="1">
        <v>2</v>
      </c>
      <c r="AC379" s="98">
        <v>0</v>
      </c>
      <c r="AD379" s="172">
        <v>50</v>
      </c>
      <c r="AE379" s="1" t="s">
        <v>417</v>
      </c>
      <c r="AF379" s="57">
        <v>2.5</v>
      </c>
      <c r="AG379" s="57">
        <v>0.35</v>
      </c>
      <c r="AH379" s="57">
        <v>3.5</v>
      </c>
      <c r="AI379" s="57">
        <v>0.35</v>
      </c>
      <c r="AL379" s="1">
        <v>0</v>
      </c>
    </row>
    <row r="380" spans="1:38" s="1" customFormat="1" x14ac:dyDescent="0.25">
      <c r="A380" s="235" t="s">
        <v>329</v>
      </c>
      <c r="B380" s="1">
        <v>2</v>
      </c>
      <c r="C380" s="1" t="s">
        <v>418</v>
      </c>
      <c r="D380" s="67">
        <v>38846</v>
      </c>
      <c r="E380" s="174">
        <f t="shared" si="97"/>
        <v>2732</v>
      </c>
      <c r="G380" s="234">
        <v>40953</v>
      </c>
      <c r="H380" s="13">
        <f>G379</f>
        <v>40736</v>
      </c>
      <c r="I380" s="13">
        <v>41578</v>
      </c>
      <c r="J380" s="13"/>
      <c r="K380" s="1">
        <f t="shared" si="94"/>
        <v>2107</v>
      </c>
      <c r="L380" s="1">
        <f t="shared" si="95"/>
        <v>217</v>
      </c>
      <c r="M380" s="1">
        <f t="shared" si="96"/>
        <v>625</v>
      </c>
      <c r="N380" s="1" t="s">
        <v>417</v>
      </c>
      <c r="O380" s="4">
        <v>5.21</v>
      </c>
      <c r="P380" s="1">
        <f t="shared" si="112"/>
        <v>1</v>
      </c>
      <c r="Q380" s="1">
        <f t="shared" si="113"/>
        <v>1</v>
      </c>
      <c r="R380" s="1">
        <f t="shared" si="114"/>
        <v>1</v>
      </c>
      <c r="S380" s="1">
        <f t="shared" si="115"/>
        <v>1</v>
      </c>
      <c r="T380" s="1" t="s">
        <v>437</v>
      </c>
      <c r="Y380" s="4">
        <v>0</v>
      </c>
      <c r="Z380" s="4">
        <v>0</v>
      </c>
      <c r="AA380" s="57"/>
      <c r="AB380" s="1">
        <v>0</v>
      </c>
      <c r="AC380" s="98">
        <v>0</v>
      </c>
      <c r="AD380" s="172">
        <v>50</v>
      </c>
      <c r="AE380" s="1" t="s">
        <v>417</v>
      </c>
      <c r="AF380" s="4">
        <v>2.5</v>
      </c>
      <c r="AG380" s="4">
        <v>0.35</v>
      </c>
      <c r="AH380" s="4">
        <v>3.5</v>
      </c>
      <c r="AI380" s="4">
        <v>0.35</v>
      </c>
      <c r="AL380" s="1">
        <v>0</v>
      </c>
    </row>
    <row r="381" spans="1:38" s="1" customFormat="1" x14ac:dyDescent="0.25">
      <c r="A381" s="235" t="s">
        <v>329</v>
      </c>
      <c r="B381" s="1">
        <v>2</v>
      </c>
      <c r="C381" s="1" t="s">
        <v>418</v>
      </c>
      <c r="D381" s="67">
        <v>38846</v>
      </c>
      <c r="E381" s="174">
        <f t="shared" si="97"/>
        <v>2732</v>
      </c>
      <c r="G381" s="13">
        <v>41051</v>
      </c>
      <c r="H381" s="13">
        <f t="shared" ref="H381:H385" si="116">G380</f>
        <v>40953</v>
      </c>
      <c r="I381" s="13">
        <v>41578</v>
      </c>
      <c r="J381" s="13"/>
      <c r="K381" s="1">
        <f t="shared" si="94"/>
        <v>2205</v>
      </c>
      <c r="L381" s="1">
        <f t="shared" si="95"/>
        <v>98</v>
      </c>
      <c r="M381" s="1">
        <f t="shared" si="96"/>
        <v>527</v>
      </c>
      <c r="N381" s="1" t="s">
        <v>417</v>
      </c>
      <c r="O381" s="4">
        <v>5.18</v>
      </c>
      <c r="Q381" s="1">
        <f t="shared" si="113"/>
        <v>1</v>
      </c>
      <c r="R381" s="1">
        <f t="shared" si="114"/>
        <v>1</v>
      </c>
      <c r="S381" s="1">
        <f t="shared" si="115"/>
        <v>1</v>
      </c>
      <c r="T381" s="1" t="s">
        <v>442</v>
      </c>
      <c r="Y381" s="4">
        <v>0</v>
      </c>
      <c r="Z381" s="4">
        <v>0</v>
      </c>
      <c r="AA381" s="57"/>
      <c r="AB381" s="1">
        <v>0</v>
      </c>
      <c r="AC381" s="98">
        <v>0</v>
      </c>
      <c r="AD381" s="172">
        <v>50</v>
      </c>
      <c r="AE381" s="1" t="s">
        <v>417</v>
      </c>
      <c r="AF381" s="4">
        <v>2.5</v>
      </c>
      <c r="AG381" s="4">
        <v>0.35</v>
      </c>
      <c r="AH381" s="4">
        <v>3.5</v>
      </c>
      <c r="AI381" s="4">
        <v>0.35</v>
      </c>
      <c r="AL381" s="1">
        <v>0</v>
      </c>
    </row>
    <row r="382" spans="1:38" s="1" customFormat="1" x14ac:dyDescent="0.25">
      <c r="A382" s="235" t="s">
        <v>329</v>
      </c>
      <c r="B382" s="1">
        <v>2</v>
      </c>
      <c r="C382" s="1" t="s">
        <v>418</v>
      </c>
      <c r="D382" s="67">
        <v>38846</v>
      </c>
      <c r="E382" s="174">
        <f t="shared" si="97"/>
        <v>2732</v>
      </c>
      <c r="G382" s="13">
        <v>41247</v>
      </c>
      <c r="H382" s="13">
        <f t="shared" si="116"/>
        <v>41051</v>
      </c>
      <c r="I382" s="13">
        <v>41578</v>
      </c>
      <c r="J382" s="13"/>
      <c r="K382" s="1">
        <f t="shared" si="94"/>
        <v>2401</v>
      </c>
      <c r="L382" s="1">
        <f t="shared" si="95"/>
        <v>196</v>
      </c>
      <c r="M382" s="1">
        <f t="shared" si="96"/>
        <v>331</v>
      </c>
      <c r="N382" s="1" t="s">
        <v>417</v>
      </c>
      <c r="O382" s="4">
        <v>5.16</v>
      </c>
      <c r="R382" s="1">
        <f t="shared" si="114"/>
        <v>1</v>
      </c>
      <c r="S382" s="1">
        <f t="shared" si="115"/>
        <v>1</v>
      </c>
      <c r="T382" s="1" t="s">
        <v>442</v>
      </c>
      <c r="Y382" s="4">
        <v>1</v>
      </c>
      <c r="Z382" s="4">
        <v>0</v>
      </c>
      <c r="AA382" s="57"/>
      <c r="AB382" s="1">
        <v>0</v>
      </c>
      <c r="AC382" s="98">
        <v>0</v>
      </c>
      <c r="AD382" s="172">
        <v>50</v>
      </c>
      <c r="AE382" s="1" t="s">
        <v>417</v>
      </c>
      <c r="AF382" s="4">
        <v>2.5</v>
      </c>
      <c r="AG382" s="4">
        <v>0.35</v>
      </c>
      <c r="AH382" s="4">
        <v>3.5</v>
      </c>
      <c r="AI382" s="4">
        <v>0.35</v>
      </c>
      <c r="AL382" s="1">
        <v>0</v>
      </c>
    </row>
    <row r="383" spans="1:38" s="1" customFormat="1" x14ac:dyDescent="0.25">
      <c r="A383" s="235" t="s">
        <v>329</v>
      </c>
      <c r="B383" s="1">
        <v>2</v>
      </c>
      <c r="C383" s="1" t="s">
        <v>418</v>
      </c>
      <c r="D383" s="67">
        <v>38846</v>
      </c>
      <c r="E383" s="174">
        <f t="shared" si="97"/>
        <v>2732</v>
      </c>
      <c r="G383" s="13">
        <v>41429</v>
      </c>
      <c r="H383" s="13">
        <f t="shared" si="116"/>
        <v>41247</v>
      </c>
      <c r="I383" s="13">
        <v>41578</v>
      </c>
      <c r="J383" s="13"/>
      <c r="K383" s="1">
        <f t="shared" si="94"/>
        <v>2583</v>
      </c>
      <c r="L383" s="1">
        <f t="shared" si="95"/>
        <v>182</v>
      </c>
      <c r="M383" s="1">
        <f t="shared" si="96"/>
        <v>149</v>
      </c>
      <c r="N383" s="1" t="s">
        <v>417</v>
      </c>
      <c r="O383" s="4">
        <v>5.16</v>
      </c>
      <c r="S383" s="1">
        <f t="shared" si="115"/>
        <v>1</v>
      </c>
      <c r="T383" s="1" t="s">
        <v>442</v>
      </c>
      <c r="Y383" s="4">
        <v>1</v>
      </c>
      <c r="Z383" s="4">
        <v>0</v>
      </c>
      <c r="AA383" s="57"/>
      <c r="AB383" s="1">
        <v>0</v>
      </c>
      <c r="AC383" s="98">
        <v>0</v>
      </c>
      <c r="AD383" s="172">
        <v>50</v>
      </c>
      <c r="AE383" s="1" t="s">
        <v>417</v>
      </c>
      <c r="AF383" s="4">
        <v>2.5</v>
      </c>
      <c r="AG383" s="4">
        <v>0.35</v>
      </c>
      <c r="AH383" s="4">
        <v>3.5</v>
      </c>
      <c r="AI383" s="4">
        <v>0.35</v>
      </c>
      <c r="AL383" s="1">
        <v>0</v>
      </c>
    </row>
    <row r="384" spans="1:38" s="1" customFormat="1" x14ac:dyDescent="0.25">
      <c r="A384" s="235" t="s">
        <v>329</v>
      </c>
      <c r="B384" s="1">
        <v>2</v>
      </c>
      <c r="C384" s="1" t="s">
        <v>418</v>
      </c>
      <c r="D384" s="67">
        <v>38846</v>
      </c>
      <c r="E384" s="174">
        <f t="shared" si="97"/>
        <v>2732</v>
      </c>
      <c r="G384" s="13">
        <v>41568</v>
      </c>
      <c r="H384" s="13">
        <f t="shared" si="116"/>
        <v>41429</v>
      </c>
      <c r="I384" s="13">
        <v>41578</v>
      </c>
      <c r="J384" s="13"/>
      <c r="K384" s="1">
        <f t="shared" si="94"/>
        <v>2722</v>
      </c>
      <c r="L384" s="1">
        <f t="shared" si="95"/>
        <v>139</v>
      </c>
      <c r="M384" s="1">
        <f t="shared" si="96"/>
        <v>10</v>
      </c>
      <c r="N384" s="1" t="s">
        <v>417</v>
      </c>
      <c r="O384" s="4">
        <v>5.15</v>
      </c>
      <c r="T384" s="1" t="s">
        <v>442</v>
      </c>
      <c r="Y384" s="4">
        <v>0</v>
      </c>
      <c r="Z384" s="4">
        <v>0</v>
      </c>
      <c r="AA384" s="57"/>
      <c r="AB384" s="1">
        <v>0</v>
      </c>
      <c r="AC384" s="98">
        <v>0</v>
      </c>
      <c r="AD384" s="172">
        <v>50</v>
      </c>
      <c r="AE384" s="1" t="s">
        <v>417</v>
      </c>
      <c r="AF384" s="4">
        <v>2.5</v>
      </c>
      <c r="AG384" s="4">
        <v>0.35</v>
      </c>
      <c r="AH384" s="4">
        <v>3.5</v>
      </c>
      <c r="AI384" s="4">
        <v>0.35</v>
      </c>
      <c r="AL384" s="1">
        <v>0</v>
      </c>
    </row>
    <row r="385" spans="1:38" s="1" customFormat="1" x14ac:dyDescent="0.25">
      <c r="A385" s="235" t="s">
        <v>329</v>
      </c>
      <c r="B385" s="1">
        <v>2</v>
      </c>
      <c r="C385" s="1" t="s">
        <v>418</v>
      </c>
      <c r="D385" s="67">
        <v>38846</v>
      </c>
      <c r="E385" s="174">
        <f t="shared" si="97"/>
        <v>2732</v>
      </c>
      <c r="G385" s="13">
        <v>41578</v>
      </c>
      <c r="H385" s="13">
        <f t="shared" si="116"/>
        <v>41568</v>
      </c>
      <c r="I385" s="13">
        <v>41578</v>
      </c>
      <c r="J385" s="13"/>
      <c r="K385" s="1">
        <f t="shared" si="94"/>
        <v>2732</v>
      </c>
      <c r="L385" s="1">
        <f t="shared" si="95"/>
        <v>10</v>
      </c>
      <c r="M385" s="1">
        <f t="shared" si="96"/>
        <v>0</v>
      </c>
      <c r="N385" s="1" t="s">
        <v>417</v>
      </c>
      <c r="O385" s="4">
        <v>5.15</v>
      </c>
      <c r="Y385" s="4">
        <v>0</v>
      </c>
      <c r="Z385" s="4">
        <v>0</v>
      </c>
      <c r="AA385" s="57"/>
      <c r="AB385" s="1">
        <v>0</v>
      </c>
      <c r="AC385" s="98">
        <v>0</v>
      </c>
      <c r="AD385" s="172">
        <v>50</v>
      </c>
      <c r="AE385" s="1" t="s">
        <v>417</v>
      </c>
      <c r="AF385" s="4">
        <v>2.5</v>
      </c>
      <c r="AG385" s="4">
        <v>0.35</v>
      </c>
      <c r="AH385" s="4">
        <v>3.5</v>
      </c>
      <c r="AI385" s="4">
        <v>0.35</v>
      </c>
      <c r="AL385" s="1">
        <v>0</v>
      </c>
    </row>
    <row r="386" spans="1:38" s="1" customFormat="1" x14ac:dyDescent="0.25">
      <c r="A386" s="237" t="s">
        <v>339</v>
      </c>
      <c r="B386" s="1">
        <v>2</v>
      </c>
      <c r="C386" s="1" t="s">
        <v>418</v>
      </c>
      <c r="D386" s="238">
        <v>38796</v>
      </c>
      <c r="E386" s="174">
        <f t="shared" si="97"/>
        <v>2689</v>
      </c>
      <c r="G386" s="61">
        <v>40730</v>
      </c>
      <c r="H386" s="238">
        <v>38796</v>
      </c>
      <c r="I386" s="13">
        <v>41485</v>
      </c>
      <c r="J386" s="13"/>
      <c r="K386" s="1">
        <f t="shared" ref="K386:K392" si="117">G386-D386</f>
        <v>1934</v>
      </c>
      <c r="L386" s="1">
        <f t="shared" ref="L386:L392" si="118">G386-H386</f>
        <v>1934</v>
      </c>
      <c r="M386" s="1">
        <f t="shared" ref="M386:M392" si="119">I386-G386</f>
        <v>755</v>
      </c>
      <c r="N386" s="1" t="s">
        <v>417</v>
      </c>
      <c r="O386" s="57">
        <v>5.18</v>
      </c>
      <c r="P386" s="1">
        <f t="shared" ref="P386" si="120">IF(M386&gt;=540,1,"nulo")</f>
        <v>1</v>
      </c>
      <c r="Q386" s="1">
        <f t="shared" ref="Q386:Q388" si="121">IF(M386&gt;=360,1,"nulo")</f>
        <v>1</v>
      </c>
      <c r="R386" s="1">
        <f t="shared" ref="R386:R390" si="122">IF(M386&gt;=180,1,"nulo")</f>
        <v>1</v>
      </c>
      <c r="S386" s="1">
        <f t="shared" ref="S386:S391" si="123">IF(M386&gt;=90,1,"nulo")</f>
        <v>1</v>
      </c>
      <c r="T386" s="1" t="s">
        <v>437</v>
      </c>
      <c r="Y386" s="57">
        <v>77</v>
      </c>
      <c r="Z386" s="57">
        <v>100</v>
      </c>
      <c r="AA386" s="57"/>
      <c r="AB386" s="1">
        <v>0</v>
      </c>
      <c r="AC386" s="98">
        <v>0</v>
      </c>
      <c r="AD386" s="172">
        <v>60</v>
      </c>
      <c r="AE386" s="1" t="s">
        <v>417</v>
      </c>
      <c r="AF386" s="57">
        <v>2.5</v>
      </c>
      <c r="AG386" s="57">
        <v>0.35</v>
      </c>
      <c r="AH386" s="57">
        <v>2.5</v>
      </c>
      <c r="AI386" s="57">
        <v>0.35</v>
      </c>
      <c r="AL386" s="1">
        <v>0</v>
      </c>
    </row>
    <row r="387" spans="1:38" s="1" customFormat="1" x14ac:dyDescent="0.25">
      <c r="A387" s="237" t="s">
        <v>339</v>
      </c>
      <c r="B387" s="1">
        <v>2</v>
      </c>
      <c r="C387" s="1" t="s">
        <v>418</v>
      </c>
      <c r="D387" s="238">
        <v>38796</v>
      </c>
      <c r="E387" s="174">
        <f t="shared" ref="E387:E392" si="124">I387-D387</f>
        <v>2689</v>
      </c>
      <c r="G387" s="13">
        <v>40946</v>
      </c>
      <c r="H387" s="13">
        <f>G386</f>
        <v>40730</v>
      </c>
      <c r="I387" s="13">
        <v>41485</v>
      </c>
      <c r="J387" s="13"/>
      <c r="K387" s="1">
        <f t="shared" si="117"/>
        <v>2150</v>
      </c>
      <c r="L387" s="1">
        <f t="shared" si="118"/>
        <v>216</v>
      </c>
      <c r="M387" s="1">
        <f t="shared" si="119"/>
        <v>539</v>
      </c>
      <c r="N387" s="1" t="s">
        <v>417</v>
      </c>
      <c r="O387" s="4">
        <v>5.16</v>
      </c>
      <c r="Q387" s="1">
        <f t="shared" si="121"/>
        <v>1</v>
      </c>
      <c r="R387" s="1">
        <f t="shared" si="122"/>
        <v>1</v>
      </c>
      <c r="S387" s="1">
        <f t="shared" si="123"/>
        <v>1</v>
      </c>
      <c r="T387" s="1" t="s">
        <v>442</v>
      </c>
      <c r="Y387" s="4">
        <v>55</v>
      </c>
      <c r="Z387" s="4">
        <v>100</v>
      </c>
      <c r="AA387" s="57"/>
      <c r="AB387" s="1">
        <v>0</v>
      </c>
      <c r="AC387" s="98">
        <v>0</v>
      </c>
      <c r="AD387" s="172">
        <v>60</v>
      </c>
      <c r="AE387" s="1" t="s">
        <v>417</v>
      </c>
      <c r="AF387" s="4">
        <v>2.5</v>
      </c>
      <c r="AG387" s="4">
        <v>0.35</v>
      </c>
      <c r="AH387" s="4">
        <v>2.5</v>
      </c>
      <c r="AI387" s="4">
        <v>0.35</v>
      </c>
      <c r="AL387" s="1">
        <v>0</v>
      </c>
    </row>
    <row r="388" spans="1:38" s="1" customFormat="1" x14ac:dyDescent="0.25">
      <c r="A388" s="237" t="s">
        <v>339</v>
      </c>
      <c r="B388" s="1">
        <v>2</v>
      </c>
      <c r="C388" s="1" t="s">
        <v>418</v>
      </c>
      <c r="D388" s="238">
        <v>38796</v>
      </c>
      <c r="E388" s="174">
        <f t="shared" si="124"/>
        <v>2689</v>
      </c>
      <c r="G388" s="13">
        <v>41009</v>
      </c>
      <c r="H388" s="13">
        <f t="shared" ref="H388:H392" si="125">G387</f>
        <v>40946</v>
      </c>
      <c r="I388" s="13">
        <v>41485</v>
      </c>
      <c r="J388" s="13"/>
      <c r="K388" s="1">
        <f t="shared" si="117"/>
        <v>2213</v>
      </c>
      <c r="L388" s="1">
        <f t="shared" si="118"/>
        <v>63</v>
      </c>
      <c r="M388" s="1">
        <f t="shared" si="119"/>
        <v>476</v>
      </c>
      <c r="N388" s="1" t="s">
        <v>417</v>
      </c>
      <c r="O388" s="4">
        <v>5.16</v>
      </c>
      <c r="Q388" s="1">
        <f t="shared" si="121"/>
        <v>1</v>
      </c>
      <c r="R388" s="1">
        <f t="shared" si="122"/>
        <v>1</v>
      </c>
      <c r="S388" s="1">
        <f t="shared" si="123"/>
        <v>1</v>
      </c>
      <c r="T388" s="1" t="s">
        <v>442</v>
      </c>
      <c r="Y388" s="4">
        <v>41</v>
      </c>
      <c r="Z388" s="4">
        <v>99</v>
      </c>
      <c r="AA388" s="57"/>
      <c r="AB388" s="1">
        <v>0</v>
      </c>
      <c r="AC388" s="98">
        <v>0</v>
      </c>
      <c r="AD388" s="172">
        <v>60</v>
      </c>
      <c r="AE388" s="1" t="s">
        <v>417</v>
      </c>
      <c r="AF388" s="4">
        <v>2.5</v>
      </c>
      <c r="AG388" s="4">
        <v>0.35</v>
      </c>
      <c r="AH388" s="4">
        <v>2.5</v>
      </c>
      <c r="AI388" s="4">
        <v>0.35</v>
      </c>
      <c r="AL388" s="1">
        <v>0</v>
      </c>
    </row>
    <row r="389" spans="1:38" s="1" customFormat="1" x14ac:dyDescent="0.25">
      <c r="A389" s="237" t="s">
        <v>339</v>
      </c>
      <c r="B389" s="1">
        <v>2</v>
      </c>
      <c r="C389" s="1" t="s">
        <v>418</v>
      </c>
      <c r="D389" s="238">
        <v>38796</v>
      </c>
      <c r="E389" s="174">
        <f t="shared" si="124"/>
        <v>2689</v>
      </c>
      <c r="G389" s="13">
        <v>41144</v>
      </c>
      <c r="H389" s="13">
        <f t="shared" si="125"/>
        <v>41009</v>
      </c>
      <c r="I389" s="13">
        <v>41485</v>
      </c>
      <c r="J389" s="13"/>
      <c r="K389" s="1">
        <f t="shared" si="117"/>
        <v>2348</v>
      </c>
      <c r="L389" s="1">
        <f t="shared" si="118"/>
        <v>135</v>
      </c>
      <c r="M389" s="1">
        <f t="shared" si="119"/>
        <v>341</v>
      </c>
      <c r="N389" s="1" t="s">
        <v>417</v>
      </c>
      <c r="O389" s="4">
        <v>5.12</v>
      </c>
      <c r="R389" s="1">
        <f t="shared" si="122"/>
        <v>1</v>
      </c>
      <c r="S389" s="1">
        <f t="shared" si="123"/>
        <v>1</v>
      </c>
      <c r="T389" s="1" t="s">
        <v>442</v>
      </c>
      <c r="Y389" s="4">
        <v>42</v>
      </c>
      <c r="Z389" s="4">
        <v>100</v>
      </c>
      <c r="AA389" s="57"/>
      <c r="AB389" s="1">
        <v>0</v>
      </c>
      <c r="AC389" s="98">
        <v>0</v>
      </c>
      <c r="AD389" s="172">
        <v>60</v>
      </c>
      <c r="AE389" s="1" t="s">
        <v>417</v>
      </c>
      <c r="AF389" s="4">
        <v>2.5</v>
      </c>
      <c r="AG389" s="4">
        <v>0.35</v>
      </c>
      <c r="AH389" s="4">
        <v>2.5</v>
      </c>
      <c r="AI389" s="4">
        <v>0.35</v>
      </c>
      <c r="AL389" s="1">
        <v>0</v>
      </c>
    </row>
    <row r="390" spans="1:38" s="1" customFormat="1" x14ac:dyDescent="0.25">
      <c r="A390" s="237" t="s">
        <v>339</v>
      </c>
      <c r="B390" s="1">
        <v>2</v>
      </c>
      <c r="C390" s="1" t="s">
        <v>418</v>
      </c>
      <c r="D390" s="238">
        <v>38796</v>
      </c>
      <c r="E390" s="174">
        <f t="shared" si="124"/>
        <v>2689</v>
      </c>
      <c r="G390" s="13">
        <v>41240</v>
      </c>
      <c r="H390" s="13">
        <f t="shared" si="125"/>
        <v>41144</v>
      </c>
      <c r="I390" s="13">
        <v>41485</v>
      </c>
      <c r="J390" s="13"/>
      <c r="K390" s="1">
        <f t="shared" si="117"/>
        <v>2444</v>
      </c>
      <c r="L390" s="1">
        <f t="shared" si="118"/>
        <v>96</v>
      </c>
      <c r="M390" s="1">
        <f t="shared" si="119"/>
        <v>245</v>
      </c>
      <c r="N390" s="1" t="s">
        <v>417</v>
      </c>
      <c r="O390" s="4">
        <v>5.05</v>
      </c>
      <c r="R390" s="1">
        <f t="shared" si="122"/>
        <v>1</v>
      </c>
      <c r="S390" s="1">
        <f t="shared" si="123"/>
        <v>1</v>
      </c>
      <c r="T390" s="1" t="s">
        <v>442</v>
      </c>
      <c r="Y390" s="4">
        <v>65</v>
      </c>
      <c r="Z390" s="4">
        <v>100</v>
      </c>
      <c r="AA390" s="57"/>
      <c r="AB390" s="1">
        <v>0</v>
      </c>
      <c r="AC390" s="98">
        <v>0</v>
      </c>
      <c r="AD390" s="172">
        <v>60</v>
      </c>
      <c r="AE390" s="1" t="s">
        <v>417</v>
      </c>
      <c r="AF390" s="4">
        <v>2.5</v>
      </c>
      <c r="AG390" s="4">
        <v>0.35</v>
      </c>
      <c r="AH390" s="4">
        <v>2.5</v>
      </c>
      <c r="AI390" s="4">
        <v>0.35</v>
      </c>
      <c r="AL390" s="1">
        <v>0</v>
      </c>
    </row>
    <row r="391" spans="1:38" s="1" customFormat="1" x14ac:dyDescent="0.25">
      <c r="A391" s="237" t="s">
        <v>339</v>
      </c>
      <c r="B391" s="1">
        <v>2</v>
      </c>
      <c r="C391" s="1" t="s">
        <v>418</v>
      </c>
      <c r="D391" s="238">
        <v>38796</v>
      </c>
      <c r="E391" s="174">
        <f t="shared" si="124"/>
        <v>2689</v>
      </c>
      <c r="G391" s="13">
        <v>41352</v>
      </c>
      <c r="H391" s="13">
        <f t="shared" si="125"/>
        <v>41240</v>
      </c>
      <c r="I391" s="13">
        <v>41485</v>
      </c>
      <c r="J391" s="13"/>
      <c r="K391" s="1">
        <f t="shared" si="117"/>
        <v>2556</v>
      </c>
      <c r="L391" s="1">
        <f t="shared" si="118"/>
        <v>112</v>
      </c>
      <c r="M391" s="1">
        <f t="shared" si="119"/>
        <v>133</v>
      </c>
      <c r="N391" s="1" t="s">
        <v>434</v>
      </c>
      <c r="O391" s="4">
        <v>4.8600000000000003</v>
      </c>
      <c r="S391" s="1">
        <f t="shared" si="123"/>
        <v>1</v>
      </c>
      <c r="T391" s="1" t="s">
        <v>442</v>
      </c>
      <c r="Y391" s="4">
        <v>41</v>
      </c>
      <c r="Z391" s="4">
        <v>100</v>
      </c>
      <c r="AA391" s="57"/>
      <c r="AB391" s="1">
        <v>0</v>
      </c>
      <c r="AC391" s="98">
        <v>0</v>
      </c>
      <c r="AD391" s="172">
        <v>60</v>
      </c>
      <c r="AE391" s="1" t="s">
        <v>417</v>
      </c>
      <c r="AF391" s="4">
        <v>2.5</v>
      </c>
      <c r="AG391" s="4">
        <v>0.35</v>
      </c>
      <c r="AH391" s="4">
        <v>2.5</v>
      </c>
      <c r="AI391" s="4">
        <v>0.35</v>
      </c>
      <c r="AL391" s="1">
        <v>0</v>
      </c>
    </row>
    <row r="392" spans="1:38" s="1" customFormat="1" x14ac:dyDescent="0.25">
      <c r="A392" s="237" t="s">
        <v>339</v>
      </c>
      <c r="B392" s="1">
        <v>2</v>
      </c>
      <c r="C392" s="1" t="s">
        <v>418</v>
      </c>
      <c r="D392" s="238">
        <v>38796</v>
      </c>
      <c r="E392" s="174">
        <f t="shared" si="124"/>
        <v>2689</v>
      </c>
      <c r="G392" s="13">
        <v>41485</v>
      </c>
      <c r="H392" s="13">
        <f t="shared" si="125"/>
        <v>41352</v>
      </c>
      <c r="I392" s="13">
        <v>41485</v>
      </c>
      <c r="J392" s="13"/>
      <c r="K392" s="1">
        <f t="shared" si="117"/>
        <v>2689</v>
      </c>
      <c r="L392" s="1">
        <f t="shared" si="118"/>
        <v>133</v>
      </c>
      <c r="M392" s="1">
        <f t="shared" si="119"/>
        <v>0</v>
      </c>
      <c r="N392" s="1" t="s">
        <v>434</v>
      </c>
      <c r="O392" s="4">
        <v>4.58</v>
      </c>
      <c r="T392" s="1" t="s">
        <v>442</v>
      </c>
      <c r="U392" s="1">
        <v>0</v>
      </c>
      <c r="V392" s="1">
        <v>0</v>
      </c>
      <c r="W392" s="1">
        <v>0</v>
      </c>
      <c r="X392" s="1">
        <v>1</v>
      </c>
      <c r="Y392" s="4">
        <v>65</v>
      </c>
      <c r="Z392" s="4">
        <v>100</v>
      </c>
      <c r="AA392" s="57"/>
      <c r="AB392" s="1">
        <v>0</v>
      </c>
      <c r="AC392" s="98">
        <v>0</v>
      </c>
      <c r="AD392" s="172">
        <v>60</v>
      </c>
      <c r="AE392" s="1" t="s">
        <v>417</v>
      </c>
      <c r="AF392" s="4">
        <v>2.5</v>
      </c>
      <c r="AG392" s="4">
        <v>0.35</v>
      </c>
      <c r="AH392" s="4">
        <v>2.5</v>
      </c>
      <c r="AI392" s="4">
        <v>0.35</v>
      </c>
      <c r="AL392" s="1">
        <v>0</v>
      </c>
    </row>
    <row r="425" spans="1:37" x14ac:dyDescent="0.25">
      <c r="A425" s="216"/>
      <c r="B425" s="216"/>
      <c r="C425" s="216"/>
      <c r="D425" s="217"/>
      <c r="E425" s="216"/>
      <c r="F425" s="217"/>
      <c r="G425" s="217"/>
      <c r="H425" s="217"/>
      <c r="I425" s="232"/>
      <c r="J425" s="216"/>
      <c r="K425" s="216"/>
      <c r="L425" s="216"/>
      <c r="M425" s="216"/>
      <c r="N425" s="216"/>
      <c r="O425" s="21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25">
      <c r="A426" s="216"/>
      <c r="B426" s="216"/>
      <c r="C426" s="216"/>
      <c r="D426" s="217"/>
      <c r="E426" s="216"/>
      <c r="F426" s="217"/>
      <c r="G426" s="232"/>
      <c r="H426" s="217"/>
      <c r="I426" s="232"/>
      <c r="J426" s="216"/>
      <c r="K426" s="216"/>
      <c r="L426" s="216"/>
      <c r="M426" s="216"/>
      <c r="N426" s="216"/>
      <c r="O426" s="21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25">
      <c r="A427" s="216"/>
      <c r="B427" s="216"/>
      <c r="C427" s="216"/>
      <c r="D427" s="217"/>
      <c r="E427" s="216"/>
      <c r="F427" s="217"/>
      <c r="G427" s="217"/>
      <c r="H427" s="217"/>
      <c r="I427" s="232"/>
      <c r="J427" s="216"/>
      <c r="K427" s="216"/>
      <c r="L427" s="216"/>
      <c r="M427" s="216"/>
      <c r="N427" s="216"/>
      <c r="O427" s="21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25">
      <c r="A428" s="216"/>
      <c r="B428" s="216"/>
      <c r="C428" s="216"/>
      <c r="D428" s="217"/>
      <c r="E428" s="216"/>
      <c r="F428" s="217"/>
      <c r="G428" s="232"/>
      <c r="H428" s="217"/>
      <c r="I428" s="232"/>
      <c r="J428" s="216"/>
      <c r="K428" s="216"/>
      <c r="L428" s="216"/>
      <c r="M428" s="216"/>
      <c r="N428" s="216"/>
      <c r="O428" s="21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25">
      <c r="A429" s="216"/>
      <c r="B429" s="216"/>
      <c r="C429" s="216"/>
      <c r="D429" s="217"/>
      <c r="E429" s="216"/>
      <c r="F429" s="217"/>
      <c r="G429" s="217"/>
      <c r="H429" s="217"/>
      <c r="I429" s="232"/>
      <c r="J429" s="216"/>
      <c r="K429" s="216"/>
      <c r="L429" s="216"/>
      <c r="M429" s="216"/>
      <c r="N429" s="216"/>
      <c r="O429" s="21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25">
      <c r="A430" s="216"/>
      <c r="B430" s="216"/>
      <c r="C430" s="216"/>
      <c r="D430" s="217"/>
      <c r="E430" s="216"/>
      <c r="F430" s="217"/>
      <c r="G430" s="217"/>
      <c r="H430" s="217"/>
      <c r="I430" s="232"/>
      <c r="J430" s="216"/>
      <c r="K430" s="216"/>
      <c r="L430" s="216"/>
      <c r="M430" s="216"/>
      <c r="N430" s="216"/>
      <c r="O430" s="21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25">
      <c r="A431" s="216"/>
      <c r="B431" s="216"/>
      <c r="C431" s="216"/>
      <c r="D431" s="217"/>
      <c r="E431" s="216"/>
      <c r="F431" s="217"/>
      <c r="G431" s="217"/>
      <c r="H431" s="217"/>
      <c r="I431" s="232"/>
      <c r="J431" s="216"/>
      <c r="K431" s="216"/>
      <c r="L431" s="216"/>
      <c r="M431" s="216"/>
      <c r="N431" s="216"/>
      <c r="O431" s="21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25">
      <c r="A432" s="216"/>
      <c r="B432" s="216"/>
      <c r="C432" s="216"/>
      <c r="D432" s="217"/>
      <c r="E432" s="216"/>
      <c r="F432" s="217"/>
      <c r="G432" s="217"/>
      <c r="H432" s="217"/>
      <c r="I432" s="232"/>
      <c r="J432" s="216"/>
      <c r="K432" s="216"/>
      <c r="L432" s="216"/>
      <c r="M432" s="216"/>
      <c r="N432" s="216"/>
      <c r="O432" s="21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25">
      <c r="A433" s="216"/>
      <c r="B433" s="216"/>
      <c r="C433" s="216"/>
      <c r="D433" s="217"/>
      <c r="E433" s="216"/>
      <c r="F433" s="217"/>
      <c r="G433" s="232"/>
      <c r="H433" s="217"/>
      <c r="I433" s="232"/>
      <c r="J433" s="216"/>
      <c r="K433" s="216"/>
      <c r="L433" s="216"/>
      <c r="M433" s="216"/>
      <c r="N433" s="216"/>
      <c r="O433" s="21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25">
      <c r="A434" s="216"/>
      <c r="B434" s="216"/>
      <c r="C434" s="216"/>
      <c r="D434" s="217"/>
      <c r="E434" s="216"/>
      <c r="F434" s="217"/>
      <c r="G434" s="217"/>
      <c r="H434" s="217"/>
      <c r="I434" s="232"/>
      <c r="J434" s="216"/>
      <c r="K434" s="216"/>
      <c r="L434" s="216"/>
      <c r="M434" s="216"/>
      <c r="N434" s="216"/>
      <c r="O434" s="21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25">
      <c r="A435" s="216"/>
      <c r="B435" s="216"/>
      <c r="C435" s="216"/>
      <c r="D435" s="217"/>
      <c r="E435" s="216"/>
      <c r="F435" s="217"/>
      <c r="G435" s="217"/>
      <c r="H435" s="217"/>
      <c r="I435" s="232"/>
      <c r="J435" s="216"/>
      <c r="K435" s="216"/>
      <c r="L435" s="216"/>
      <c r="M435" s="216"/>
      <c r="N435" s="216"/>
      <c r="O435" s="21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25">
      <c r="A436" s="216"/>
      <c r="B436" s="216"/>
      <c r="C436" s="216"/>
      <c r="D436" s="217"/>
      <c r="E436" s="216"/>
      <c r="F436" s="217"/>
      <c r="G436" s="217"/>
      <c r="H436" s="217"/>
      <c r="I436" s="232"/>
      <c r="J436" s="216"/>
      <c r="K436" s="216"/>
      <c r="L436" s="216"/>
      <c r="M436" s="216"/>
      <c r="N436" s="216"/>
      <c r="O436" s="21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25">
      <c r="A437" s="216"/>
      <c r="B437" s="216"/>
      <c r="C437" s="216"/>
      <c r="D437" s="217"/>
      <c r="E437" s="216"/>
      <c r="F437" s="217"/>
      <c r="G437" s="217"/>
      <c r="H437" s="217"/>
      <c r="I437" s="232"/>
      <c r="J437" s="216"/>
      <c r="K437" s="216"/>
      <c r="L437" s="216"/>
      <c r="M437" s="216"/>
      <c r="N437" s="216"/>
      <c r="O437" s="21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25">
      <c r="A438" s="216"/>
      <c r="B438" s="216"/>
      <c r="C438" s="216"/>
      <c r="D438" s="217"/>
      <c r="E438" s="216"/>
      <c r="F438" s="217"/>
      <c r="G438" s="217"/>
      <c r="H438" s="217"/>
      <c r="I438" s="232"/>
      <c r="J438" s="216"/>
      <c r="K438" s="216"/>
      <c r="L438" s="216"/>
      <c r="M438" s="216"/>
      <c r="N438" s="216"/>
      <c r="O438" s="21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25">
      <c r="A439" s="216"/>
      <c r="B439" s="216"/>
      <c r="C439" s="216"/>
      <c r="D439" s="217"/>
      <c r="E439" s="216"/>
      <c r="F439" s="217"/>
      <c r="G439" s="217"/>
      <c r="H439" s="217"/>
      <c r="I439" s="232"/>
      <c r="J439" s="216"/>
      <c r="K439" s="216"/>
      <c r="L439" s="216"/>
      <c r="M439" s="216"/>
      <c r="N439" s="216"/>
      <c r="O439" s="21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25">
      <c r="A440" s="216"/>
      <c r="B440" s="216"/>
      <c r="C440" s="216"/>
      <c r="D440" s="217"/>
      <c r="E440" s="216"/>
      <c r="F440" s="217"/>
      <c r="G440" s="217"/>
      <c r="H440" s="217"/>
      <c r="I440" s="232"/>
      <c r="J440" s="216"/>
      <c r="K440" s="216"/>
      <c r="L440" s="216"/>
      <c r="M440" s="216"/>
      <c r="N440" s="216"/>
      <c r="O440" s="21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25">
      <c r="A441" s="216"/>
      <c r="B441" s="216"/>
      <c r="C441" s="216"/>
      <c r="D441" s="217"/>
      <c r="E441" s="216"/>
      <c r="F441" s="217"/>
      <c r="G441" s="232"/>
      <c r="H441" s="217"/>
      <c r="I441" s="232"/>
      <c r="J441" s="216"/>
      <c r="K441" s="216"/>
      <c r="L441" s="216"/>
      <c r="M441" s="216"/>
      <c r="N441" s="216"/>
      <c r="O441" s="21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25">
      <c r="A442" s="226"/>
      <c r="B442" s="226"/>
      <c r="C442" s="226"/>
      <c r="D442" s="227"/>
      <c r="E442" s="226"/>
      <c r="F442" s="227"/>
      <c r="G442" s="227"/>
      <c r="H442" s="227"/>
      <c r="I442" s="226"/>
      <c r="J442" s="226"/>
      <c r="K442" s="226"/>
      <c r="L442" s="226"/>
      <c r="M442" s="226"/>
      <c r="N442" s="226"/>
      <c r="O442" s="226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A34" workbookViewId="0">
      <selection activeCell="B71" sqref="B71"/>
    </sheetView>
  </sheetViews>
  <sheetFormatPr baseColWidth="10" defaultRowHeight="12.5" x14ac:dyDescent="0.25"/>
  <sheetData>
    <row r="1" spans="1:38" ht="52" x14ac:dyDescent="0.25">
      <c r="A1" s="84" t="s">
        <v>0</v>
      </c>
      <c r="B1" s="85" t="s">
        <v>3</v>
      </c>
      <c r="C1" s="85" t="s">
        <v>4</v>
      </c>
      <c r="D1" s="186" t="s">
        <v>6</v>
      </c>
      <c r="E1" s="86" t="s">
        <v>427</v>
      </c>
      <c r="F1" s="86" t="s">
        <v>428</v>
      </c>
      <c r="G1" s="171" t="s">
        <v>9</v>
      </c>
      <c r="H1" s="171" t="s">
        <v>416</v>
      </c>
      <c r="I1" s="171" t="s">
        <v>425</v>
      </c>
      <c r="J1" s="171" t="s">
        <v>424</v>
      </c>
      <c r="K1" s="33" t="s">
        <v>386</v>
      </c>
      <c r="L1" s="33" t="s">
        <v>426</v>
      </c>
      <c r="M1" s="33" t="s">
        <v>405</v>
      </c>
      <c r="N1" s="33" t="s">
        <v>377</v>
      </c>
      <c r="O1" s="33" t="s">
        <v>11</v>
      </c>
      <c r="P1" s="33" t="s">
        <v>401</v>
      </c>
      <c r="Q1" s="33" t="s">
        <v>402</v>
      </c>
      <c r="R1" s="33" t="s">
        <v>403</v>
      </c>
      <c r="S1" s="33" t="s">
        <v>404</v>
      </c>
      <c r="T1" s="33" t="s">
        <v>429</v>
      </c>
      <c r="U1" s="33" t="s">
        <v>430</v>
      </c>
      <c r="V1" s="33" t="s">
        <v>431</v>
      </c>
      <c r="W1" s="33" t="s">
        <v>432</v>
      </c>
      <c r="X1" s="33" t="s">
        <v>396</v>
      </c>
      <c r="Y1" s="33" t="s">
        <v>397</v>
      </c>
      <c r="Z1" s="33" t="s">
        <v>398</v>
      </c>
      <c r="AA1" s="122" t="s">
        <v>394</v>
      </c>
      <c r="AB1" s="122" t="s">
        <v>393</v>
      </c>
      <c r="AC1" s="33" t="s">
        <v>435</v>
      </c>
      <c r="AD1" s="33" t="s">
        <v>399</v>
      </c>
      <c r="AE1" s="33" t="s">
        <v>19</v>
      </c>
      <c r="AF1" s="33" t="s">
        <v>20</v>
      </c>
      <c r="AG1" s="33" t="s">
        <v>21</v>
      </c>
      <c r="AH1" s="33" t="s">
        <v>22</v>
      </c>
      <c r="AI1" s="33" t="s">
        <v>23</v>
      </c>
      <c r="AJ1" s="33" t="s">
        <v>24</v>
      </c>
      <c r="AK1" s="84" t="s">
        <v>33</v>
      </c>
    </row>
    <row r="2" spans="1:38" x14ac:dyDescent="0.25">
      <c r="A2" s="156" t="s">
        <v>1</v>
      </c>
      <c r="B2" s="1">
        <v>3</v>
      </c>
      <c r="C2" s="1" t="s">
        <v>5</v>
      </c>
      <c r="D2" s="53">
        <v>38772</v>
      </c>
      <c r="E2" s="104">
        <f t="shared" ref="E2:E65" si="0">I2-D2</f>
        <v>2384</v>
      </c>
      <c r="F2" s="133">
        <f>J2-D2</f>
        <v>2384</v>
      </c>
      <c r="G2" s="13">
        <v>40190</v>
      </c>
      <c r="H2" s="53">
        <v>38772</v>
      </c>
      <c r="I2" s="13">
        <v>41156</v>
      </c>
      <c r="J2" s="13">
        <v>41156</v>
      </c>
      <c r="K2" s="1">
        <f t="shared" ref="K2:K65" si="1">G2-D2</f>
        <v>1418</v>
      </c>
      <c r="L2" s="1">
        <f t="shared" ref="L2:L65" si="2">G2-H2</f>
        <v>1418</v>
      </c>
      <c r="M2" s="1">
        <f t="shared" ref="M2:M65" si="3">I2-G2</f>
        <v>966</v>
      </c>
      <c r="N2" s="1" t="s">
        <v>417</v>
      </c>
      <c r="O2" s="1">
        <v>5.22</v>
      </c>
      <c r="P2" s="1">
        <v>1</v>
      </c>
      <c r="Q2" s="1">
        <v>1</v>
      </c>
      <c r="R2" s="1">
        <v>1</v>
      </c>
      <c r="S2" s="1">
        <v>1</v>
      </c>
      <c r="T2" s="1" t="s">
        <v>437</v>
      </c>
      <c r="U2" s="1"/>
      <c r="V2" s="1"/>
      <c r="W2" s="1"/>
      <c r="X2" s="1"/>
      <c r="Y2" s="1">
        <v>19</v>
      </c>
      <c r="Z2" s="1">
        <v>98</v>
      </c>
      <c r="AA2" s="1">
        <v>98</v>
      </c>
      <c r="AB2" s="1"/>
      <c r="AC2" s="1"/>
      <c r="AD2" s="12">
        <v>60</v>
      </c>
      <c r="AE2" s="1" t="s">
        <v>434</v>
      </c>
      <c r="AF2" s="1">
        <v>2</v>
      </c>
      <c r="AG2" s="1">
        <v>0.35</v>
      </c>
      <c r="AH2" s="12">
        <v>2.5</v>
      </c>
      <c r="AI2" s="12">
        <v>0.35</v>
      </c>
      <c r="AJ2" s="12">
        <v>2</v>
      </c>
      <c r="AK2" s="12">
        <v>0.35</v>
      </c>
      <c r="AL2" s="82">
        <v>0</v>
      </c>
    </row>
    <row r="3" spans="1:38" x14ac:dyDescent="0.25">
      <c r="A3" s="156" t="s">
        <v>1</v>
      </c>
      <c r="B3" s="1">
        <v>3</v>
      </c>
      <c r="C3" s="1" t="s">
        <v>5</v>
      </c>
      <c r="D3" s="53">
        <v>38772</v>
      </c>
      <c r="E3" s="104">
        <f t="shared" si="0"/>
        <v>2384</v>
      </c>
      <c r="F3" s="133">
        <f t="shared" ref="F3:F51" si="4">J3-D3</f>
        <v>2384</v>
      </c>
      <c r="G3" s="13">
        <v>40253</v>
      </c>
      <c r="H3" s="13">
        <v>40190</v>
      </c>
      <c r="I3" s="13">
        <v>41156</v>
      </c>
      <c r="J3" s="13">
        <v>41156</v>
      </c>
      <c r="K3" s="1">
        <f t="shared" si="1"/>
        <v>1481</v>
      </c>
      <c r="L3" s="1">
        <f t="shared" si="2"/>
        <v>63</v>
      </c>
      <c r="M3" s="1">
        <f t="shared" si="3"/>
        <v>903</v>
      </c>
      <c r="N3" s="1" t="s">
        <v>417</v>
      </c>
      <c r="O3" s="1">
        <v>5.21</v>
      </c>
      <c r="P3" s="1">
        <v>1</v>
      </c>
      <c r="Q3" s="1">
        <v>1</v>
      </c>
      <c r="R3" s="1">
        <v>1</v>
      </c>
      <c r="S3" s="1">
        <v>1</v>
      </c>
      <c r="T3" s="1" t="s">
        <v>437</v>
      </c>
      <c r="U3" s="1"/>
      <c r="V3" s="1"/>
      <c r="W3" s="1"/>
      <c r="X3" s="1"/>
      <c r="Y3" s="1">
        <v>19</v>
      </c>
      <c r="Z3" s="1">
        <v>98</v>
      </c>
      <c r="AA3" s="1">
        <v>98</v>
      </c>
      <c r="AB3" s="1"/>
      <c r="AC3" s="1"/>
      <c r="AD3" s="12">
        <v>60</v>
      </c>
      <c r="AE3" s="1" t="s">
        <v>434</v>
      </c>
      <c r="AF3" s="1">
        <v>2</v>
      </c>
      <c r="AG3" s="1">
        <v>0.35</v>
      </c>
      <c r="AH3" s="12">
        <v>2.5</v>
      </c>
      <c r="AI3" s="12">
        <v>0.35</v>
      </c>
      <c r="AJ3" s="12">
        <v>2</v>
      </c>
      <c r="AK3" s="12">
        <v>0.35</v>
      </c>
      <c r="AL3" s="82">
        <v>0</v>
      </c>
    </row>
    <row r="4" spans="1:38" x14ac:dyDescent="0.25">
      <c r="A4" s="156" t="s">
        <v>1</v>
      </c>
      <c r="B4" s="1">
        <v>3</v>
      </c>
      <c r="C4" s="1" t="s">
        <v>5</v>
      </c>
      <c r="D4" s="53">
        <v>38772</v>
      </c>
      <c r="E4" s="104">
        <f t="shared" si="0"/>
        <v>2384</v>
      </c>
      <c r="F4" s="133">
        <f t="shared" si="4"/>
        <v>2384</v>
      </c>
      <c r="G4" s="13">
        <v>40351</v>
      </c>
      <c r="H4" s="13">
        <f>G3</f>
        <v>40253</v>
      </c>
      <c r="I4" s="13">
        <v>41156</v>
      </c>
      <c r="J4" s="13">
        <v>41156</v>
      </c>
      <c r="K4" s="1">
        <f t="shared" si="1"/>
        <v>1579</v>
      </c>
      <c r="L4" s="1">
        <f t="shared" si="2"/>
        <v>98</v>
      </c>
      <c r="M4" s="1">
        <f t="shared" si="3"/>
        <v>805</v>
      </c>
      <c r="N4" s="1" t="s">
        <v>417</v>
      </c>
      <c r="O4" s="1">
        <v>5.19</v>
      </c>
      <c r="P4" s="1">
        <v>1</v>
      </c>
      <c r="Q4" s="1">
        <v>1</v>
      </c>
      <c r="R4" s="1">
        <v>1</v>
      </c>
      <c r="S4" s="1">
        <v>1</v>
      </c>
      <c r="T4" s="1" t="s">
        <v>437</v>
      </c>
      <c r="U4" s="1"/>
      <c r="V4" s="1"/>
      <c r="W4" s="1"/>
      <c r="X4" s="1"/>
      <c r="Y4" s="1">
        <v>11</v>
      </c>
      <c r="Z4" s="1">
        <v>99</v>
      </c>
      <c r="AA4" s="1">
        <v>99</v>
      </c>
      <c r="AB4" s="1"/>
      <c r="AC4" s="1"/>
      <c r="AD4" s="12">
        <v>60</v>
      </c>
      <c r="AE4" s="1" t="s">
        <v>434</v>
      </c>
      <c r="AF4" s="1">
        <v>2</v>
      </c>
      <c r="AG4" s="1">
        <v>0.35</v>
      </c>
      <c r="AH4" s="12">
        <v>2.5</v>
      </c>
      <c r="AI4" s="12">
        <v>0.35</v>
      </c>
      <c r="AJ4" s="12">
        <v>2</v>
      </c>
      <c r="AK4" s="12">
        <v>0.35</v>
      </c>
      <c r="AL4" s="82">
        <v>0</v>
      </c>
    </row>
    <row r="5" spans="1:38" x14ac:dyDescent="0.25">
      <c r="A5" s="156" t="s">
        <v>1</v>
      </c>
      <c r="B5" s="1">
        <v>3</v>
      </c>
      <c r="C5" s="1" t="s">
        <v>5</v>
      </c>
      <c r="D5" s="53">
        <v>38772</v>
      </c>
      <c r="E5" s="104">
        <f t="shared" si="0"/>
        <v>2384</v>
      </c>
      <c r="F5" s="133">
        <f t="shared" si="4"/>
        <v>2384</v>
      </c>
      <c r="G5" s="13">
        <v>40750</v>
      </c>
      <c r="H5" s="13">
        <f t="shared" ref="H5:H7" si="5">G4</f>
        <v>40351</v>
      </c>
      <c r="I5" s="13">
        <v>41156</v>
      </c>
      <c r="J5" s="13">
        <v>41156</v>
      </c>
      <c r="K5" s="1">
        <f t="shared" si="1"/>
        <v>1978</v>
      </c>
      <c r="L5" s="1">
        <f t="shared" si="2"/>
        <v>399</v>
      </c>
      <c r="M5" s="1">
        <f t="shared" si="3"/>
        <v>406</v>
      </c>
      <c r="N5" s="1" t="s">
        <v>417</v>
      </c>
      <c r="O5" s="1">
        <v>5.1100000000000003</v>
      </c>
      <c r="P5" s="1">
        <v>0</v>
      </c>
      <c r="Q5" s="1">
        <v>1</v>
      </c>
      <c r="R5" s="1">
        <v>1</v>
      </c>
      <c r="S5" s="1">
        <v>1</v>
      </c>
      <c r="T5" s="1" t="s">
        <v>438</v>
      </c>
      <c r="U5" s="1"/>
      <c r="V5" s="1"/>
      <c r="W5" s="1"/>
      <c r="X5" s="1"/>
      <c r="Y5" s="1">
        <v>11</v>
      </c>
      <c r="Z5" s="1">
        <v>98</v>
      </c>
      <c r="AA5" s="1">
        <v>98</v>
      </c>
      <c r="AB5" s="1"/>
      <c r="AC5" s="1"/>
      <c r="AD5" s="12">
        <v>60</v>
      </c>
      <c r="AE5" s="1" t="s">
        <v>434</v>
      </c>
      <c r="AF5" s="1">
        <v>2</v>
      </c>
      <c r="AG5" s="1">
        <v>0.35</v>
      </c>
      <c r="AH5" s="12">
        <v>2.5</v>
      </c>
      <c r="AI5" s="12">
        <v>0.35</v>
      </c>
      <c r="AJ5" s="12">
        <v>2</v>
      </c>
      <c r="AK5" s="12">
        <v>0.35</v>
      </c>
      <c r="AL5" s="82">
        <v>0</v>
      </c>
    </row>
    <row r="6" spans="1:38" x14ac:dyDescent="0.25">
      <c r="A6" s="156" t="s">
        <v>1</v>
      </c>
      <c r="B6" s="1">
        <v>3</v>
      </c>
      <c r="C6" s="1" t="s">
        <v>5</v>
      </c>
      <c r="D6" s="53">
        <v>38772</v>
      </c>
      <c r="E6" s="104">
        <f t="shared" si="0"/>
        <v>2384</v>
      </c>
      <c r="F6" s="133">
        <f t="shared" si="4"/>
        <v>2384</v>
      </c>
      <c r="G6" s="13">
        <v>40960</v>
      </c>
      <c r="H6" s="13">
        <f t="shared" si="5"/>
        <v>40750</v>
      </c>
      <c r="I6" s="13">
        <v>41156</v>
      </c>
      <c r="J6" s="13">
        <v>41156</v>
      </c>
      <c r="K6" s="1">
        <f t="shared" si="1"/>
        <v>2188</v>
      </c>
      <c r="L6" s="1">
        <f t="shared" si="2"/>
        <v>210</v>
      </c>
      <c r="M6" s="1">
        <f t="shared" si="3"/>
        <v>196</v>
      </c>
      <c r="N6" s="1" t="s">
        <v>417</v>
      </c>
      <c r="O6" s="1">
        <v>5.07</v>
      </c>
      <c r="P6" s="1">
        <v>0</v>
      </c>
      <c r="Q6" s="1">
        <v>0</v>
      </c>
      <c r="R6" s="1">
        <v>1</v>
      </c>
      <c r="S6" s="1">
        <v>1</v>
      </c>
      <c r="T6" s="1" t="s">
        <v>439</v>
      </c>
      <c r="U6" s="1"/>
      <c r="V6" s="1"/>
      <c r="W6" s="1"/>
      <c r="X6" s="1"/>
      <c r="Y6" s="1">
        <v>10</v>
      </c>
      <c r="Z6" s="1">
        <v>96</v>
      </c>
      <c r="AA6" s="1">
        <v>96</v>
      </c>
      <c r="AB6" s="1"/>
      <c r="AC6" s="1"/>
      <c r="AD6" s="12">
        <v>60</v>
      </c>
      <c r="AE6" s="1" t="s">
        <v>434</v>
      </c>
      <c r="AF6" s="1">
        <v>2</v>
      </c>
      <c r="AG6" s="1">
        <v>0.35</v>
      </c>
      <c r="AH6" s="12">
        <v>2.5</v>
      </c>
      <c r="AI6" s="12">
        <v>0.35</v>
      </c>
      <c r="AJ6" s="12">
        <v>2</v>
      </c>
      <c r="AK6" s="12">
        <v>0.35</v>
      </c>
      <c r="AL6" s="82">
        <v>0</v>
      </c>
    </row>
    <row r="7" spans="1:38" x14ac:dyDescent="0.25">
      <c r="A7" s="156" t="s">
        <v>1</v>
      </c>
      <c r="B7" s="1">
        <v>3</v>
      </c>
      <c r="C7" s="1" t="s">
        <v>5</v>
      </c>
      <c r="D7" s="53">
        <v>38772</v>
      </c>
      <c r="E7" s="104">
        <f t="shared" si="0"/>
        <v>2384</v>
      </c>
      <c r="F7" s="133">
        <f t="shared" si="4"/>
        <v>2384</v>
      </c>
      <c r="G7" s="10">
        <v>41156</v>
      </c>
      <c r="H7" s="13">
        <f t="shared" si="5"/>
        <v>40960</v>
      </c>
      <c r="I7" s="13">
        <v>41156</v>
      </c>
      <c r="J7" s="13">
        <v>41156</v>
      </c>
      <c r="K7" s="1">
        <f t="shared" si="1"/>
        <v>2384</v>
      </c>
      <c r="L7" s="1">
        <f t="shared" si="2"/>
        <v>196</v>
      </c>
      <c r="M7" s="1">
        <f t="shared" si="3"/>
        <v>0</v>
      </c>
      <c r="N7" s="19" t="s">
        <v>434</v>
      </c>
      <c r="O7" s="12">
        <v>4.6900000000000004</v>
      </c>
      <c r="P7" s="19"/>
      <c r="Q7" s="19"/>
      <c r="R7" s="19"/>
      <c r="S7" s="19"/>
      <c r="T7" s="19"/>
      <c r="U7" s="19">
        <v>0</v>
      </c>
      <c r="V7" s="19">
        <v>0</v>
      </c>
      <c r="W7" s="19">
        <v>1</v>
      </c>
      <c r="X7" s="19">
        <v>1</v>
      </c>
      <c r="Y7" s="12">
        <v>19</v>
      </c>
      <c r="Z7" s="12">
        <v>98</v>
      </c>
      <c r="AA7" s="12">
        <v>98</v>
      </c>
      <c r="AB7" s="1"/>
      <c r="AC7" s="1"/>
      <c r="AD7" s="12">
        <v>60</v>
      </c>
      <c r="AE7" s="1" t="s">
        <v>434</v>
      </c>
      <c r="AF7" s="1">
        <v>2</v>
      </c>
      <c r="AG7" s="1">
        <v>0.35</v>
      </c>
      <c r="AH7" s="12">
        <v>2.5</v>
      </c>
      <c r="AI7" s="12">
        <v>0.35</v>
      </c>
      <c r="AJ7" s="12">
        <v>2</v>
      </c>
      <c r="AK7" s="12">
        <v>0.35</v>
      </c>
      <c r="AL7" s="82">
        <v>0</v>
      </c>
    </row>
    <row r="8" spans="1:38" ht="14.5" x14ac:dyDescent="0.35">
      <c r="A8" s="170" t="s">
        <v>25</v>
      </c>
      <c r="B8" s="1">
        <v>3</v>
      </c>
      <c r="C8" s="1" t="s">
        <v>418</v>
      </c>
      <c r="D8" s="13">
        <v>39238</v>
      </c>
      <c r="E8" s="104">
        <f t="shared" si="0"/>
        <v>2512</v>
      </c>
      <c r="F8" s="133">
        <f t="shared" si="4"/>
        <v>2512</v>
      </c>
      <c r="G8" s="13">
        <v>40106</v>
      </c>
      <c r="H8" s="13">
        <v>39238</v>
      </c>
      <c r="I8" s="13">
        <v>41750</v>
      </c>
      <c r="J8" s="13">
        <v>41750</v>
      </c>
      <c r="K8" s="1">
        <f t="shared" si="1"/>
        <v>868</v>
      </c>
      <c r="L8" s="1">
        <f t="shared" si="2"/>
        <v>868</v>
      </c>
      <c r="M8" s="1">
        <f t="shared" si="3"/>
        <v>1644</v>
      </c>
      <c r="N8" s="98" t="s">
        <v>417</v>
      </c>
      <c r="O8" s="98">
        <v>6.15</v>
      </c>
      <c r="P8" s="1">
        <v>1</v>
      </c>
      <c r="Q8" s="1">
        <v>1</v>
      </c>
      <c r="R8" s="1">
        <v>1</v>
      </c>
      <c r="S8" s="1">
        <v>1</v>
      </c>
      <c r="T8" s="1" t="s">
        <v>437</v>
      </c>
      <c r="U8" s="1"/>
      <c r="V8" s="1"/>
      <c r="W8" s="1"/>
      <c r="X8" s="1"/>
      <c r="Y8" s="98">
        <v>3</v>
      </c>
      <c r="Z8" s="98">
        <v>97</v>
      </c>
      <c r="AA8" s="98">
        <v>97</v>
      </c>
      <c r="AB8" s="1"/>
      <c r="AC8" s="1"/>
      <c r="AD8" s="12">
        <v>60</v>
      </c>
      <c r="AE8" s="1" t="s">
        <v>434</v>
      </c>
      <c r="AF8" s="1">
        <v>2</v>
      </c>
      <c r="AG8" s="1">
        <v>0.35</v>
      </c>
      <c r="AH8" s="172">
        <v>2</v>
      </c>
      <c r="AI8" s="12">
        <v>0.35</v>
      </c>
      <c r="AJ8" s="12">
        <v>2</v>
      </c>
      <c r="AK8" s="12">
        <v>0.35</v>
      </c>
      <c r="AL8" s="82">
        <v>0</v>
      </c>
    </row>
    <row r="9" spans="1:38" ht="14.5" x14ac:dyDescent="0.35">
      <c r="A9" s="170" t="s">
        <v>25</v>
      </c>
      <c r="B9" s="1">
        <v>3</v>
      </c>
      <c r="C9" s="1" t="s">
        <v>418</v>
      </c>
      <c r="D9" s="13">
        <v>39238</v>
      </c>
      <c r="E9" s="104">
        <f t="shared" si="0"/>
        <v>2512</v>
      </c>
      <c r="F9" s="133">
        <f t="shared" si="4"/>
        <v>2512</v>
      </c>
      <c r="G9" s="13">
        <v>40288</v>
      </c>
      <c r="H9" s="13">
        <f>G8</f>
        <v>40106</v>
      </c>
      <c r="I9" s="13">
        <v>41750</v>
      </c>
      <c r="J9" s="13">
        <v>41750</v>
      </c>
      <c r="K9" s="1">
        <f t="shared" si="1"/>
        <v>1050</v>
      </c>
      <c r="L9" s="1">
        <f t="shared" si="2"/>
        <v>182</v>
      </c>
      <c r="M9" s="1">
        <f t="shared" si="3"/>
        <v>1462</v>
      </c>
      <c r="N9" s="98" t="s">
        <v>417</v>
      </c>
      <c r="O9" s="98">
        <v>5.92</v>
      </c>
      <c r="P9" s="1">
        <v>1</v>
      </c>
      <c r="Q9" s="1">
        <v>1</v>
      </c>
      <c r="R9" s="1">
        <v>1</v>
      </c>
      <c r="S9" s="1">
        <v>1</v>
      </c>
      <c r="T9" s="1" t="s">
        <v>437</v>
      </c>
      <c r="U9" s="1"/>
      <c r="V9" s="1"/>
      <c r="W9" s="1"/>
      <c r="X9" s="1"/>
      <c r="Y9" s="98">
        <v>3</v>
      </c>
      <c r="Z9" s="98">
        <v>97</v>
      </c>
      <c r="AA9" s="98">
        <v>97</v>
      </c>
      <c r="AB9" s="1"/>
      <c r="AC9" s="1"/>
      <c r="AD9" s="12">
        <v>60</v>
      </c>
      <c r="AE9" s="1" t="s">
        <v>434</v>
      </c>
      <c r="AF9" s="1">
        <v>2</v>
      </c>
      <c r="AG9" s="1">
        <v>0.35</v>
      </c>
      <c r="AH9" s="172">
        <v>2</v>
      </c>
      <c r="AI9" s="12">
        <v>0.35</v>
      </c>
      <c r="AJ9" s="12">
        <v>2</v>
      </c>
      <c r="AK9" s="12">
        <v>0.35</v>
      </c>
      <c r="AL9" s="82">
        <v>0</v>
      </c>
    </row>
    <row r="10" spans="1:38" ht="14.5" x14ac:dyDescent="0.35">
      <c r="A10" s="170" t="s">
        <v>25</v>
      </c>
      <c r="B10" s="1">
        <v>3</v>
      </c>
      <c r="C10" s="1" t="s">
        <v>418</v>
      </c>
      <c r="D10" s="13">
        <v>39238</v>
      </c>
      <c r="E10" s="104">
        <f t="shared" si="0"/>
        <v>2512</v>
      </c>
      <c r="F10" s="133">
        <f t="shared" si="4"/>
        <v>2512</v>
      </c>
      <c r="G10" s="13">
        <v>40799</v>
      </c>
      <c r="H10" s="13">
        <f t="shared" ref="H10:H17" si="6">G9</f>
        <v>40288</v>
      </c>
      <c r="I10" s="13">
        <v>41750</v>
      </c>
      <c r="J10" s="13">
        <v>41750</v>
      </c>
      <c r="K10" s="1">
        <f t="shared" si="1"/>
        <v>1561</v>
      </c>
      <c r="L10" s="1">
        <f t="shared" si="2"/>
        <v>511</v>
      </c>
      <c r="M10" s="1">
        <f t="shared" si="3"/>
        <v>951</v>
      </c>
      <c r="N10" s="98" t="s">
        <v>417</v>
      </c>
      <c r="O10" s="98">
        <v>5.22</v>
      </c>
      <c r="P10" s="1">
        <v>1</v>
      </c>
      <c r="Q10" s="1">
        <v>1</v>
      </c>
      <c r="R10" s="1">
        <v>1</v>
      </c>
      <c r="S10" s="1">
        <v>1</v>
      </c>
      <c r="T10" s="1" t="s">
        <v>437</v>
      </c>
      <c r="U10" s="1"/>
      <c r="V10" s="1"/>
      <c r="W10" s="1"/>
      <c r="X10" s="1"/>
      <c r="Y10" s="98">
        <v>6</v>
      </c>
      <c r="Z10" s="98">
        <v>98</v>
      </c>
      <c r="AA10" s="98">
        <v>98</v>
      </c>
      <c r="AB10" s="1"/>
      <c r="AC10" s="1"/>
      <c r="AD10" s="12">
        <v>60</v>
      </c>
      <c r="AE10" s="1" t="s">
        <v>434</v>
      </c>
      <c r="AF10" s="1">
        <v>2</v>
      </c>
      <c r="AG10" s="1">
        <v>0.35</v>
      </c>
      <c r="AH10" s="172">
        <v>2</v>
      </c>
      <c r="AI10" s="12">
        <v>0.35</v>
      </c>
      <c r="AJ10" s="12">
        <v>2</v>
      </c>
      <c r="AK10" s="12">
        <v>0.35</v>
      </c>
      <c r="AL10" s="82">
        <v>0</v>
      </c>
    </row>
    <row r="11" spans="1:38" ht="14.5" x14ac:dyDescent="0.35">
      <c r="A11" s="170" t="s">
        <v>25</v>
      </c>
      <c r="B11" s="1">
        <v>3</v>
      </c>
      <c r="C11" s="1" t="s">
        <v>418</v>
      </c>
      <c r="D11" s="13">
        <v>39238</v>
      </c>
      <c r="E11" s="104">
        <f t="shared" si="0"/>
        <v>2512</v>
      </c>
      <c r="F11" s="133">
        <f t="shared" si="4"/>
        <v>2512</v>
      </c>
      <c r="G11" s="13">
        <v>40932</v>
      </c>
      <c r="H11" s="13">
        <f t="shared" si="6"/>
        <v>40799</v>
      </c>
      <c r="I11" s="13">
        <v>41750</v>
      </c>
      <c r="J11" s="13">
        <v>41750</v>
      </c>
      <c r="K11" s="1">
        <f t="shared" si="1"/>
        <v>1694</v>
      </c>
      <c r="L11" s="1">
        <f t="shared" si="2"/>
        <v>133</v>
      </c>
      <c r="M11" s="1">
        <f t="shared" si="3"/>
        <v>818</v>
      </c>
      <c r="N11" s="98" t="s">
        <v>417</v>
      </c>
      <c r="O11" s="98">
        <v>5.18</v>
      </c>
      <c r="P11" s="1">
        <v>1</v>
      </c>
      <c r="Q11" s="1">
        <v>1</v>
      </c>
      <c r="R11" s="1">
        <v>1</v>
      </c>
      <c r="S11" s="1">
        <v>1</v>
      </c>
      <c r="T11" s="1" t="s">
        <v>437</v>
      </c>
      <c r="U11" s="1"/>
      <c r="V11" s="1"/>
      <c r="W11" s="1"/>
      <c r="X11" s="1"/>
      <c r="Y11" s="98">
        <v>4</v>
      </c>
      <c r="Z11" s="98">
        <v>98</v>
      </c>
      <c r="AA11" s="98">
        <v>98</v>
      </c>
      <c r="AB11" s="1"/>
      <c r="AC11" s="1"/>
      <c r="AD11" s="12">
        <v>60</v>
      </c>
      <c r="AE11" s="1" t="s">
        <v>434</v>
      </c>
      <c r="AF11" s="1">
        <v>2</v>
      </c>
      <c r="AG11" s="1">
        <v>0.35</v>
      </c>
      <c r="AH11" s="172">
        <v>2</v>
      </c>
      <c r="AI11" s="12">
        <v>0.35</v>
      </c>
      <c r="AJ11" s="12">
        <v>2</v>
      </c>
      <c r="AK11" s="12">
        <v>0.35</v>
      </c>
      <c r="AL11" s="82">
        <v>0</v>
      </c>
    </row>
    <row r="12" spans="1:38" ht="14.5" x14ac:dyDescent="0.35">
      <c r="A12" s="170" t="s">
        <v>25</v>
      </c>
      <c r="B12" s="1">
        <v>3</v>
      </c>
      <c r="C12" s="1" t="s">
        <v>418</v>
      </c>
      <c r="D12" s="13">
        <v>39238</v>
      </c>
      <c r="E12" s="104">
        <f t="shared" si="0"/>
        <v>2512</v>
      </c>
      <c r="F12" s="133">
        <f t="shared" si="4"/>
        <v>2512</v>
      </c>
      <c r="G12" s="13">
        <v>41107</v>
      </c>
      <c r="H12" s="13">
        <f t="shared" si="6"/>
        <v>40932</v>
      </c>
      <c r="I12" s="13">
        <v>41750</v>
      </c>
      <c r="J12" s="13">
        <v>41750</v>
      </c>
      <c r="K12" s="1">
        <f t="shared" si="1"/>
        <v>1869</v>
      </c>
      <c r="L12" s="1">
        <f t="shared" si="2"/>
        <v>175</v>
      </c>
      <c r="M12" s="1">
        <f t="shared" si="3"/>
        <v>643</v>
      </c>
      <c r="N12" s="98" t="s">
        <v>417</v>
      </c>
      <c r="O12" s="98">
        <v>5.15</v>
      </c>
      <c r="P12" s="1">
        <v>1</v>
      </c>
      <c r="Q12" s="1">
        <v>1</v>
      </c>
      <c r="R12" s="1">
        <v>1</v>
      </c>
      <c r="S12" s="1">
        <v>1</v>
      </c>
      <c r="T12" s="1" t="s">
        <v>437</v>
      </c>
      <c r="U12" s="1"/>
      <c r="V12" s="1"/>
      <c r="W12" s="1"/>
      <c r="X12" s="1"/>
      <c r="Y12" s="98">
        <v>5</v>
      </c>
      <c r="Z12" s="98">
        <v>96</v>
      </c>
      <c r="AA12" s="98">
        <v>96</v>
      </c>
      <c r="AB12" s="1"/>
      <c r="AC12" s="1"/>
      <c r="AD12" s="12">
        <v>60</v>
      </c>
      <c r="AE12" s="1" t="s">
        <v>434</v>
      </c>
      <c r="AF12" s="1">
        <v>2</v>
      </c>
      <c r="AG12" s="1">
        <v>0.35</v>
      </c>
      <c r="AH12" s="172">
        <v>2</v>
      </c>
      <c r="AI12" s="12">
        <v>0.35</v>
      </c>
      <c r="AJ12" s="12">
        <v>2</v>
      </c>
      <c r="AK12" s="12">
        <v>0.35</v>
      </c>
      <c r="AL12" s="82">
        <v>0</v>
      </c>
    </row>
    <row r="13" spans="1:38" ht="14.5" x14ac:dyDescent="0.35">
      <c r="A13" s="170" t="s">
        <v>25</v>
      </c>
      <c r="B13" s="1">
        <v>3</v>
      </c>
      <c r="C13" s="1" t="s">
        <v>418</v>
      </c>
      <c r="D13" s="13">
        <v>39238</v>
      </c>
      <c r="E13" s="104">
        <f t="shared" si="0"/>
        <v>2512</v>
      </c>
      <c r="F13" s="133">
        <f t="shared" si="4"/>
        <v>2512</v>
      </c>
      <c r="G13" s="13">
        <v>41303</v>
      </c>
      <c r="H13" s="13">
        <f t="shared" si="6"/>
        <v>41107</v>
      </c>
      <c r="I13" s="13">
        <v>41750</v>
      </c>
      <c r="J13" s="13">
        <v>41750</v>
      </c>
      <c r="K13" s="1">
        <f t="shared" si="1"/>
        <v>2065</v>
      </c>
      <c r="L13" s="1">
        <f t="shared" si="2"/>
        <v>196</v>
      </c>
      <c r="M13" s="1">
        <f t="shared" si="3"/>
        <v>447</v>
      </c>
      <c r="N13" s="98" t="s">
        <v>417</v>
      </c>
      <c r="O13" s="98">
        <v>5.14</v>
      </c>
      <c r="P13" s="1">
        <v>0</v>
      </c>
      <c r="Q13" s="1">
        <v>1</v>
      </c>
      <c r="R13" s="1">
        <v>1</v>
      </c>
      <c r="S13" s="1">
        <v>1</v>
      </c>
      <c r="T13" s="1" t="s">
        <v>438</v>
      </c>
      <c r="U13" s="1"/>
      <c r="V13" s="1"/>
      <c r="W13" s="1"/>
      <c r="X13" s="1"/>
      <c r="Y13" s="98">
        <v>4</v>
      </c>
      <c r="Z13" s="98">
        <v>96</v>
      </c>
      <c r="AA13" s="98">
        <v>96</v>
      </c>
      <c r="AB13" s="1"/>
      <c r="AC13" s="1"/>
      <c r="AD13" s="12">
        <v>60</v>
      </c>
      <c r="AE13" s="1" t="s">
        <v>434</v>
      </c>
      <c r="AF13" s="1">
        <v>2</v>
      </c>
      <c r="AG13" s="1">
        <v>0.35</v>
      </c>
      <c r="AH13" s="172">
        <v>2</v>
      </c>
      <c r="AI13" s="12">
        <v>0.35</v>
      </c>
      <c r="AJ13" s="12">
        <v>2</v>
      </c>
      <c r="AK13" s="12">
        <v>0.35</v>
      </c>
      <c r="AL13" s="82">
        <v>0</v>
      </c>
    </row>
    <row r="14" spans="1:38" ht="14.5" x14ac:dyDescent="0.35">
      <c r="A14" s="170" t="s">
        <v>25</v>
      </c>
      <c r="B14" s="1">
        <v>3</v>
      </c>
      <c r="C14" s="1" t="s">
        <v>418</v>
      </c>
      <c r="D14" s="13">
        <v>39238</v>
      </c>
      <c r="E14" s="104">
        <f t="shared" si="0"/>
        <v>2512</v>
      </c>
      <c r="F14" s="133">
        <f t="shared" si="4"/>
        <v>2512</v>
      </c>
      <c r="G14" s="13">
        <v>41380</v>
      </c>
      <c r="H14" s="13">
        <f t="shared" si="6"/>
        <v>41303</v>
      </c>
      <c r="I14" s="13">
        <v>41750</v>
      </c>
      <c r="J14" s="13">
        <v>41750</v>
      </c>
      <c r="K14" s="1">
        <f t="shared" si="1"/>
        <v>2142</v>
      </c>
      <c r="L14" s="1">
        <f t="shared" si="2"/>
        <v>77</v>
      </c>
      <c r="M14" s="1">
        <f t="shared" si="3"/>
        <v>370</v>
      </c>
      <c r="N14" s="98" t="s">
        <v>417</v>
      </c>
      <c r="O14" s="98">
        <v>5.13</v>
      </c>
      <c r="P14" s="1">
        <v>0</v>
      </c>
      <c r="Q14" s="1">
        <v>1</v>
      </c>
      <c r="R14" s="1">
        <v>1</v>
      </c>
      <c r="S14" s="1">
        <v>1</v>
      </c>
      <c r="T14" s="1" t="s">
        <v>438</v>
      </c>
      <c r="U14" s="1"/>
      <c r="V14" s="1"/>
      <c r="W14" s="1"/>
      <c r="X14" s="1"/>
      <c r="Y14" s="98">
        <v>5</v>
      </c>
      <c r="Z14" s="98">
        <v>95</v>
      </c>
      <c r="AA14" s="98">
        <v>95</v>
      </c>
      <c r="AB14" s="1"/>
      <c r="AC14" s="1"/>
      <c r="AD14" s="12">
        <v>60</v>
      </c>
      <c r="AE14" s="1" t="s">
        <v>434</v>
      </c>
      <c r="AF14" s="1">
        <v>2</v>
      </c>
      <c r="AG14" s="1">
        <v>0.35</v>
      </c>
      <c r="AH14" s="172">
        <v>2</v>
      </c>
      <c r="AI14" s="12">
        <v>0.35</v>
      </c>
      <c r="AJ14" s="12">
        <v>2</v>
      </c>
      <c r="AK14" s="12">
        <v>0.35</v>
      </c>
      <c r="AL14" s="82">
        <v>0</v>
      </c>
    </row>
    <row r="15" spans="1:38" ht="14.5" x14ac:dyDescent="0.35">
      <c r="A15" s="170" t="s">
        <v>25</v>
      </c>
      <c r="B15" s="1">
        <v>3</v>
      </c>
      <c r="C15" s="1" t="s">
        <v>418</v>
      </c>
      <c r="D15" s="13">
        <v>39238</v>
      </c>
      <c r="E15" s="104">
        <f t="shared" si="0"/>
        <v>2512</v>
      </c>
      <c r="F15" s="133">
        <f t="shared" si="4"/>
        <v>2512</v>
      </c>
      <c r="G15" s="13">
        <v>41486</v>
      </c>
      <c r="H15" s="13">
        <f t="shared" si="6"/>
        <v>41380</v>
      </c>
      <c r="I15" s="13">
        <v>41750</v>
      </c>
      <c r="J15" s="13">
        <v>41750</v>
      </c>
      <c r="K15" s="1">
        <f t="shared" si="1"/>
        <v>2248</v>
      </c>
      <c r="L15" s="1">
        <f t="shared" si="2"/>
        <v>106</v>
      </c>
      <c r="M15" s="1">
        <f t="shared" si="3"/>
        <v>264</v>
      </c>
      <c r="N15" s="98" t="s">
        <v>417</v>
      </c>
      <c r="O15" s="98">
        <v>5.1100000000000003</v>
      </c>
      <c r="P15" s="1">
        <v>0</v>
      </c>
      <c r="Q15" s="1">
        <v>0</v>
      </c>
      <c r="R15" s="1">
        <v>1</v>
      </c>
      <c r="S15" s="1">
        <v>1</v>
      </c>
      <c r="T15" s="1" t="s">
        <v>439</v>
      </c>
      <c r="U15" s="1"/>
      <c r="V15" s="1"/>
      <c r="W15" s="1"/>
      <c r="X15" s="1"/>
      <c r="Y15" s="98">
        <v>7</v>
      </c>
      <c r="Z15" s="98">
        <v>97</v>
      </c>
      <c r="AA15" s="98">
        <v>97</v>
      </c>
      <c r="AB15" s="1"/>
      <c r="AC15" s="1"/>
      <c r="AD15" s="12">
        <v>60</v>
      </c>
      <c r="AE15" s="1" t="s">
        <v>434</v>
      </c>
      <c r="AF15" s="1">
        <v>2</v>
      </c>
      <c r="AG15" s="1">
        <v>0.35</v>
      </c>
      <c r="AH15" s="172">
        <v>2</v>
      </c>
      <c r="AI15" s="12">
        <v>0.35</v>
      </c>
      <c r="AJ15" s="12">
        <v>2</v>
      </c>
      <c r="AK15" s="12">
        <v>0.35</v>
      </c>
      <c r="AL15" s="82">
        <v>0</v>
      </c>
    </row>
    <row r="16" spans="1:38" ht="14.5" x14ac:dyDescent="0.35">
      <c r="A16" s="170" t="s">
        <v>25</v>
      </c>
      <c r="B16" s="1">
        <v>3</v>
      </c>
      <c r="C16" s="1" t="s">
        <v>418</v>
      </c>
      <c r="D16" s="13">
        <v>39238</v>
      </c>
      <c r="E16" s="104">
        <f t="shared" si="0"/>
        <v>2512</v>
      </c>
      <c r="F16" s="133">
        <f t="shared" si="4"/>
        <v>2512</v>
      </c>
      <c r="G16" s="13">
        <v>41568</v>
      </c>
      <c r="H16" s="13">
        <f t="shared" si="6"/>
        <v>41486</v>
      </c>
      <c r="I16" s="13">
        <v>41750</v>
      </c>
      <c r="J16" s="13">
        <v>41750</v>
      </c>
      <c r="K16" s="1">
        <f t="shared" si="1"/>
        <v>2330</v>
      </c>
      <c r="L16" s="1">
        <f t="shared" si="2"/>
        <v>82</v>
      </c>
      <c r="M16" s="1">
        <f t="shared" si="3"/>
        <v>182</v>
      </c>
      <c r="N16" s="98" t="s">
        <v>417</v>
      </c>
      <c r="O16" s="98">
        <v>5.05</v>
      </c>
      <c r="P16" s="1">
        <v>0</v>
      </c>
      <c r="Q16" s="1">
        <v>0</v>
      </c>
      <c r="R16" s="1">
        <v>1</v>
      </c>
      <c r="S16" s="1">
        <v>1</v>
      </c>
      <c r="T16" s="1" t="s">
        <v>439</v>
      </c>
      <c r="U16" s="1"/>
      <c r="V16" s="1"/>
      <c r="W16" s="1"/>
      <c r="X16" s="1"/>
      <c r="Y16" s="98">
        <v>8</v>
      </c>
      <c r="Z16" s="98">
        <v>97</v>
      </c>
      <c r="AA16" s="98">
        <v>97</v>
      </c>
      <c r="AB16" s="1"/>
      <c r="AC16" s="1"/>
      <c r="AD16" s="12">
        <v>60</v>
      </c>
      <c r="AE16" s="1" t="s">
        <v>434</v>
      </c>
      <c r="AF16" s="1">
        <v>2</v>
      </c>
      <c r="AG16" s="1">
        <v>0.35</v>
      </c>
      <c r="AH16" s="172">
        <v>2</v>
      </c>
      <c r="AI16" s="12">
        <v>0.35</v>
      </c>
      <c r="AJ16" s="12">
        <v>2</v>
      </c>
      <c r="AK16" s="12">
        <v>0.35</v>
      </c>
      <c r="AL16" s="82">
        <v>0</v>
      </c>
    </row>
    <row r="17" spans="1:38" ht="14.5" x14ac:dyDescent="0.35">
      <c r="A17" s="170" t="s">
        <v>25</v>
      </c>
      <c r="B17" s="1">
        <v>3</v>
      </c>
      <c r="C17" s="1" t="s">
        <v>418</v>
      </c>
      <c r="D17" s="13">
        <v>39238</v>
      </c>
      <c r="E17" s="104">
        <f t="shared" si="0"/>
        <v>2512</v>
      </c>
      <c r="F17" s="133">
        <f t="shared" si="4"/>
        <v>2512</v>
      </c>
      <c r="G17" s="13">
        <v>41750</v>
      </c>
      <c r="H17" s="13">
        <f t="shared" si="6"/>
        <v>41568</v>
      </c>
      <c r="I17" s="13">
        <v>41750</v>
      </c>
      <c r="J17" s="13">
        <v>41750</v>
      </c>
      <c r="K17" s="1">
        <f t="shared" si="1"/>
        <v>2512</v>
      </c>
      <c r="L17" s="1">
        <f t="shared" si="2"/>
        <v>182</v>
      </c>
      <c r="M17" s="1">
        <f t="shared" si="3"/>
        <v>0</v>
      </c>
      <c r="N17" s="98" t="s">
        <v>434</v>
      </c>
      <c r="O17" s="98">
        <v>4.74</v>
      </c>
      <c r="P17" s="19"/>
      <c r="Q17" s="19"/>
      <c r="R17" s="19"/>
      <c r="S17" s="19"/>
      <c r="T17" s="83"/>
      <c r="U17" s="1">
        <v>0</v>
      </c>
      <c r="V17" s="1">
        <v>0</v>
      </c>
      <c r="W17" s="1">
        <v>1</v>
      </c>
      <c r="X17" s="1">
        <v>1</v>
      </c>
      <c r="Y17" s="98">
        <v>2</v>
      </c>
      <c r="Z17" s="98">
        <v>97</v>
      </c>
      <c r="AA17" s="98">
        <v>97</v>
      </c>
      <c r="AB17" s="1"/>
      <c r="AC17" s="1"/>
      <c r="AD17" s="12">
        <v>60</v>
      </c>
      <c r="AE17" s="1" t="s">
        <v>434</v>
      </c>
      <c r="AF17" s="1">
        <v>2</v>
      </c>
      <c r="AG17" s="1">
        <v>0.35</v>
      </c>
      <c r="AH17" s="172">
        <v>2</v>
      </c>
      <c r="AI17" s="12">
        <v>0.35</v>
      </c>
      <c r="AJ17" s="12">
        <v>2</v>
      </c>
      <c r="AK17" s="12">
        <v>0.35</v>
      </c>
      <c r="AL17" s="82">
        <v>0</v>
      </c>
    </row>
    <row r="18" spans="1:38" ht="14.5" x14ac:dyDescent="0.35">
      <c r="A18" s="173" t="s">
        <v>30</v>
      </c>
      <c r="B18" s="1">
        <v>3</v>
      </c>
      <c r="C18" s="1" t="s">
        <v>418</v>
      </c>
      <c r="D18" s="13">
        <v>39365</v>
      </c>
      <c r="E18" s="104">
        <f t="shared" si="0"/>
        <v>1945</v>
      </c>
      <c r="F18" s="133">
        <f t="shared" si="4"/>
        <v>1945</v>
      </c>
      <c r="G18" s="13">
        <v>40085</v>
      </c>
      <c r="H18" s="13">
        <v>39365</v>
      </c>
      <c r="I18" s="13">
        <v>41310</v>
      </c>
      <c r="J18" s="13">
        <v>41310</v>
      </c>
      <c r="K18" s="1">
        <f t="shared" si="1"/>
        <v>720</v>
      </c>
      <c r="L18" s="1">
        <f t="shared" si="2"/>
        <v>720</v>
      </c>
      <c r="M18" s="1">
        <f t="shared" si="3"/>
        <v>1225</v>
      </c>
      <c r="N18" s="98" t="s">
        <v>417</v>
      </c>
      <c r="O18" s="98">
        <v>6.29</v>
      </c>
      <c r="P18" s="1">
        <v>1</v>
      </c>
      <c r="Q18" s="1">
        <v>1</v>
      </c>
      <c r="R18" s="1">
        <v>1</v>
      </c>
      <c r="S18" s="1">
        <v>1</v>
      </c>
      <c r="T18" s="1" t="s">
        <v>437</v>
      </c>
      <c r="U18" s="1"/>
      <c r="V18" s="1"/>
      <c r="W18" s="1"/>
      <c r="X18" s="1"/>
      <c r="Y18" s="98">
        <v>2</v>
      </c>
      <c r="Z18" s="98">
        <v>97</v>
      </c>
      <c r="AA18" s="98">
        <v>97</v>
      </c>
      <c r="AB18" s="1"/>
      <c r="AC18" s="1"/>
      <c r="AD18" s="12">
        <v>60</v>
      </c>
      <c r="AE18" s="1" t="s">
        <v>434</v>
      </c>
      <c r="AF18" s="1">
        <v>2.5</v>
      </c>
      <c r="AG18" s="1">
        <v>0.35</v>
      </c>
      <c r="AH18" s="172">
        <v>2.5</v>
      </c>
      <c r="AI18" s="12">
        <v>0.35</v>
      </c>
      <c r="AJ18" s="12">
        <v>2</v>
      </c>
      <c r="AK18" s="12">
        <v>0.35</v>
      </c>
      <c r="AL18" s="82">
        <v>0</v>
      </c>
    </row>
    <row r="19" spans="1:38" ht="14.5" x14ac:dyDescent="0.35">
      <c r="A19" s="173" t="s">
        <v>30</v>
      </c>
      <c r="B19" s="1">
        <v>3</v>
      </c>
      <c r="C19" s="1" t="s">
        <v>418</v>
      </c>
      <c r="D19" s="13">
        <v>39365</v>
      </c>
      <c r="E19" s="104">
        <f t="shared" si="0"/>
        <v>1945</v>
      </c>
      <c r="F19" s="133">
        <f t="shared" si="4"/>
        <v>1945</v>
      </c>
      <c r="G19" s="13">
        <v>40274</v>
      </c>
      <c r="H19" s="13">
        <f>G18</f>
        <v>40085</v>
      </c>
      <c r="I19" s="13">
        <v>41310</v>
      </c>
      <c r="J19" s="13">
        <v>41310</v>
      </c>
      <c r="K19" s="1">
        <f t="shared" si="1"/>
        <v>909</v>
      </c>
      <c r="L19" s="1">
        <f t="shared" si="2"/>
        <v>189</v>
      </c>
      <c r="M19" s="1">
        <f t="shared" si="3"/>
        <v>1036</v>
      </c>
      <c r="N19" s="98" t="s">
        <v>417</v>
      </c>
      <c r="O19" s="98">
        <v>6.12</v>
      </c>
      <c r="P19" s="1">
        <v>1</v>
      </c>
      <c r="Q19" s="1">
        <v>1</v>
      </c>
      <c r="R19" s="1">
        <v>1</v>
      </c>
      <c r="S19" s="1">
        <v>1</v>
      </c>
      <c r="T19" s="1" t="s">
        <v>437</v>
      </c>
      <c r="U19" s="1"/>
      <c r="V19" s="1"/>
      <c r="W19" s="1"/>
      <c r="X19" s="1"/>
      <c r="Y19" s="98">
        <v>2</v>
      </c>
      <c r="Z19" s="98">
        <v>99</v>
      </c>
      <c r="AA19" s="98">
        <v>99</v>
      </c>
      <c r="AB19" s="1"/>
      <c r="AC19" s="1"/>
      <c r="AD19" s="12">
        <v>60</v>
      </c>
      <c r="AE19" s="1" t="s">
        <v>434</v>
      </c>
      <c r="AF19" s="1">
        <v>2.5</v>
      </c>
      <c r="AG19" s="1">
        <v>0.35</v>
      </c>
      <c r="AH19" s="172">
        <v>2.5</v>
      </c>
      <c r="AI19" s="12">
        <v>0.35</v>
      </c>
      <c r="AJ19" s="12">
        <v>2</v>
      </c>
      <c r="AK19" s="12">
        <v>0.35</v>
      </c>
      <c r="AL19" s="82">
        <v>0</v>
      </c>
    </row>
    <row r="20" spans="1:38" ht="14.5" x14ac:dyDescent="0.35">
      <c r="A20" s="173" t="s">
        <v>30</v>
      </c>
      <c r="B20" s="1">
        <v>3</v>
      </c>
      <c r="C20" s="1" t="s">
        <v>418</v>
      </c>
      <c r="D20" s="13">
        <v>39365</v>
      </c>
      <c r="E20" s="104">
        <f t="shared" si="0"/>
        <v>1945</v>
      </c>
      <c r="F20" s="133">
        <f t="shared" si="4"/>
        <v>1945</v>
      </c>
      <c r="G20" s="13">
        <v>40715</v>
      </c>
      <c r="H20" s="13">
        <f t="shared" ref="H20:H23" si="7">G19</f>
        <v>40274</v>
      </c>
      <c r="I20" s="13">
        <v>41310</v>
      </c>
      <c r="J20" s="13">
        <v>41310</v>
      </c>
      <c r="K20" s="1">
        <f t="shared" si="1"/>
        <v>1350</v>
      </c>
      <c r="L20" s="1">
        <f t="shared" si="2"/>
        <v>441</v>
      </c>
      <c r="M20" s="1">
        <f t="shared" si="3"/>
        <v>595</v>
      </c>
      <c r="N20" s="98" t="s">
        <v>417</v>
      </c>
      <c r="O20" s="98">
        <v>5.37</v>
      </c>
      <c r="P20" s="1">
        <v>1</v>
      </c>
      <c r="Q20" s="1">
        <v>1</v>
      </c>
      <c r="R20" s="1">
        <v>1</v>
      </c>
      <c r="S20" s="1">
        <v>1</v>
      </c>
      <c r="T20" s="1" t="s">
        <v>437</v>
      </c>
      <c r="U20" s="1"/>
      <c r="V20" s="1"/>
      <c r="W20" s="1"/>
      <c r="X20" s="1"/>
      <c r="Y20" s="98">
        <v>4</v>
      </c>
      <c r="Z20" s="98">
        <v>97</v>
      </c>
      <c r="AA20" s="98">
        <v>97</v>
      </c>
      <c r="AB20" s="1"/>
      <c r="AC20" s="1"/>
      <c r="AD20" s="12">
        <v>60</v>
      </c>
      <c r="AE20" s="1" t="s">
        <v>434</v>
      </c>
      <c r="AF20" s="1">
        <v>2.5</v>
      </c>
      <c r="AG20" s="1">
        <v>0.35</v>
      </c>
      <c r="AH20" s="172">
        <v>2.5</v>
      </c>
      <c r="AI20" s="12">
        <v>0.35</v>
      </c>
      <c r="AJ20" s="12">
        <v>2</v>
      </c>
      <c r="AK20" s="12">
        <v>0.35</v>
      </c>
      <c r="AL20" s="82">
        <v>0</v>
      </c>
    </row>
    <row r="21" spans="1:38" ht="14.5" x14ac:dyDescent="0.35">
      <c r="A21" s="173" t="s">
        <v>30</v>
      </c>
      <c r="B21" s="1">
        <v>3</v>
      </c>
      <c r="C21" s="1" t="s">
        <v>418</v>
      </c>
      <c r="D21" s="13">
        <v>39365</v>
      </c>
      <c r="E21" s="104">
        <f t="shared" si="0"/>
        <v>1945</v>
      </c>
      <c r="F21" s="133">
        <f t="shared" si="4"/>
        <v>1945</v>
      </c>
      <c r="G21" s="13">
        <v>40940</v>
      </c>
      <c r="H21" s="13">
        <f t="shared" si="7"/>
        <v>40715</v>
      </c>
      <c r="I21" s="13">
        <v>41310</v>
      </c>
      <c r="J21" s="13">
        <v>41310</v>
      </c>
      <c r="K21" s="1">
        <f t="shared" si="1"/>
        <v>1575</v>
      </c>
      <c r="L21" s="1">
        <f t="shared" si="2"/>
        <v>225</v>
      </c>
      <c r="M21" s="1">
        <f t="shared" si="3"/>
        <v>370</v>
      </c>
      <c r="N21" s="98" t="s">
        <v>417</v>
      </c>
      <c r="O21" s="98">
        <v>5.2</v>
      </c>
      <c r="P21" s="1">
        <v>0</v>
      </c>
      <c r="Q21" s="1">
        <v>1</v>
      </c>
      <c r="R21" s="1">
        <v>1</v>
      </c>
      <c r="S21" s="1">
        <v>1</v>
      </c>
      <c r="T21" s="1" t="s">
        <v>438</v>
      </c>
      <c r="U21" s="1"/>
      <c r="V21" s="1"/>
      <c r="W21" s="1"/>
      <c r="X21" s="1"/>
      <c r="Y21" s="98">
        <v>20</v>
      </c>
      <c r="Z21" s="98">
        <v>93</v>
      </c>
      <c r="AA21" s="98">
        <v>93</v>
      </c>
      <c r="AB21" s="1"/>
      <c r="AC21" s="1"/>
      <c r="AD21" s="12">
        <v>60</v>
      </c>
      <c r="AE21" s="1" t="s">
        <v>434</v>
      </c>
      <c r="AF21" s="1">
        <v>2.5</v>
      </c>
      <c r="AG21" s="1">
        <v>0.35</v>
      </c>
      <c r="AH21" s="172">
        <v>2.5</v>
      </c>
      <c r="AI21" s="12">
        <v>0.35</v>
      </c>
      <c r="AJ21" s="12">
        <v>2</v>
      </c>
      <c r="AK21" s="12">
        <v>0.35</v>
      </c>
      <c r="AL21" s="82">
        <v>0</v>
      </c>
    </row>
    <row r="22" spans="1:38" ht="14.5" x14ac:dyDescent="0.35">
      <c r="A22" s="173" t="s">
        <v>30</v>
      </c>
      <c r="B22" s="1">
        <v>3</v>
      </c>
      <c r="C22" s="1" t="s">
        <v>418</v>
      </c>
      <c r="D22" s="13">
        <v>39365</v>
      </c>
      <c r="E22" s="104">
        <f t="shared" si="0"/>
        <v>1945</v>
      </c>
      <c r="F22" s="133">
        <f t="shared" si="4"/>
        <v>1945</v>
      </c>
      <c r="G22" s="13">
        <v>41107</v>
      </c>
      <c r="H22" s="13">
        <f t="shared" si="7"/>
        <v>40940</v>
      </c>
      <c r="I22" s="13">
        <v>41310</v>
      </c>
      <c r="J22" s="13">
        <v>41310</v>
      </c>
      <c r="K22" s="1">
        <f t="shared" si="1"/>
        <v>1742</v>
      </c>
      <c r="L22" s="1">
        <f t="shared" si="2"/>
        <v>167</v>
      </c>
      <c r="M22" s="1">
        <f t="shared" si="3"/>
        <v>203</v>
      </c>
      <c r="N22" s="98" t="s">
        <v>417</v>
      </c>
      <c r="O22" s="98">
        <v>5.15</v>
      </c>
      <c r="P22" s="1">
        <v>0</v>
      </c>
      <c r="Q22" s="1">
        <v>0</v>
      </c>
      <c r="R22" s="1">
        <v>1</v>
      </c>
      <c r="S22" s="1">
        <v>1</v>
      </c>
      <c r="T22" s="1" t="s">
        <v>439</v>
      </c>
      <c r="U22" s="1"/>
      <c r="V22" s="1"/>
      <c r="W22" s="1"/>
      <c r="X22" s="1"/>
      <c r="Y22" s="98">
        <v>14</v>
      </c>
      <c r="Z22" s="98">
        <v>79</v>
      </c>
      <c r="AA22" s="98">
        <v>79</v>
      </c>
      <c r="AB22" s="1"/>
      <c r="AC22" s="1"/>
      <c r="AD22" s="12">
        <v>60</v>
      </c>
      <c r="AE22" s="1" t="s">
        <v>434</v>
      </c>
      <c r="AF22" s="1">
        <v>2.5</v>
      </c>
      <c r="AG22" s="1">
        <v>0.35</v>
      </c>
      <c r="AH22" s="172">
        <v>2.5</v>
      </c>
      <c r="AI22" s="12">
        <v>0.35</v>
      </c>
      <c r="AJ22" s="12">
        <v>2</v>
      </c>
      <c r="AK22" s="12">
        <v>0.35</v>
      </c>
      <c r="AL22" s="82">
        <v>0</v>
      </c>
    </row>
    <row r="23" spans="1:38" ht="14.5" x14ac:dyDescent="0.35">
      <c r="A23" s="173" t="s">
        <v>30</v>
      </c>
      <c r="B23" s="1">
        <v>3</v>
      </c>
      <c r="C23" s="1" t="s">
        <v>418</v>
      </c>
      <c r="D23" s="13">
        <v>39365</v>
      </c>
      <c r="E23" s="104">
        <f t="shared" si="0"/>
        <v>1945</v>
      </c>
      <c r="F23" s="133">
        <f t="shared" si="4"/>
        <v>1945</v>
      </c>
      <c r="G23" s="13">
        <v>41310</v>
      </c>
      <c r="H23" s="13">
        <f t="shared" si="7"/>
        <v>41107</v>
      </c>
      <c r="I23" s="13">
        <v>41310</v>
      </c>
      <c r="J23" s="13">
        <v>41310</v>
      </c>
      <c r="K23" s="1">
        <f t="shared" si="1"/>
        <v>1945</v>
      </c>
      <c r="L23" s="1">
        <f t="shared" si="2"/>
        <v>203</v>
      </c>
      <c r="M23" s="1">
        <f t="shared" si="3"/>
        <v>0</v>
      </c>
      <c r="N23" s="98" t="s">
        <v>417</v>
      </c>
      <c r="O23" s="98">
        <v>5.14</v>
      </c>
      <c r="P23" s="19"/>
      <c r="Q23" s="19"/>
      <c r="R23" s="19"/>
      <c r="S23" s="19"/>
      <c r="T23" s="83"/>
      <c r="U23" s="1"/>
      <c r="V23" s="1"/>
      <c r="W23" s="1"/>
      <c r="X23" s="1"/>
      <c r="Y23" s="98">
        <v>7</v>
      </c>
      <c r="Z23" s="98">
        <v>98</v>
      </c>
      <c r="AA23" s="98">
        <v>98</v>
      </c>
      <c r="AB23" s="1"/>
      <c r="AC23" s="1"/>
      <c r="AD23" s="12">
        <v>60</v>
      </c>
      <c r="AE23" s="1" t="s">
        <v>434</v>
      </c>
      <c r="AF23" s="1">
        <v>2.5</v>
      </c>
      <c r="AG23" s="1">
        <v>0.35</v>
      </c>
      <c r="AH23" s="172">
        <v>2.5</v>
      </c>
      <c r="AI23" s="12">
        <v>0.35</v>
      </c>
      <c r="AJ23" s="12">
        <v>2</v>
      </c>
      <c r="AK23" s="12">
        <v>0.35</v>
      </c>
      <c r="AL23" s="82">
        <v>0</v>
      </c>
    </row>
    <row r="24" spans="1:38" ht="14.5" x14ac:dyDescent="0.35">
      <c r="A24" s="190" t="s">
        <v>32</v>
      </c>
      <c r="B24" s="1">
        <v>3</v>
      </c>
      <c r="C24" s="1" t="s">
        <v>418</v>
      </c>
      <c r="D24" s="13">
        <v>39511</v>
      </c>
      <c r="E24" s="174">
        <f t="shared" si="0"/>
        <v>2474</v>
      </c>
      <c r="F24" s="133"/>
      <c r="G24" s="13">
        <v>40239</v>
      </c>
      <c r="H24" s="13">
        <v>39511</v>
      </c>
      <c r="I24" s="13">
        <v>41985</v>
      </c>
      <c r="J24" s="13"/>
      <c r="K24" s="1">
        <f t="shared" si="1"/>
        <v>728</v>
      </c>
      <c r="L24" s="1">
        <f t="shared" si="2"/>
        <v>728</v>
      </c>
      <c r="M24" s="216">
        <f t="shared" si="3"/>
        <v>1746</v>
      </c>
      <c r="N24" s="98" t="s">
        <v>417</v>
      </c>
      <c r="O24" s="98">
        <v>6.36</v>
      </c>
      <c r="P24" s="1">
        <f t="shared" ref="P24:P29" si="8">IF(M24&gt;=540,1,"nulo")</f>
        <v>1</v>
      </c>
      <c r="Q24" s="1">
        <f t="shared" ref="Q24:Q31" si="9">IF(M24&gt;=360,1,"nulo")</f>
        <v>1</v>
      </c>
      <c r="R24" s="1">
        <f t="shared" ref="R24:R32" si="10">IF(M24&gt;=180,1,"nulo")</f>
        <v>1</v>
      </c>
      <c r="S24" s="1">
        <f t="shared" ref="S24:S32" si="11">IF(M24&gt;=90,1,"nulo")</f>
        <v>1</v>
      </c>
      <c r="T24" s="1" t="s">
        <v>437</v>
      </c>
      <c r="U24" s="1"/>
      <c r="V24" s="1"/>
      <c r="W24" s="1"/>
      <c r="X24" s="1"/>
      <c r="Y24" s="98">
        <v>2</v>
      </c>
      <c r="Z24" s="98">
        <v>99</v>
      </c>
      <c r="AA24" s="98">
        <v>99</v>
      </c>
      <c r="AB24" s="1"/>
      <c r="AC24" s="1"/>
      <c r="AD24" s="12">
        <v>60</v>
      </c>
      <c r="AE24" s="1" t="s">
        <v>434</v>
      </c>
      <c r="AF24" s="1">
        <v>2</v>
      </c>
      <c r="AG24" s="1">
        <v>0.35</v>
      </c>
      <c r="AH24" s="172">
        <v>2</v>
      </c>
      <c r="AI24" s="12">
        <v>0.35</v>
      </c>
      <c r="AJ24" s="172">
        <v>2.5</v>
      </c>
      <c r="AK24" s="12">
        <v>0.35</v>
      </c>
      <c r="AL24" s="82">
        <v>258</v>
      </c>
    </row>
    <row r="25" spans="1:38" ht="14.5" x14ac:dyDescent="0.35">
      <c r="A25" s="190" t="s">
        <v>32</v>
      </c>
      <c r="B25" s="1">
        <v>3</v>
      </c>
      <c r="C25" s="1" t="s">
        <v>418</v>
      </c>
      <c r="D25" s="13">
        <v>39511</v>
      </c>
      <c r="E25" s="174">
        <f t="shared" si="0"/>
        <v>2474</v>
      </c>
      <c r="F25" s="133"/>
      <c r="G25" s="13">
        <v>40696</v>
      </c>
      <c r="H25" s="13">
        <f>G24</f>
        <v>40239</v>
      </c>
      <c r="I25" s="13">
        <v>41985</v>
      </c>
      <c r="J25" s="13"/>
      <c r="K25" s="1">
        <f t="shared" si="1"/>
        <v>1185</v>
      </c>
      <c r="L25" s="1">
        <f t="shared" si="2"/>
        <v>457</v>
      </c>
      <c r="M25" s="216">
        <f t="shared" si="3"/>
        <v>1289</v>
      </c>
      <c r="N25" s="98" t="s">
        <v>417</v>
      </c>
      <c r="O25" s="98">
        <v>5.83</v>
      </c>
      <c r="P25" s="1">
        <f t="shared" si="8"/>
        <v>1</v>
      </c>
      <c r="Q25" s="1">
        <f t="shared" si="9"/>
        <v>1</v>
      </c>
      <c r="R25" s="1">
        <f t="shared" si="10"/>
        <v>1</v>
      </c>
      <c r="S25" s="1">
        <f t="shared" si="11"/>
        <v>1</v>
      </c>
      <c r="T25" s="1" t="s">
        <v>437</v>
      </c>
      <c r="U25" s="1"/>
      <c r="V25" s="1"/>
      <c r="W25" s="1"/>
      <c r="X25" s="1"/>
      <c r="Y25" s="98">
        <v>4</v>
      </c>
      <c r="Z25" s="98">
        <v>99</v>
      </c>
      <c r="AA25" s="98">
        <v>99</v>
      </c>
      <c r="AB25" s="1"/>
      <c r="AC25" s="1"/>
      <c r="AD25" s="12">
        <v>60</v>
      </c>
      <c r="AE25" s="1" t="s">
        <v>434</v>
      </c>
      <c r="AF25" s="1">
        <v>2</v>
      </c>
      <c r="AG25" s="1">
        <v>0.35</v>
      </c>
      <c r="AH25" s="172">
        <v>2</v>
      </c>
      <c r="AI25" s="12">
        <v>0.35</v>
      </c>
      <c r="AJ25" s="172">
        <v>2.5</v>
      </c>
      <c r="AK25" s="12">
        <v>0.35</v>
      </c>
      <c r="AL25" s="82">
        <v>0</v>
      </c>
    </row>
    <row r="26" spans="1:38" ht="14.5" x14ac:dyDescent="0.35">
      <c r="A26" s="190" t="s">
        <v>32</v>
      </c>
      <c r="B26" s="1">
        <v>3</v>
      </c>
      <c r="C26" s="1" t="s">
        <v>418</v>
      </c>
      <c r="D26" s="13">
        <v>39511</v>
      </c>
      <c r="E26" s="174">
        <f t="shared" si="0"/>
        <v>2474</v>
      </c>
      <c r="F26" s="133"/>
      <c r="G26" s="13">
        <v>40813</v>
      </c>
      <c r="H26" s="13">
        <f t="shared" ref="H26:H34" si="12">G25</f>
        <v>40696</v>
      </c>
      <c r="I26" s="13">
        <v>41985</v>
      </c>
      <c r="J26" s="13"/>
      <c r="K26" s="1">
        <f t="shared" si="1"/>
        <v>1302</v>
      </c>
      <c r="L26" s="1">
        <f t="shared" si="2"/>
        <v>117</v>
      </c>
      <c r="M26" s="216">
        <f t="shared" si="3"/>
        <v>1172</v>
      </c>
      <c r="N26" s="98" t="s">
        <v>417</v>
      </c>
      <c r="O26" s="98">
        <v>5.75</v>
      </c>
      <c r="P26" s="1">
        <f t="shared" si="8"/>
        <v>1</v>
      </c>
      <c r="Q26" s="1">
        <f t="shared" si="9"/>
        <v>1</v>
      </c>
      <c r="R26" s="1">
        <f t="shared" si="10"/>
        <v>1</v>
      </c>
      <c r="S26" s="1">
        <f t="shared" si="11"/>
        <v>1</v>
      </c>
      <c r="T26" s="1" t="s">
        <v>437</v>
      </c>
      <c r="U26" s="1"/>
      <c r="V26" s="1"/>
      <c r="W26" s="1"/>
      <c r="X26" s="1"/>
      <c r="Y26" s="98">
        <v>14</v>
      </c>
      <c r="Z26" s="98">
        <v>98</v>
      </c>
      <c r="AA26" s="98">
        <v>98</v>
      </c>
      <c r="AB26" s="1"/>
      <c r="AC26" s="1"/>
      <c r="AD26" s="12">
        <v>60</v>
      </c>
      <c r="AE26" s="1" t="s">
        <v>434</v>
      </c>
      <c r="AF26" s="1">
        <v>2</v>
      </c>
      <c r="AG26" s="1">
        <v>0.35</v>
      </c>
      <c r="AH26" s="172">
        <v>2</v>
      </c>
      <c r="AI26" s="12">
        <v>0.35</v>
      </c>
      <c r="AJ26" s="172">
        <v>2.5</v>
      </c>
      <c r="AK26" s="12">
        <v>0.35</v>
      </c>
      <c r="AL26" s="82">
        <v>0</v>
      </c>
    </row>
    <row r="27" spans="1:38" ht="14.5" x14ac:dyDescent="0.35">
      <c r="A27" s="190" t="s">
        <v>32</v>
      </c>
      <c r="B27" s="1">
        <v>3</v>
      </c>
      <c r="C27" s="1" t="s">
        <v>418</v>
      </c>
      <c r="D27" s="13">
        <v>39511</v>
      </c>
      <c r="E27" s="174">
        <f t="shared" si="0"/>
        <v>2474</v>
      </c>
      <c r="F27" s="133"/>
      <c r="G27" s="13">
        <v>41121</v>
      </c>
      <c r="H27" s="13">
        <f t="shared" si="12"/>
        <v>40813</v>
      </c>
      <c r="I27" s="13">
        <v>41985</v>
      </c>
      <c r="J27" s="13"/>
      <c r="K27" s="1">
        <f t="shared" si="1"/>
        <v>1610</v>
      </c>
      <c r="L27" s="1">
        <f t="shared" si="2"/>
        <v>308</v>
      </c>
      <c r="M27" s="216">
        <f t="shared" si="3"/>
        <v>864</v>
      </c>
      <c r="N27" s="98" t="s">
        <v>417</v>
      </c>
      <c r="O27" s="98">
        <v>5.25</v>
      </c>
      <c r="P27" s="1">
        <f t="shared" si="8"/>
        <v>1</v>
      </c>
      <c r="Q27" s="1">
        <f t="shared" si="9"/>
        <v>1</v>
      </c>
      <c r="R27" s="1">
        <f t="shared" si="10"/>
        <v>1</v>
      </c>
      <c r="S27" s="1">
        <f t="shared" si="11"/>
        <v>1</v>
      </c>
      <c r="T27" s="1" t="s">
        <v>437</v>
      </c>
      <c r="U27" s="1"/>
      <c r="V27" s="1"/>
      <c r="W27" s="1"/>
      <c r="X27" s="1"/>
      <c r="Y27" s="98">
        <v>6</v>
      </c>
      <c r="Z27" s="98">
        <v>98</v>
      </c>
      <c r="AA27" s="98">
        <v>98</v>
      </c>
      <c r="AB27" s="1"/>
      <c r="AC27" s="1"/>
      <c r="AD27" s="12">
        <v>60</v>
      </c>
      <c r="AE27" s="1" t="s">
        <v>434</v>
      </c>
      <c r="AF27" s="1">
        <v>2</v>
      </c>
      <c r="AG27" s="1">
        <v>0.35</v>
      </c>
      <c r="AH27" s="172">
        <v>2</v>
      </c>
      <c r="AI27" s="12">
        <v>0.35</v>
      </c>
      <c r="AJ27" s="172">
        <v>2.5</v>
      </c>
      <c r="AK27" s="12">
        <v>0.35</v>
      </c>
      <c r="AL27" s="82">
        <v>0</v>
      </c>
    </row>
    <row r="28" spans="1:38" ht="14.5" x14ac:dyDescent="0.35">
      <c r="A28" s="190" t="s">
        <v>32</v>
      </c>
      <c r="B28" s="1">
        <v>3</v>
      </c>
      <c r="C28" s="1" t="s">
        <v>418</v>
      </c>
      <c r="D28" s="13">
        <v>39511</v>
      </c>
      <c r="E28" s="174">
        <f t="shared" si="0"/>
        <v>2474</v>
      </c>
      <c r="F28" s="133"/>
      <c r="G28" s="13">
        <v>41212</v>
      </c>
      <c r="H28" s="13">
        <f t="shared" si="12"/>
        <v>41121</v>
      </c>
      <c r="I28" s="13">
        <v>41985</v>
      </c>
      <c r="J28" s="13"/>
      <c r="K28" s="1">
        <f t="shared" si="1"/>
        <v>1701</v>
      </c>
      <c r="L28" s="1">
        <f t="shared" si="2"/>
        <v>91</v>
      </c>
      <c r="M28" s="216">
        <f t="shared" si="3"/>
        <v>773</v>
      </c>
      <c r="N28" s="98" t="s">
        <v>417</v>
      </c>
      <c r="O28" s="98">
        <v>5.2</v>
      </c>
      <c r="P28" s="1">
        <f t="shared" si="8"/>
        <v>1</v>
      </c>
      <c r="Q28" s="1">
        <f t="shared" si="9"/>
        <v>1</v>
      </c>
      <c r="R28" s="1">
        <f t="shared" si="10"/>
        <v>1</v>
      </c>
      <c r="S28" s="1">
        <f t="shared" si="11"/>
        <v>1</v>
      </c>
      <c r="T28" s="1" t="s">
        <v>437</v>
      </c>
      <c r="U28" s="1"/>
      <c r="V28" s="1"/>
      <c r="W28" s="1"/>
      <c r="X28" s="1"/>
      <c r="Y28" s="98">
        <v>6</v>
      </c>
      <c r="Z28" s="98">
        <v>98</v>
      </c>
      <c r="AA28" s="98">
        <v>98</v>
      </c>
      <c r="AB28" s="1"/>
      <c r="AC28" s="1"/>
      <c r="AD28" s="12">
        <v>60</v>
      </c>
      <c r="AE28" s="1" t="s">
        <v>434</v>
      </c>
      <c r="AF28" s="1">
        <v>2</v>
      </c>
      <c r="AG28" s="1">
        <v>0.35</v>
      </c>
      <c r="AH28" s="172">
        <v>2</v>
      </c>
      <c r="AI28" s="12">
        <v>0.35</v>
      </c>
      <c r="AJ28" s="172">
        <v>2.5</v>
      </c>
      <c r="AK28" s="12">
        <v>0.35</v>
      </c>
      <c r="AL28" s="82">
        <v>0</v>
      </c>
    </row>
    <row r="29" spans="1:38" ht="14.5" x14ac:dyDescent="0.35">
      <c r="A29" s="190" t="s">
        <v>32</v>
      </c>
      <c r="B29" s="1">
        <v>3</v>
      </c>
      <c r="C29" s="1" t="s">
        <v>418</v>
      </c>
      <c r="D29" s="13">
        <v>39511</v>
      </c>
      <c r="E29" s="174">
        <f t="shared" si="0"/>
        <v>2474</v>
      </c>
      <c r="F29" s="133"/>
      <c r="G29" s="13">
        <v>41324</v>
      </c>
      <c r="H29" s="13">
        <f t="shared" si="12"/>
        <v>41212</v>
      </c>
      <c r="I29" s="13">
        <v>41985</v>
      </c>
      <c r="J29" s="13"/>
      <c r="K29" s="1">
        <f t="shared" si="1"/>
        <v>1813</v>
      </c>
      <c r="L29" s="1">
        <f t="shared" si="2"/>
        <v>112</v>
      </c>
      <c r="M29" s="216">
        <f t="shared" si="3"/>
        <v>661</v>
      </c>
      <c r="N29" s="98" t="s">
        <v>417</v>
      </c>
      <c r="O29" s="98">
        <v>5.17</v>
      </c>
      <c r="P29" s="1">
        <f t="shared" si="8"/>
        <v>1</v>
      </c>
      <c r="Q29" s="1">
        <f t="shared" si="9"/>
        <v>1</v>
      </c>
      <c r="R29" s="1">
        <f t="shared" si="10"/>
        <v>1</v>
      </c>
      <c r="S29" s="1">
        <f t="shared" si="11"/>
        <v>1</v>
      </c>
      <c r="T29" s="1" t="s">
        <v>437</v>
      </c>
      <c r="U29" s="1"/>
      <c r="V29" s="1"/>
      <c r="W29" s="1"/>
      <c r="X29" s="1"/>
      <c r="Y29" s="98">
        <v>2</v>
      </c>
      <c r="Z29" s="98">
        <v>99</v>
      </c>
      <c r="AA29" s="98">
        <v>99</v>
      </c>
      <c r="AB29" s="1"/>
      <c r="AC29" s="1"/>
      <c r="AD29" s="12">
        <v>60</v>
      </c>
      <c r="AE29" s="1" t="s">
        <v>434</v>
      </c>
      <c r="AF29" s="1">
        <v>2</v>
      </c>
      <c r="AG29" s="1">
        <v>0.35</v>
      </c>
      <c r="AH29" s="172">
        <v>2</v>
      </c>
      <c r="AI29" s="12">
        <v>0.35</v>
      </c>
      <c r="AJ29" s="172">
        <v>2.5</v>
      </c>
      <c r="AK29" s="12">
        <v>0.35</v>
      </c>
      <c r="AL29" s="82">
        <v>0</v>
      </c>
    </row>
    <row r="30" spans="1:38" ht="14.5" x14ac:dyDescent="0.35">
      <c r="A30" s="190" t="s">
        <v>32</v>
      </c>
      <c r="B30" s="1">
        <v>3</v>
      </c>
      <c r="C30" s="1" t="s">
        <v>418</v>
      </c>
      <c r="D30" s="13">
        <v>39511</v>
      </c>
      <c r="E30" s="174">
        <f t="shared" si="0"/>
        <v>2474</v>
      </c>
      <c r="F30" s="133"/>
      <c r="G30" s="13">
        <v>41450</v>
      </c>
      <c r="H30" s="13">
        <f t="shared" si="12"/>
        <v>41324</v>
      </c>
      <c r="I30" s="13">
        <v>41985</v>
      </c>
      <c r="J30" s="13"/>
      <c r="K30" s="1">
        <f t="shared" si="1"/>
        <v>1939</v>
      </c>
      <c r="L30" s="1">
        <f t="shared" si="2"/>
        <v>126</v>
      </c>
      <c r="M30" s="216">
        <f t="shared" si="3"/>
        <v>535</v>
      </c>
      <c r="N30" s="98" t="s">
        <v>417</v>
      </c>
      <c r="O30" s="98">
        <v>5.15</v>
      </c>
      <c r="P30" s="1"/>
      <c r="Q30" s="1">
        <f t="shared" si="9"/>
        <v>1</v>
      </c>
      <c r="R30" s="1">
        <f t="shared" si="10"/>
        <v>1</v>
      </c>
      <c r="S30" s="1">
        <f t="shared" si="11"/>
        <v>1</v>
      </c>
      <c r="T30" s="1" t="s">
        <v>442</v>
      </c>
      <c r="U30" s="1"/>
      <c r="V30" s="1"/>
      <c r="W30" s="1"/>
      <c r="X30" s="1"/>
      <c r="Y30" s="98">
        <v>2</v>
      </c>
      <c r="Z30" s="98">
        <v>99</v>
      </c>
      <c r="AA30" s="98">
        <v>99</v>
      </c>
      <c r="AB30" s="1"/>
      <c r="AC30" s="1"/>
      <c r="AD30" s="12">
        <v>60</v>
      </c>
      <c r="AE30" s="1" t="s">
        <v>434</v>
      </c>
      <c r="AF30" s="1">
        <v>2</v>
      </c>
      <c r="AG30" s="1">
        <v>0.35</v>
      </c>
      <c r="AH30" s="172">
        <v>2</v>
      </c>
      <c r="AI30" s="12">
        <v>0.35</v>
      </c>
      <c r="AJ30" s="172">
        <v>2.5</v>
      </c>
      <c r="AK30" s="12">
        <v>0.35</v>
      </c>
      <c r="AL30" s="82">
        <v>0</v>
      </c>
    </row>
    <row r="31" spans="1:38" ht="14.5" x14ac:dyDescent="0.35">
      <c r="A31" s="190" t="s">
        <v>32</v>
      </c>
      <c r="B31" s="1">
        <v>3</v>
      </c>
      <c r="C31" s="1" t="s">
        <v>418</v>
      </c>
      <c r="D31" s="13">
        <v>39511</v>
      </c>
      <c r="E31" s="174">
        <f t="shared" si="0"/>
        <v>2474</v>
      </c>
      <c r="F31" s="133"/>
      <c r="G31" s="13">
        <v>41528</v>
      </c>
      <c r="H31" s="13">
        <f t="shared" si="12"/>
        <v>41450</v>
      </c>
      <c r="I31" s="13">
        <v>41985</v>
      </c>
      <c r="J31" s="13"/>
      <c r="K31" s="1">
        <f t="shared" si="1"/>
        <v>2017</v>
      </c>
      <c r="L31" s="1">
        <f t="shared" si="2"/>
        <v>78</v>
      </c>
      <c r="M31" s="216">
        <f t="shared" si="3"/>
        <v>457</v>
      </c>
      <c r="N31" s="98" t="s">
        <v>417</v>
      </c>
      <c r="O31" s="98">
        <v>5.15</v>
      </c>
      <c r="P31" s="1"/>
      <c r="Q31" s="1">
        <f t="shared" si="9"/>
        <v>1</v>
      </c>
      <c r="R31" s="1">
        <f t="shared" si="10"/>
        <v>1</v>
      </c>
      <c r="S31" s="1">
        <f t="shared" si="11"/>
        <v>1</v>
      </c>
      <c r="T31" s="1" t="s">
        <v>442</v>
      </c>
      <c r="U31" s="1"/>
      <c r="V31" s="1"/>
      <c r="W31" s="1"/>
      <c r="X31" s="1"/>
      <c r="Y31" s="98">
        <v>3</v>
      </c>
      <c r="Z31" s="98">
        <v>100</v>
      </c>
      <c r="AA31" s="98">
        <v>100</v>
      </c>
      <c r="AB31" s="1"/>
      <c r="AC31" s="1"/>
      <c r="AD31" s="12">
        <v>60</v>
      </c>
      <c r="AE31" s="1" t="s">
        <v>434</v>
      </c>
      <c r="AF31" s="1">
        <v>2</v>
      </c>
      <c r="AG31" s="1">
        <v>0.35</v>
      </c>
      <c r="AH31" s="172">
        <v>2</v>
      </c>
      <c r="AI31" s="12">
        <v>0.35</v>
      </c>
      <c r="AJ31" s="172">
        <v>2.5</v>
      </c>
      <c r="AK31" s="12">
        <v>0.35</v>
      </c>
      <c r="AL31" s="82">
        <v>132</v>
      </c>
    </row>
    <row r="32" spans="1:38" ht="14.5" x14ac:dyDescent="0.35">
      <c r="A32" s="190" t="s">
        <v>32</v>
      </c>
      <c r="B32" s="1">
        <v>3</v>
      </c>
      <c r="C32" s="1" t="s">
        <v>418</v>
      </c>
      <c r="D32" s="13">
        <v>39511</v>
      </c>
      <c r="E32" s="174">
        <f t="shared" si="0"/>
        <v>2474</v>
      </c>
      <c r="F32" s="133"/>
      <c r="G32" s="13">
        <v>41695</v>
      </c>
      <c r="H32" s="13">
        <f t="shared" si="12"/>
        <v>41528</v>
      </c>
      <c r="I32" s="13">
        <v>41985</v>
      </c>
      <c r="J32" s="13"/>
      <c r="K32" s="1">
        <f t="shared" si="1"/>
        <v>2184</v>
      </c>
      <c r="L32" s="1">
        <f t="shared" si="2"/>
        <v>167</v>
      </c>
      <c r="M32" s="216">
        <f t="shared" si="3"/>
        <v>290</v>
      </c>
      <c r="N32" s="98" t="s">
        <v>417</v>
      </c>
      <c r="O32" s="98">
        <v>5.14</v>
      </c>
      <c r="P32" s="1"/>
      <c r="Q32" s="1"/>
      <c r="R32" s="1">
        <f t="shared" si="10"/>
        <v>1</v>
      </c>
      <c r="S32" s="1">
        <f t="shared" si="11"/>
        <v>1</v>
      </c>
      <c r="T32" s="1" t="s">
        <v>442</v>
      </c>
      <c r="U32" s="1"/>
      <c r="V32" s="1"/>
      <c r="W32" s="1"/>
      <c r="X32" s="1"/>
      <c r="Y32" s="98">
        <v>2</v>
      </c>
      <c r="Z32" s="98">
        <v>99</v>
      </c>
      <c r="AA32" s="98">
        <v>99</v>
      </c>
      <c r="AB32" s="1"/>
      <c r="AC32" s="1"/>
      <c r="AD32" s="12">
        <v>60</v>
      </c>
      <c r="AE32" s="1" t="s">
        <v>434</v>
      </c>
      <c r="AF32" s="1">
        <v>2</v>
      </c>
      <c r="AG32" s="1">
        <v>0.35</v>
      </c>
      <c r="AH32" s="172">
        <v>2</v>
      </c>
      <c r="AI32" s="12">
        <v>0.35</v>
      </c>
      <c r="AJ32" s="172">
        <v>2.5</v>
      </c>
      <c r="AK32" s="12">
        <v>0.35</v>
      </c>
      <c r="AL32" s="82">
        <v>542</v>
      </c>
    </row>
    <row r="33" spans="1:38" ht="14.5" x14ac:dyDescent="0.35">
      <c r="A33" s="190" t="s">
        <v>32</v>
      </c>
      <c r="B33" s="1">
        <v>3</v>
      </c>
      <c r="C33" s="1" t="s">
        <v>418</v>
      </c>
      <c r="D33" s="13">
        <v>39511</v>
      </c>
      <c r="E33" s="174">
        <f t="shared" si="0"/>
        <v>2474</v>
      </c>
      <c r="F33" s="133"/>
      <c r="G33" s="13">
        <v>41905</v>
      </c>
      <c r="H33" s="13">
        <f t="shared" si="12"/>
        <v>41695</v>
      </c>
      <c r="I33" s="13">
        <v>41985</v>
      </c>
      <c r="J33" s="13"/>
      <c r="K33" s="1">
        <f t="shared" si="1"/>
        <v>2394</v>
      </c>
      <c r="L33" s="1">
        <f t="shared" si="2"/>
        <v>210</v>
      </c>
      <c r="M33" s="216">
        <f t="shared" si="3"/>
        <v>80</v>
      </c>
      <c r="N33" s="98" t="s">
        <v>417</v>
      </c>
      <c r="O33" s="98">
        <v>5.0999999999999996</v>
      </c>
      <c r="P33" s="1"/>
      <c r="Q33" s="1"/>
      <c r="R33" s="1"/>
      <c r="S33" s="1"/>
      <c r="T33" s="1" t="s">
        <v>442</v>
      </c>
      <c r="U33" s="1"/>
      <c r="V33" s="1"/>
      <c r="W33" s="1"/>
      <c r="X33" s="1"/>
      <c r="Y33" s="98">
        <v>3</v>
      </c>
      <c r="Z33" s="98">
        <v>99</v>
      </c>
      <c r="AA33" s="98">
        <v>99</v>
      </c>
      <c r="AB33" s="1"/>
      <c r="AC33" s="1"/>
      <c r="AD33" s="12">
        <v>60</v>
      </c>
      <c r="AE33" s="1" t="s">
        <v>434</v>
      </c>
      <c r="AF33" s="1">
        <v>2</v>
      </c>
      <c r="AG33" s="1">
        <v>0.35</v>
      </c>
      <c r="AH33" s="172">
        <v>2</v>
      </c>
      <c r="AI33" s="12">
        <v>0.35</v>
      </c>
      <c r="AJ33" s="172">
        <v>2.5</v>
      </c>
      <c r="AK33" s="12">
        <v>0.35</v>
      </c>
      <c r="AL33" s="82">
        <v>0</v>
      </c>
    </row>
    <row r="34" spans="1:38" ht="14.5" x14ac:dyDescent="0.35">
      <c r="A34" s="190" t="s">
        <v>32</v>
      </c>
      <c r="B34" s="1">
        <v>3</v>
      </c>
      <c r="C34" s="1" t="s">
        <v>418</v>
      </c>
      <c r="D34" s="13">
        <v>39511</v>
      </c>
      <c r="E34" s="174">
        <f t="shared" si="0"/>
        <v>2474</v>
      </c>
      <c r="F34" s="133"/>
      <c r="G34" s="13">
        <v>41985</v>
      </c>
      <c r="H34" s="13">
        <f t="shared" si="12"/>
        <v>41905</v>
      </c>
      <c r="I34" s="13">
        <v>41985</v>
      </c>
      <c r="J34" s="13"/>
      <c r="K34" s="1">
        <f t="shared" si="1"/>
        <v>2474</v>
      </c>
      <c r="L34" s="1">
        <f t="shared" si="2"/>
        <v>80</v>
      </c>
      <c r="M34" s="216">
        <f t="shared" si="3"/>
        <v>0</v>
      </c>
      <c r="N34" s="98" t="s">
        <v>417</v>
      </c>
      <c r="O34" s="98">
        <v>5.04</v>
      </c>
      <c r="P34" s="19"/>
      <c r="Q34" s="19"/>
      <c r="R34" s="19"/>
      <c r="S34" s="19"/>
      <c r="T34" s="83"/>
      <c r="U34" s="1"/>
      <c r="V34" s="1"/>
      <c r="W34" s="1"/>
      <c r="X34" s="1"/>
      <c r="Y34" s="98">
        <v>1</v>
      </c>
      <c r="Z34" s="98">
        <v>99</v>
      </c>
      <c r="AA34" s="98">
        <v>99</v>
      </c>
      <c r="AB34" s="1"/>
      <c r="AC34" s="1"/>
      <c r="AD34" s="12">
        <v>60</v>
      </c>
      <c r="AE34" s="1" t="s">
        <v>434</v>
      </c>
      <c r="AF34" s="1">
        <v>2</v>
      </c>
      <c r="AG34" s="1">
        <v>0.35</v>
      </c>
      <c r="AH34" s="172">
        <v>2</v>
      </c>
      <c r="AI34" s="12">
        <v>0.35</v>
      </c>
      <c r="AJ34" s="172">
        <v>2.5</v>
      </c>
      <c r="AK34" s="12">
        <v>0.35</v>
      </c>
      <c r="AL34" s="82">
        <v>162</v>
      </c>
    </row>
    <row r="35" spans="1:38" ht="14.5" x14ac:dyDescent="0.35">
      <c r="A35" s="175" t="s">
        <v>34</v>
      </c>
      <c r="B35" s="1">
        <v>3</v>
      </c>
      <c r="C35" s="1" t="s">
        <v>418</v>
      </c>
      <c r="D35" s="13">
        <v>39644</v>
      </c>
      <c r="E35" s="174">
        <f t="shared" si="0"/>
        <v>1946</v>
      </c>
      <c r="F35" s="133">
        <f t="shared" si="4"/>
        <v>1946</v>
      </c>
      <c r="G35" s="13">
        <v>40190</v>
      </c>
      <c r="H35" s="13">
        <v>39644</v>
      </c>
      <c r="I35" s="13">
        <v>41590</v>
      </c>
      <c r="J35" s="13">
        <v>41590</v>
      </c>
      <c r="K35" s="1">
        <f t="shared" si="1"/>
        <v>546</v>
      </c>
      <c r="L35" s="1">
        <f t="shared" si="2"/>
        <v>546</v>
      </c>
      <c r="M35" s="1">
        <f t="shared" si="3"/>
        <v>1400</v>
      </c>
      <c r="N35" s="98" t="s">
        <v>417</v>
      </c>
      <c r="O35" s="98">
        <v>6.3</v>
      </c>
      <c r="P35" s="1">
        <v>1</v>
      </c>
      <c r="Q35" s="1">
        <v>1</v>
      </c>
      <c r="R35" s="1">
        <v>1</v>
      </c>
      <c r="S35" s="1">
        <v>1</v>
      </c>
      <c r="T35" s="1" t="s">
        <v>437</v>
      </c>
      <c r="U35" s="1"/>
      <c r="V35" s="1"/>
      <c r="W35" s="1"/>
      <c r="X35" s="1"/>
      <c r="Y35" s="98">
        <v>0</v>
      </c>
      <c r="Z35" s="98">
        <v>87</v>
      </c>
      <c r="AA35" s="98">
        <v>87</v>
      </c>
      <c r="AB35" s="1"/>
      <c r="AC35" s="1"/>
      <c r="AD35" s="12">
        <v>60</v>
      </c>
      <c r="AE35" s="1" t="s">
        <v>434</v>
      </c>
      <c r="AF35" s="1">
        <v>3.5</v>
      </c>
      <c r="AG35" s="1">
        <v>0.35</v>
      </c>
      <c r="AH35" s="172">
        <v>3</v>
      </c>
      <c r="AI35" s="172">
        <v>0.5</v>
      </c>
      <c r="AJ35" s="172">
        <v>2</v>
      </c>
      <c r="AK35" s="12">
        <v>0.35</v>
      </c>
      <c r="AL35" s="98">
        <v>0</v>
      </c>
    </row>
    <row r="36" spans="1:38" ht="14.5" x14ac:dyDescent="0.35">
      <c r="A36" s="175" t="s">
        <v>34</v>
      </c>
      <c r="B36" s="1">
        <v>3</v>
      </c>
      <c r="C36" s="1" t="s">
        <v>418</v>
      </c>
      <c r="D36" s="13">
        <v>39644</v>
      </c>
      <c r="E36" s="174">
        <f t="shared" si="0"/>
        <v>1946</v>
      </c>
      <c r="F36" s="133">
        <f t="shared" si="4"/>
        <v>1946</v>
      </c>
      <c r="G36" s="13">
        <v>40347</v>
      </c>
      <c r="H36" s="13">
        <f>G35</f>
        <v>40190</v>
      </c>
      <c r="I36" s="13">
        <v>41590</v>
      </c>
      <c r="J36" s="13">
        <v>41590</v>
      </c>
      <c r="K36" s="1">
        <f t="shared" si="1"/>
        <v>703</v>
      </c>
      <c r="L36" s="1">
        <f t="shared" si="2"/>
        <v>157</v>
      </c>
      <c r="M36" s="1">
        <f t="shared" si="3"/>
        <v>1243</v>
      </c>
      <c r="N36" s="98" t="s">
        <v>417</v>
      </c>
      <c r="O36" s="98">
        <v>6.1</v>
      </c>
      <c r="P36" s="1">
        <v>1</v>
      </c>
      <c r="Q36" s="1">
        <v>1</v>
      </c>
      <c r="R36" s="1">
        <v>1</v>
      </c>
      <c r="S36" s="1">
        <v>1</v>
      </c>
      <c r="T36" s="1" t="s">
        <v>437</v>
      </c>
      <c r="U36" s="1"/>
      <c r="V36" s="1"/>
      <c r="W36" s="1"/>
      <c r="X36" s="1"/>
      <c r="Y36" s="98">
        <v>0</v>
      </c>
      <c r="Z36" s="98">
        <v>84</v>
      </c>
      <c r="AA36" s="98">
        <v>84</v>
      </c>
      <c r="AB36" s="1"/>
      <c r="AC36" s="1"/>
      <c r="AD36" s="12">
        <v>60</v>
      </c>
      <c r="AE36" s="1" t="s">
        <v>434</v>
      </c>
      <c r="AF36" s="1">
        <v>3.5</v>
      </c>
      <c r="AG36" s="1">
        <v>0.35</v>
      </c>
      <c r="AH36" s="172">
        <v>3</v>
      </c>
      <c r="AI36" s="172">
        <v>0.5</v>
      </c>
      <c r="AJ36" s="172">
        <v>2</v>
      </c>
      <c r="AK36" s="12">
        <v>0.35</v>
      </c>
      <c r="AL36" s="98">
        <v>0</v>
      </c>
    </row>
    <row r="37" spans="1:38" ht="14.5" x14ac:dyDescent="0.35">
      <c r="A37" s="175" t="s">
        <v>34</v>
      </c>
      <c r="B37" s="1">
        <v>3</v>
      </c>
      <c r="C37" s="1" t="s">
        <v>418</v>
      </c>
      <c r="D37" s="13">
        <v>39644</v>
      </c>
      <c r="E37" s="174">
        <f t="shared" si="0"/>
        <v>1946</v>
      </c>
      <c r="F37" s="133">
        <f t="shared" si="4"/>
        <v>1946</v>
      </c>
      <c r="G37" s="13">
        <v>40820</v>
      </c>
      <c r="H37" s="13">
        <f t="shared" ref="H37:H43" si="13">G36</f>
        <v>40347</v>
      </c>
      <c r="I37" s="13">
        <v>41590</v>
      </c>
      <c r="J37" s="13">
        <v>41590</v>
      </c>
      <c r="K37" s="1">
        <f t="shared" si="1"/>
        <v>1176</v>
      </c>
      <c r="L37" s="1">
        <f t="shared" si="2"/>
        <v>473</v>
      </c>
      <c r="M37" s="1">
        <f t="shared" si="3"/>
        <v>770</v>
      </c>
      <c r="N37" s="98" t="s">
        <v>417</v>
      </c>
      <c r="O37" s="98">
        <v>5.22</v>
      </c>
      <c r="P37" s="1">
        <v>1</v>
      </c>
      <c r="Q37" s="1">
        <v>1</v>
      </c>
      <c r="R37" s="1">
        <v>1</v>
      </c>
      <c r="S37" s="1">
        <v>1</v>
      </c>
      <c r="T37" s="1" t="s">
        <v>437</v>
      </c>
      <c r="U37" s="1"/>
      <c r="V37" s="1"/>
      <c r="W37" s="1"/>
      <c r="X37" s="1"/>
      <c r="Y37" s="98">
        <v>64</v>
      </c>
      <c r="Z37" s="98">
        <v>94</v>
      </c>
      <c r="AA37" s="98">
        <v>94</v>
      </c>
      <c r="AB37" s="1"/>
      <c r="AC37" s="1"/>
      <c r="AD37" s="12">
        <v>60</v>
      </c>
      <c r="AE37" s="1" t="s">
        <v>434</v>
      </c>
      <c r="AF37" s="1">
        <v>3.5</v>
      </c>
      <c r="AG37" s="1">
        <v>0.35</v>
      </c>
      <c r="AH37" s="172">
        <v>3</v>
      </c>
      <c r="AI37" s="172">
        <v>0.5</v>
      </c>
      <c r="AJ37" s="172">
        <v>2.5</v>
      </c>
      <c r="AK37" s="12">
        <v>0.35</v>
      </c>
      <c r="AL37" s="98">
        <v>0</v>
      </c>
    </row>
    <row r="38" spans="1:38" ht="14.5" x14ac:dyDescent="0.35">
      <c r="A38" s="175" t="s">
        <v>34</v>
      </c>
      <c r="B38" s="1">
        <v>3</v>
      </c>
      <c r="C38" s="1" t="s">
        <v>418</v>
      </c>
      <c r="D38" s="13">
        <v>39644</v>
      </c>
      <c r="E38" s="174">
        <f t="shared" si="0"/>
        <v>1946</v>
      </c>
      <c r="F38" s="133">
        <f t="shared" si="4"/>
        <v>1946</v>
      </c>
      <c r="G38" s="13">
        <v>41016</v>
      </c>
      <c r="H38" s="13">
        <f t="shared" si="13"/>
        <v>40820</v>
      </c>
      <c r="I38" s="13">
        <v>41590</v>
      </c>
      <c r="J38" s="13">
        <v>41590</v>
      </c>
      <c r="K38" s="1">
        <f t="shared" si="1"/>
        <v>1372</v>
      </c>
      <c r="L38" s="1">
        <f t="shared" si="2"/>
        <v>196</v>
      </c>
      <c r="M38" s="1">
        <f t="shared" si="3"/>
        <v>574</v>
      </c>
      <c r="N38" s="98" t="s">
        <v>417</v>
      </c>
      <c r="O38" s="98">
        <v>5.17</v>
      </c>
      <c r="P38" s="1">
        <v>1</v>
      </c>
      <c r="Q38" s="1">
        <v>1</v>
      </c>
      <c r="R38" s="1">
        <v>1</v>
      </c>
      <c r="S38" s="1">
        <v>1</v>
      </c>
      <c r="T38" s="1" t="s">
        <v>437</v>
      </c>
      <c r="U38" s="1"/>
      <c r="V38" s="1"/>
      <c r="W38" s="1"/>
      <c r="X38" s="1"/>
      <c r="Y38" s="98">
        <v>0</v>
      </c>
      <c r="Z38" s="98">
        <v>91</v>
      </c>
      <c r="AA38" s="98">
        <v>91</v>
      </c>
      <c r="AB38" s="1"/>
      <c r="AC38" s="1"/>
      <c r="AD38" s="12">
        <v>60</v>
      </c>
      <c r="AE38" s="1" t="s">
        <v>434</v>
      </c>
      <c r="AF38" s="1">
        <v>3.5</v>
      </c>
      <c r="AG38" s="1">
        <v>0.35</v>
      </c>
      <c r="AH38" s="172">
        <v>3</v>
      </c>
      <c r="AI38" s="172">
        <v>0.5</v>
      </c>
      <c r="AJ38" s="172">
        <v>2.5</v>
      </c>
      <c r="AK38" s="12">
        <v>0.35</v>
      </c>
      <c r="AL38" s="98">
        <v>0</v>
      </c>
    </row>
    <row r="39" spans="1:38" ht="14.5" x14ac:dyDescent="0.35">
      <c r="A39" s="175" t="s">
        <v>34</v>
      </c>
      <c r="B39" s="1">
        <v>3</v>
      </c>
      <c r="C39" s="1" t="s">
        <v>418</v>
      </c>
      <c r="D39" s="13">
        <v>39644</v>
      </c>
      <c r="E39" s="174">
        <f t="shared" si="0"/>
        <v>1946</v>
      </c>
      <c r="F39" s="133">
        <f t="shared" si="4"/>
        <v>1946</v>
      </c>
      <c r="G39" s="13">
        <v>41128</v>
      </c>
      <c r="H39" s="13">
        <f t="shared" si="13"/>
        <v>41016</v>
      </c>
      <c r="I39" s="13">
        <v>41590</v>
      </c>
      <c r="J39" s="13">
        <v>41590</v>
      </c>
      <c r="K39" s="1">
        <f t="shared" si="1"/>
        <v>1484</v>
      </c>
      <c r="L39" s="1">
        <f t="shared" si="2"/>
        <v>112</v>
      </c>
      <c r="M39" s="1">
        <f t="shared" si="3"/>
        <v>462</v>
      </c>
      <c r="N39" s="98" t="s">
        <v>417</v>
      </c>
      <c r="O39" s="98">
        <v>5.15</v>
      </c>
      <c r="P39" s="1">
        <v>0</v>
      </c>
      <c r="Q39" s="1">
        <v>1</v>
      </c>
      <c r="R39" s="1">
        <v>1</v>
      </c>
      <c r="S39" s="1">
        <v>1</v>
      </c>
      <c r="T39" s="1" t="s">
        <v>438</v>
      </c>
      <c r="U39" s="1"/>
      <c r="V39" s="1"/>
      <c r="W39" s="1"/>
      <c r="X39" s="1"/>
      <c r="Y39" s="98">
        <v>0</v>
      </c>
      <c r="Z39" s="98">
        <v>91</v>
      </c>
      <c r="AA39" s="98">
        <v>91</v>
      </c>
      <c r="AB39" s="1"/>
      <c r="AC39" s="1"/>
      <c r="AD39" s="12">
        <v>60</v>
      </c>
      <c r="AE39" s="1" t="s">
        <v>434</v>
      </c>
      <c r="AF39" s="1">
        <v>3.5</v>
      </c>
      <c r="AG39" s="1">
        <v>0.35</v>
      </c>
      <c r="AH39" s="172">
        <v>3</v>
      </c>
      <c r="AI39" s="172">
        <v>0.5</v>
      </c>
      <c r="AJ39" s="172">
        <v>2.5</v>
      </c>
      <c r="AK39" s="12">
        <v>0.35</v>
      </c>
      <c r="AL39" s="98">
        <v>0</v>
      </c>
    </row>
    <row r="40" spans="1:38" ht="14.5" x14ac:dyDescent="0.35">
      <c r="A40" s="175" t="s">
        <v>34</v>
      </c>
      <c r="B40" s="1">
        <v>3</v>
      </c>
      <c r="C40" s="1" t="s">
        <v>418</v>
      </c>
      <c r="D40" s="13">
        <v>39644</v>
      </c>
      <c r="E40" s="174">
        <f t="shared" si="0"/>
        <v>1946</v>
      </c>
      <c r="F40" s="133">
        <f t="shared" si="4"/>
        <v>1946</v>
      </c>
      <c r="G40" s="13">
        <v>41331</v>
      </c>
      <c r="H40" s="13">
        <f t="shared" si="13"/>
        <v>41128</v>
      </c>
      <c r="I40" s="13">
        <v>41590</v>
      </c>
      <c r="J40" s="13">
        <v>41590</v>
      </c>
      <c r="K40" s="1">
        <f t="shared" si="1"/>
        <v>1687</v>
      </c>
      <c r="L40" s="1">
        <f t="shared" si="2"/>
        <v>203</v>
      </c>
      <c r="M40" s="1">
        <f t="shared" si="3"/>
        <v>259</v>
      </c>
      <c r="N40" s="98" t="s">
        <v>417</v>
      </c>
      <c r="O40" s="98">
        <v>5.13</v>
      </c>
      <c r="P40" s="1">
        <v>0</v>
      </c>
      <c r="Q40" s="1">
        <v>0</v>
      </c>
      <c r="R40" s="1">
        <v>1</v>
      </c>
      <c r="S40" s="1">
        <v>1</v>
      </c>
      <c r="T40" s="1" t="s">
        <v>439</v>
      </c>
      <c r="U40" s="1"/>
      <c r="V40" s="1"/>
      <c r="W40" s="1"/>
      <c r="X40" s="1"/>
      <c r="Y40" s="98">
        <v>0</v>
      </c>
      <c r="Z40" s="98">
        <v>96</v>
      </c>
      <c r="AA40" s="98">
        <v>96</v>
      </c>
      <c r="AB40" s="1"/>
      <c r="AC40" s="1"/>
      <c r="AD40" s="12">
        <v>60</v>
      </c>
      <c r="AE40" s="1" t="s">
        <v>434</v>
      </c>
      <c r="AF40" s="1">
        <v>3.5</v>
      </c>
      <c r="AG40" s="1">
        <v>0.35</v>
      </c>
      <c r="AH40" s="172">
        <v>3</v>
      </c>
      <c r="AI40" s="172">
        <v>0.5</v>
      </c>
      <c r="AJ40" s="172">
        <v>2.5</v>
      </c>
      <c r="AK40" s="12">
        <v>0.35</v>
      </c>
      <c r="AL40" s="98">
        <v>0</v>
      </c>
    </row>
    <row r="41" spans="1:38" ht="14.5" x14ac:dyDescent="0.35">
      <c r="A41" s="175" t="s">
        <v>34</v>
      </c>
      <c r="B41" s="1">
        <v>3</v>
      </c>
      <c r="C41" s="1" t="s">
        <v>418</v>
      </c>
      <c r="D41" s="13">
        <v>39644</v>
      </c>
      <c r="E41" s="174">
        <f t="shared" si="0"/>
        <v>1946</v>
      </c>
      <c r="F41" s="133">
        <f t="shared" si="4"/>
        <v>1946</v>
      </c>
      <c r="G41" s="13">
        <v>41422</v>
      </c>
      <c r="H41" s="13">
        <f t="shared" si="13"/>
        <v>41331</v>
      </c>
      <c r="I41" s="13">
        <v>41590</v>
      </c>
      <c r="J41" s="13">
        <v>41590</v>
      </c>
      <c r="K41" s="1">
        <f t="shared" si="1"/>
        <v>1778</v>
      </c>
      <c r="L41" s="1">
        <f t="shared" si="2"/>
        <v>91</v>
      </c>
      <c r="M41" s="1">
        <f t="shared" si="3"/>
        <v>168</v>
      </c>
      <c r="N41" s="98" t="s">
        <v>417</v>
      </c>
      <c r="O41" s="98">
        <v>5.08</v>
      </c>
      <c r="P41" s="1">
        <v>0</v>
      </c>
      <c r="Q41" s="1">
        <v>0</v>
      </c>
      <c r="R41" s="1">
        <v>0</v>
      </c>
      <c r="S41" s="1">
        <v>1</v>
      </c>
      <c r="T41" s="1" t="s">
        <v>440</v>
      </c>
      <c r="U41" s="1"/>
      <c r="V41" s="1"/>
      <c r="W41" s="1"/>
      <c r="X41" s="1"/>
      <c r="Y41" s="98">
        <v>0</v>
      </c>
      <c r="Z41" s="98">
        <v>97</v>
      </c>
      <c r="AA41" s="98">
        <v>97</v>
      </c>
      <c r="AB41" s="1"/>
      <c r="AC41" s="1"/>
      <c r="AD41" s="12">
        <v>60</v>
      </c>
      <c r="AE41" s="1" t="s">
        <v>434</v>
      </c>
      <c r="AF41" s="1">
        <v>3.5</v>
      </c>
      <c r="AG41" s="1">
        <v>0.35</v>
      </c>
      <c r="AH41" s="172">
        <v>3</v>
      </c>
      <c r="AI41" s="172">
        <v>0.5</v>
      </c>
      <c r="AJ41" s="172">
        <v>2</v>
      </c>
      <c r="AK41" s="12">
        <v>0.35</v>
      </c>
      <c r="AL41" s="98">
        <v>0</v>
      </c>
    </row>
    <row r="42" spans="1:38" ht="14.5" x14ac:dyDescent="0.35">
      <c r="A42" s="175" t="s">
        <v>34</v>
      </c>
      <c r="B42" s="1">
        <v>3</v>
      </c>
      <c r="C42" s="1" t="s">
        <v>418</v>
      </c>
      <c r="D42" s="13">
        <v>39644</v>
      </c>
      <c r="E42" s="174">
        <f t="shared" si="0"/>
        <v>1946</v>
      </c>
      <c r="F42" s="133">
        <f t="shared" si="4"/>
        <v>1946</v>
      </c>
      <c r="G42" s="13">
        <v>41492</v>
      </c>
      <c r="H42" s="13">
        <f t="shared" si="13"/>
        <v>41422</v>
      </c>
      <c r="I42" s="13">
        <v>41590</v>
      </c>
      <c r="J42" s="13">
        <v>41590</v>
      </c>
      <c r="K42" s="1">
        <f t="shared" si="1"/>
        <v>1848</v>
      </c>
      <c r="L42" s="1">
        <f t="shared" si="2"/>
        <v>70</v>
      </c>
      <c r="M42" s="1">
        <f t="shared" si="3"/>
        <v>98</v>
      </c>
      <c r="N42" s="98" t="s">
        <v>417</v>
      </c>
      <c r="O42" s="98">
        <v>5.03</v>
      </c>
      <c r="P42" s="1">
        <v>0</v>
      </c>
      <c r="Q42" s="1">
        <v>0</v>
      </c>
      <c r="R42" s="1">
        <v>0</v>
      </c>
      <c r="S42" s="1">
        <v>1</v>
      </c>
      <c r="T42" s="1" t="s">
        <v>440</v>
      </c>
      <c r="U42" s="1"/>
      <c r="V42" s="1"/>
      <c r="W42" s="1"/>
      <c r="X42" s="1"/>
      <c r="Y42" s="98">
        <v>0</v>
      </c>
      <c r="Z42" s="98">
        <v>97</v>
      </c>
      <c r="AA42" s="98">
        <v>97</v>
      </c>
      <c r="AB42" s="1"/>
      <c r="AC42" s="1"/>
      <c r="AD42" s="12">
        <v>60</v>
      </c>
      <c r="AE42" s="1" t="s">
        <v>434</v>
      </c>
      <c r="AF42" s="1">
        <v>3.5</v>
      </c>
      <c r="AG42" s="1">
        <v>0.35</v>
      </c>
      <c r="AH42" s="172">
        <v>3</v>
      </c>
      <c r="AI42" s="172">
        <v>0.5</v>
      </c>
      <c r="AJ42" s="172">
        <v>2</v>
      </c>
      <c r="AK42" s="12">
        <v>0.35</v>
      </c>
      <c r="AL42" s="98">
        <v>0</v>
      </c>
    </row>
    <row r="43" spans="1:38" ht="14.5" x14ac:dyDescent="0.35">
      <c r="A43" s="175" t="s">
        <v>34</v>
      </c>
      <c r="B43" s="1">
        <v>3</v>
      </c>
      <c r="C43" s="1" t="s">
        <v>418</v>
      </c>
      <c r="D43" s="13">
        <v>39644</v>
      </c>
      <c r="E43" s="174">
        <f t="shared" si="0"/>
        <v>1946</v>
      </c>
      <c r="F43" s="133">
        <f t="shared" si="4"/>
        <v>1946</v>
      </c>
      <c r="G43" s="13">
        <v>41590</v>
      </c>
      <c r="H43" s="13">
        <f t="shared" si="13"/>
        <v>41492</v>
      </c>
      <c r="I43" s="13">
        <v>41590</v>
      </c>
      <c r="J43" s="13">
        <v>41590</v>
      </c>
      <c r="K43" s="1">
        <f t="shared" si="1"/>
        <v>1946</v>
      </c>
      <c r="L43" s="1">
        <f t="shared" si="2"/>
        <v>98</v>
      </c>
      <c r="M43" s="1">
        <f t="shared" si="3"/>
        <v>0</v>
      </c>
      <c r="N43" s="98" t="s">
        <v>417</v>
      </c>
      <c r="O43" s="98">
        <v>4.8600000000000003</v>
      </c>
      <c r="P43" s="19"/>
      <c r="Q43" s="19"/>
      <c r="R43" s="19"/>
      <c r="S43" s="19"/>
      <c r="T43" s="1"/>
      <c r="U43" s="1"/>
      <c r="V43" s="1"/>
      <c r="W43" s="1"/>
      <c r="X43" s="1"/>
      <c r="Y43" s="98">
        <v>0</v>
      </c>
      <c r="Z43" s="98">
        <v>98</v>
      </c>
      <c r="AA43" s="98">
        <v>98</v>
      </c>
      <c r="AB43" s="1"/>
      <c r="AC43" s="1"/>
      <c r="AD43" s="12">
        <v>60</v>
      </c>
      <c r="AE43" s="1" t="s">
        <v>434</v>
      </c>
      <c r="AF43" s="1">
        <v>3.5</v>
      </c>
      <c r="AG43" s="1">
        <v>0.35</v>
      </c>
      <c r="AH43" s="172">
        <v>3</v>
      </c>
      <c r="AI43" s="172">
        <v>0.5</v>
      </c>
      <c r="AJ43" s="172">
        <v>2</v>
      </c>
      <c r="AK43" s="12">
        <v>0.35</v>
      </c>
      <c r="AL43" s="98">
        <v>0</v>
      </c>
    </row>
    <row r="44" spans="1:38" x14ac:dyDescent="0.25">
      <c r="A44" s="176" t="s">
        <v>36</v>
      </c>
      <c r="B44" s="1">
        <v>3</v>
      </c>
      <c r="C44" s="1" t="s">
        <v>418</v>
      </c>
      <c r="D44" s="13">
        <v>39616</v>
      </c>
      <c r="E44" s="174">
        <f t="shared" si="0"/>
        <v>1812</v>
      </c>
      <c r="F44" s="133">
        <f t="shared" si="4"/>
        <v>1812</v>
      </c>
      <c r="G44" s="13">
        <v>40190</v>
      </c>
      <c r="H44" s="13">
        <v>39616</v>
      </c>
      <c r="I44" s="13">
        <v>41428</v>
      </c>
      <c r="J44" s="13">
        <v>41428</v>
      </c>
      <c r="K44" s="1">
        <f t="shared" si="1"/>
        <v>574</v>
      </c>
      <c r="L44" s="1">
        <f t="shared" si="2"/>
        <v>574</v>
      </c>
      <c r="M44" s="1">
        <f t="shared" si="3"/>
        <v>1238</v>
      </c>
      <c r="N44" s="98" t="s">
        <v>417</v>
      </c>
      <c r="O44" s="1">
        <v>6.36</v>
      </c>
      <c r="P44" s="1">
        <v>1</v>
      </c>
      <c r="Q44" s="1">
        <v>1</v>
      </c>
      <c r="R44" s="1">
        <v>1</v>
      </c>
      <c r="S44" s="1">
        <v>1</v>
      </c>
      <c r="T44" s="1" t="s">
        <v>437</v>
      </c>
      <c r="U44" s="1"/>
      <c r="V44" s="1"/>
      <c r="W44" s="1"/>
      <c r="X44" s="1"/>
      <c r="Y44" s="98">
        <v>7</v>
      </c>
      <c r="Z44" s="98">
        <v>97</v>
      </c>
      <c r="AA44" s="98">
        <v>97</v>
      </c>
      <c r="AB44" s="1"/>
      <c r="AC44" s="1"/>
      <c r="AD44" s="12">
        <v>60</v>
      </c>
      <c r="AE44" s="1" t="s">
        <v>434</v>
      </c>
      <c r="AF44" s="1">
        <v>2.5</v>
      </c>
      <c r="AG44" s="1">
        <v>0.35</v>
      </c>
      <c r="AH44" s="172">
        <v>3.5</v>
      </c>
      <c r="AI44" s="172">
        <v>0.35</v>
      </c>
      <c r="AJ44" s="172">
        <v>7</v>
      </c>
      <c r="AK44" s="172">
        <v>0.5</v>
      </c>
      <c r="AL44" s="98">
        <v>0</v>
      </c>
    </row>
    <row r="45" spans="1:38" x14ac:dyDescent="0.25">
      <c r="A45" s="176" t="s">
        <v>36</v>
      </c>
      <c r="B45" s="1">
        <v>3</v>
      </c>
      <c r="C45" s="1" t="s">
        <v>418</v>
      </c>
      <c r="D45" s="13">
        <v>39616</v>
      </c>
      <c r="E45" s="174">
        <f t="shared" si="0"/>
        <v>1812</v>
      </c>
      <c r="F45" s="133">
        <f t="shared" si="4"/>
        <v>1812</v>
      </c>
      <c r="G45" s="13">
        <v>40344</v>
      </c>
      <c r="H45" s="13">
        <f>G44</f>
        <v>40190</v>
      </c>
      <c r="I45" s="13">
        <v>41428</v>
      </c>
      <c r="J45" s="13">
        <v>41428</v>
      </c>
      <c r="K45" s="1">
        <f t="shared" si="1"/>
        <v>728</v>
      </c>
      <c r="L45" s="1">
        <f t="shared" si="2"/>
        <v>154</v>
      </c>
      <c r="M45" s="1">
        <f t="shared" si="3"/>
        <v>1084</v>
      </c>
      <c r="N45" s="98" t="s">
        <v>417</v>
      </c>
      <c r="O45" s="1">
        <v>6.23</v>
      </c>
      <c r="P45" s="1">
        <v>1</v>
      </c>
      <c r="Q45" s="1">
        <v>1</v>
      </c>
      <c r="R45" s="1">
        <v>1</v>
      </c>
      <c r="S45" s="1">
        <v>1</v>
      </c>
      <c r="T45" s="1" t="s">
        <v>437</v>
      </c>
      <c r="U45" s="1"/>
      <c r="V45" s="1"/>
      <c r="W45" s="1"/>
      <c r="X45" s="1"/>
      <c r="Y45" s="98">
        <v>1</v>
      </c>
      <c r="Z45" s="98">
        <v>99</v>
      </c>
      <c r="AA45" s="98">
        <v>99</v>
      </c>
      <c r="AB45" s="1"/>
      <c r="AC45" s="1"/>
      <c r="AD45" s="12">
        <v>60</v>
      </c>
      <c r="AE45" s="1" t="s">
        <v>434</v>
      </c>
      <c r="AF45" s="1">
        <v>2.5</v>
      </c>
      <c r="AG45" s="1">
        <v>0.35</v>
      </c>
      <c r="AH45" s="172">
        <v>3.5</v>
      </c>
      <c r="AI45" s="172">
        <v>0.35</v>
      </c>
      <c r="AJ45" s="172">
        <v>7</v>
      </c>
      <c r="AK45" s="172">
        <v>0.5</v>
      </c>
      <c r="AL45" s="98">
        <v>0</v>
      </c>
    </row>
    <row r="46" spans="1:38" x14ac:dyDescent="0.25">
      <c r="A46" s="176" t="s">
        <v>36</v>
      </c>
      <c r="B46" s="1">
        <v>3</v>
      </c>
      <c r="C46" s="1" t="s">
        <v>418</v>
      </c>
      <c r="D46" s="13">
        <v>39616</v>
      </c>
      <c r="E46" s="174">
        <f t="shared" si="0"/>
        <v>1812</v>
      </c>
      <c r="F46" s="133">
        <f t="shared" si="4"/>
        <v>1812</v>
      </c>
      <c r="G46" s="13">
        <v>40744</v>
      </c>
      <c r="H46" s="13">
        <f t="shared" ref="H46:H51" si="14">G45</f>
        <v>40344</v>
      </c>
      <c r="I46" s="13">
        <v>41428</v>
      </c>
      <c r="J46" s="13">
        <v>41428</v>
      </c>
      <c r="K46" s="1">
        <f t="shared" si="1"/>
        <v>1128</v>
      </c>
      <c r="L46" s="1">
        <f t="shared" si="2"/>
        <v>400</v>
      </c>
      <c r="M46" s="1">
        <f t="shared" si="3"/>
        <v>684</v>
      </c>
      <c r="N46" s="98" t="s">
        <v>417</v>
      </c>
      <c r="O46" s="1">
        <v>5.43</v>
      </c>
      <c r="P46" s="1">
        <v>1</v>
      </c>
      <c r="Q46" s="1">
        <v>1</v>
      </c>
      <c r="R46" s="1">
        <v>1</v>
      </c>
      <c r="S46" s="1">
        <v>1</v>
      </c>
      <c r="T46" s="1" t="s">
        <v>437</v>
      </c>
      <c r="U46" s="1"/>
      <c r="V46" s="1"/>
      <c r="W46" s="1"/>
      <c r="X46" s="1"/>
      <c r="Y46" s="98">
        <v>3</v>
      </c>
      <c r="Z46" s="98">
        <v>97</v>
      </c>
      <c r="AA46" s="98">
        <v>97</v>
      </c>
      <c r="AB46" s="1"/>
      <c r="AC46" s="1"/>
      <c r="AD46" s="12">
        <v>60</v>
      </c>
      <c r="AE46" s="1" t="s">
        <v>434</v>
      </c>
      <c r="AF46" s="1">
        <v>2.5</v>
      </c>
      <c r="AG46" s="1">
        <v>0.35</v>
      </c>
      <c r="AH46" s="172">
        <v>3.5</v>
      </c>
      <c r="AI46" s="172">
        <v>0.35</v>
      </c>
      <c r="AJ46" s="172">
        <v>3.5</v>
      </c>
      <c r="AK46" s="172">
        <v>0.35</v>
      </c>
      <c r="AL46" s="98">
        <v>0</v>
      </c>
    </row>
    <row r="47" spans="1:38" x14ac:dyDescent="0.25">
      <c r="A47" s="176" t="s">
        <v>36</v>
      </c>
      <c r="B47" s="1">
        <v>3</v>
      </c>
      <c r="C47" s="1" t="s">
        <v>418</v>
      </c>
      <c r="D47" s="13">
        <v>39616</v>
      </c>
      <c r="E47" s="174">
        <f t="shared" si="0"/>
        <v>1812</v>
      </c>
      <c r="F47" s="133">
        <f t="shared" si="4"/>
        <v>1812</v>
      </c>
      <c r="G47" s="13">
        <v>40946</v>
      </c>
      <c r="H47" s="13">
        <f t="shared" si="14"/>
        <v>40744</v>
      </c>
      <c r="I47" s="13">
        <v>41428</v>
      </c>
      <c r="J47" s="13">
        <v>41428</v>
      </c>
      <c r="K47" s="1">
        <f t="shared" si="1"/>
        <v>1330</v>
      </c>
      <c r="L47" s="1">
        <f t="shared" si="2"/>
        <v>202</v>
      </c>
      <c r="M47" s="1">
        <f t="shared" si="3"/>
        <v>482</v>
      </c>
      <c r="N47" s="98" t="s">
        <v>417</v>
      </c>
      <c r="O47" s="1">
        <v>5.2</v>
      </c>
      <c r="P47" s="1">
        <v>0</v>
      </c>
      <c r="Q47" s="1">
        <v>1</v>
      </c>
      <c r="R47" s="1">
        <v>1</v>
      </c>
      <c r="S47" s="1">
        <v>1</v>
      </c>
      <c r="T47" s="1" t="s">
        <v>438</v>
      </c>
      <c r="U47" s="1"/>
      <c r="V47" s="1"/>
      <c r="W47" s="1"/>
      <c r="X47" s="1"/>
      <c r="Y47" s="98">
        <v>2</v>
      </c>
      <c r="Z47" s="98">
        <v>99</v>
      </c>
      <c r="AA47" s="98">
        <v>99</v>
      </c>
      <c r="AB47" s="1"/>
      <c r="AC47" s="1"/>
      <c r="AD47" s="12">
        <v>60</v>
      </c>
      <c r="AE47" s="1" t="s">
        <v>434</v>
      </c>
      <c r="AF47" s="1">
        <v>2.5</v>
      </c>
      <c r="AG47" s="1">
        <v>0.35</v>
      </c>
      <c r="AH47" s="172">
        <v>3.5</v>
      </c>
      <c r="AI47" s="172">
        <v>0.35</v>
      </c>
      <c r="AJ47" s="172">
        <v>7</v>
      </c>
      <c r="AK47" s="172">
        <v>0.5</v>
      </c>
      <c r="AL47" s="98">
        <v>0</v>
      </c>
    </row>
    <row r="48" spans="1:38" x14ac:dyDescent="0.25">
      <c r="A48" s="176" t="s">
        <v>36</v>
      </c>
      <c r="B48" s="1">
        <v>3</v>
      </c>
      <c r="C48" s="1" t="s">
        <v>418</v>
      </c>
      <c r="D48" s="13">
        <v>39616</v>
      </c>
      <c r="E48" s="174">
        <f t="shared" si="0"/>
        <v>1812</v>
      </c>
      <c r="F48" s="133">
        <f t="shared" si="4"/>
        <v>1812</v>
      </c>
      <c r="G48" s="13">
        <v>40974</v>
      </c>
      <c r="H48" s="13">
        <f t="shared" si="14"/>
        <v>40946</v>
      </c>
      <c r="I48" s="13">
        <v>41428</v>
      </c>
      <c r="J48" s="13">
        <v>41428</v>
      </c>
      <c r="K48" s="1">
        <f t="shared" si="1"/>
        <v>1358</v>
      </c>
      <c r="L48" s="1">
        <f t="shared" si="2"/>
        <v>28</v>
      </c>
      <c r="M48" s="1">
        <f t="shared" si="3"/>
        <v>454</v>
      </c>
      <c r="N48" s="98" t="s">
        <v>417</v>
      </c>
      <c r="O48" s="1">
        <v>5.19</v>
      </c>
      <c r="P48" s="1">
        <v>0</v>
      </c>
      <c r="Q48" s="1">
        <v>1</v>
      </c>
      <c r="R48" s="1">
        <v>1</v>
      </c>
      <c r="S48" s="1">
        <v>1</v>
      </c>
      <c r="T48" s="1" t="s">
        <v>438</v>
      </c>
      <c r="U48" s="1"/>
      <c r="V48" s="1"/>
      <c r="W48" s="1"/>
      <c r="X48" s="1"/>
      <c r="Y48" s="98">
        <v>1</v>
      </c>
      <c r="Z48" s="98">
        <v>99</v>
      </c>
      <c r="AA48" s="98">
        <v>99</v>
      </c>
      <c r="AB48" s="1"/>
      <c r="AC48" s="1"/>
      <c r="AD48" s="12">
        <v>60</v>
      </c>
      <c r="AE48" s="1" t="s">
        <v>434</v>
      </c>
      <c r="AF48" s="1">
        <v>2.5</v>
      </c>
      <c r="AG48" s="1">
        <v>0.35</v>
      </c>
      <c r="AH48" s="172">
        <v>3.5</v>
      </c>
      <c r="AI48" s="172">
        <v>0.35</v>
      </c>
      <c r="AJ48" s="172">
        <v>7</v>
      </c>
      <c r="AK48" s="172">
        <v>0.5</v>
      </c>
      <c r="AL48" s="98">
        <v>0</v>
      </c>
    </row>
    <row r="49" spans="1:38" x14ac:dyDescent="0.25">
      <c r="A49" s="176" t="s">
        <v>36</v>
      </c>
      <c r="B49" s="1">
        <v>3</v>
      </c>
      <c r="C49" s="1" t="s">
        <v>418</v>
      </c>
      <c r="D49" s="13">
        <v>39616</v>
      </c>
      <c r="E49" s="174">
        <f t="shared" si="0"/>
        <v>1812</v>
      </c>
      <c r="F49" s="133">
        <f t="shared" si="4"/>
        <v>1812</v>
      </c>
      <c r="G49" s="13">
        <v>41163</v>
      </c>
      <c r="H49" s="13">
        <f t="shared" si="14"/>
        <v>40974</v>
      </c>
      <c r="I49" s="13">
        <v>41428</v>
      </c>
      <c r="J49" s="13">
        <v>41428</v>
      </c>
      <c r="K49" s="1">
        <f t="shared" si="1"/>
        <v>1547</v>
      </c>
      <c r="L49" s="1">
        <f t="shared" si="2"/>
        <v>189</v>
      </c>
      <c r="M49" s="1">
        <f t="shared" si="3"/>
        <v>265</v>
      </c>
      <c r="N49" s="98" t="s">
        <v>417</v>
      </c>
      <c r="O49" s="1">
        <v>5.14</v>
      </c>
      <c r="P49" s="1">
        <v>0</v>
      </c>
      <c r="Q49" s="1">
        <v>0</v>
      </c>
      <c r="R49" s="1">
        <v>1</v>
      </c>
      <c r="S49" s="1">
        <v>1</v>
      </c>
      <c r="T49" s="1" t="s">
        <v>439</v>
      </c>
      <c r="U49" s="1"/>
      <c r="V49" s="1"/>
      <c r="W49" s="1"/>
      <c r="X49" s="1"/>
      <c r="Y49" s="98">
        <v>3</v>
      </c>
      <c r="Z49" s="98">
        <v>94</v>
      </c>
      <c r="AA49" s="98">
        <v>94</v>
      </c>
      <c r="AB49" s="1"/>
      <c r="AC49" s="1"/>
      <c r="AD49" s="12">
        <v>60</v>
      </c>
      <c r="AE49" s="1" t="s">
        <v>434</v>
      </c>
      <c r="AF49" s="1">
        <v>2.5</v>
      </c>
      <c r="AG49" s="1">
        <v>0.35</v>
      </c>
      <c r="AH49" s="172">
        <v>3.5</v>
      </c>
      <c r="AI49" s="172">
        <v>0.35</v>
      </c>
      <c r="AJ49" s="172">
        <v>7</v>
      </c>
      <c r="AK49" s="172">
        <v>0.5</v>
      </c>
      <c r="AL49" s="98">
        <v>0</v>
      </c>
    </row>
    <row r="50" spans="1:38" x14ac:dyDescent="0.25">
      <c r="A50" s="176" t="s">
        <v>36</v>
      </c>
      <c r="B50" s="1">
        <v>3</v>
      </c>
      <c r="C50" s="1" t="s">
        <v>418</v>
      </c>
      <c r="D50" s="13">
        <v>39616</v>
      </c>
      <c r="E50" s="174">
        <f t="shared" si="0"/>
        <v>1812</v>
      </c>
      <c r="F50" s="133">
        <f t="shared" si="4"/>
        <v>1812</v>
      </c>
      <c r="G50" s="13">
        <v>41366</v>
      </c>
      <c r="H50" s="13">
        <f t="shared" si="14"/>
        <v>41163</v>
      </c>
      <c r="I50" s="13">
        <v>41428</v>
      </c>
      <c r="J50" s="13">
        <v>41428</v>
      </c>
      <c r="K50" s="1">
        <f t="shared" si="1"/>
        <v>1750</v>
      </c>
      <c r="L50" s="1">
        <f t="shared" si="2"/>
        <v>203</v>
      </c>
      <c r="M50" s="1">
        <f t="shared" si="3"/>
        <v>62</v>
      </c>
      <c r="N50" s="98" t="s">
        <v>417</v>
      </c>
      <c r="O50" s="1">
        <v>5.01</v>
      </c>
      <c r="P50" s="1">
        <v>0</v>
      </c>
      <c r="Q50" s="1">
        <v>0</v>
      </c>
      <c r="R50" s="1">
        <v>0</v>
      </c>
      <c r="S50" s="1">
        <v>0</v>
      </c>
      <c r="T50" s="1" t="s">
        <v>441</v>
      </c>
      <c r="U50" s="1"/>
      <c r="V50" s="1"/>
      <c r="W50" s="1"/>
      <c r="X50" s="1"/>
      <c r="Y50" s="98">
        <v>4</v>
      </c>
      <c r="Z50" s="98">
        <v>98</v>
      </c>
      <c r="AA50" s="98">
        <v>98</v>
      </c>
      <c r="AB50" s="1"/>
      <c r="AC50" s="1"/>
      <c r="AD50" s="12">
        <v>60</v>
      </c>
      <c r="AE50" s="1" t="s">
        <v>434</v>
      </c>
      <c r="AF50" s="1">
        <v>2.5</v>
      </c>
      <c r="AG50" s="1">
        <v>0.35</v>
      </c>
      <c r="AH50" s="172">
        <v>3.5</v>
      </c>
      <c r="AI50" s="172">
        <v>0.35</v>
      </c>
      <c r="AJ50" s="172">
        <v>7</v>
      </c>
      <c r="AK50" s="172">
        <v>0.5</v>
      </c>
      <c r="AL50" s="98">
        <v>0</v>
      </c>
    </row>
    <row r="51" spans="1:38" x14ac:dyDescent="0.25">
      <c r="A51" s="176" t="s">
        <v>36</v>
      </c>
      <c r="B51" s="1">
        <v>3</v>
      </c>
      <c r="C51" s="1" t="s">
        <v>418</v>
      </c>
      <c r="D51" s="13">
        <v>39616</v>
      </c>
      <c r="E51" s="174">
        <f t="shared" si="0"/>
        <v>1812</v>
      </c>
      <c r="F51" s="133">
        <f t="shared" si="4"/>
        <v>1812</v>
      </c>
      <c r="G51" s="13">
        <v>41428</v>
      </c>
      <c r="H51" s="13">
        <f t="shared" si="14"/>
        <v>41366</v>
      </c>
      <c r="I51" s="13">
        <v>41428</v>
      </c>
      <c r="J51" s="13">
        <v>41428</v>
      </c>
      <c r="K51" s="1">
        <f t="shared" si="1"/>
        <v>1812</v>
      </c>
      <c r="L51" s="1">
        <f t="shared" si="2"/>
        <v>62</v>
      </c>
      <c r="M51" s="1">
        <f t="shared" si="3"/>
        <v>0</v>
      </c>
      <c r="N51" s="98" t="s">
        <v>434</v>
      </c>
      <c r="O51" s="1">
        <v>4.79</v>
      </c>
      <c r="P51" s="19"/>
      <c r="Q51" s="19"/>
      <c r="R51" s="19"/>
      <c r="S51" s="19"/>
      <c r="T51" s="1"/>
      <c r="U51" s="1">
        <v>0</v>
      </c>
      <c r="V51" s="1">
        <v>0</v>
      </c>
      <c r="W51" s="1">
        <v>0</v>
      </c>
      <c r="X51" s="1">
        <v>0</v>
      </c>
      <c r="Y51" s="98">
        <v>9</v>
      </c>
      <c r="Z51" s="98">
        <v>94</v>
      </c>
      <c r="AA51" s="98">
        <v>94</v>
      </c>
      <c r="AB51" s="1"/>
      <c r="AC51" s="1"/>
      <c r="AD51" s="12">
        <v>60</v>
      </c>
      <c r="AE51" s="1" t="s">
        <v>434</v>
      </c>
      <c r="AF51" s="1">
        <v>2.5</v>
      </c>
      <c r="AG51" s="1">
        <v>0.35</v>
      </c>
      <c r="AH51" s="172">
        <v>3.5</v>
      </c>
      <c r="AI51" s="172">
        <v>0.35</v>
      </c>
      <c r="AJ51" s="172">
        <v>7</v>
      </c>
      <c r="AK51" s="172">
        <v>0.5</v>
      </c>
      <c r="AL51" s="98">
        <v>0</v>
      </c>
    </row>
    <row r="52" spans="1:38" x14ac:dyDescent="0.25">
      <c r="A52" s="177" t="s">
        <v>38</v>
      </c>
      <c r="B52" s="1">
        <v>3</v>
      </c>
      <c r="C52" s="1" t="s">
        <v>418</v>
      </c>
      <c r="D52" s="13">
        <v>39770</v>
      </c>
      <c r="E52" s="174">
        <f t="shared" si="0"/>
        <v>1946</v>
      </c>
      <c r="F52" s="201"/>
      <c r="G52" s="13">
        <v>39980</v>
      </c>
      <c r="H52" s="13">
        <v>39770</v>
      </c>
      <c r="I52" s="13">
        <v>41716</v>
      </c>
      <c r="J52" s="13"/>
      <c r="K52" s="1">
        <f t="shared" si="1"/>
        <v>210</v>
      </c>
      <c r="L52" s="1">
        <f t="shared" si="2"/>
        <v>210</v>
      </c>
      <c r="M52" s="1">
        <f>I52-G52</f>
        <v>1736</v>
      </c>
      <c r="N52" s="98" t="s">
        <v>417</v>
      </c>
      <c r="O52" s="1">
        <v>6.43</v>
      </c>
      <c r="P52" s="1">
        <f t="shared" ref="P52:P60" si="15">IF(M52&gt;=540,1,"nulo")</f>
        <v>1</v>
      </c>
      <c r="Q52" s="1">
        <f t="shared" ref="Q52:Q61" si="16">IF(M52&gt;=360,1,"nulo")</f>
        <v>1</v>
      </c>
      <c r="R52" s="1">
        <f t="shared" ref="R52:R62" si="17">IF(M52&gt;=180,1,"nulo")</f>
        <v>1</v>
      </c>
      <c r="S52" s="1">
        <f t="shared" ref="S52:S63" si="18">IF(M52&gt;=90,1,"nulo")</f>
        <v>1</v>
      </c>
      <c r="T52" s="1" t="s">
        <v>437</v>
      </c>
      <c r="U52" s="1"/>
      <c r="V52" s="1"/>
      <c r="W52" s="1"/>
      <c r="X52" s="1"/>
      <c r="Y52" s="98">
        <v>0</v>
      </c>
      <c r="Z52" s="98">
        <v>99</v>
      </c>
      <c r="AA52" s="98">
        <v>99</v>
      </c>
      <c r="AB52" s="1"/>
      <c r="AC52" s="1"/>
      <c r="AD52" s="12">
        <v>60</v>
      </c>
      <c r="AE52" s="1" t="s">
        <v>434</v>
      </c>
      <c r="AF52" s="1">
        <v>3.5</v>
      </c>
      <c r="AG52" s="1">
        <v>0.35</v>
      </c>
      <c r="AH52" s="172">
        <v>3.5</v>
      </c>
      <c r="AI52" s="172">
        <v>0.35</v>
      </c>
      <c r="AJ52" s="172">
        <v>3.5</v>
      </c>
      <c r="AK52" s="172">
        <v>0.35</v>
      </c>
      <c r="AL52" s="98">
        <v>0</v>
      </c>
    </row>
    <row r="53" spans="1:38" x14ac:dyDescent="0.25">
      <c r="A53" s="177" t="s">
        <v>38</v>
      </c>
      <c r="B53" s="1">
        <v>3</v>
      </c>
      <c r="C53" s="1" t="s">
        <v>418</v>
      </c>
      <c r="D53" s="13">
        <v>39770</v>
      </c>
      <c r="E53" s="174">
        <f t="shared" si="0"/>
        <v>1946</v>
      </c>
      <c r="F53" s="201"/>
      <c r="G53" s="13">
        <v>40197</v>
      </c>
      <c r="H53" s="13">
        <f>G52</f>
        <v>39980</v>
      </c>
      <c r="I53" s="13">
        <v>41716</v>
      </c>
      <c r="J53" s="13"/>
      <c r="K53" s="1">
        <f t="shared" si="1"/>
        <v>427</v>
      </c>
      <c r="L53" s="1">
        <f t="shared" si="2"/>
        <v>217</v>
      </c>
      <c r="M53" s="1">
        <f t="shared" si="3"/>
        <v>1519</v>
      </c>
      <c r="N53" s="98" t="s">
        <v>417</v>
      </c>
      <c r="O53" s="1">
        <v>6.37</v>
      </c>
      <c r="P53" s="1">
        <f t="shared" si="15"/>
        <v>1</v>
      </c>
      <c r="Q53" s="1">
        <f t="shared" si="16"/>
        <v>1</v>
      </c>
      <c r="R53" s="1">
        <f t="shared" si="17"/>
        <v>1</v>
      </c>
      <c r="S53" s="1">
        <f t="shared" si="18"/>
        <v>1</v>
      </c>
      <c r="T53" s="1" t="s">
        <v>437</v>
      </c>
      <c r="U53" s="1"/>
      <c r="V53" s="1"/>
      <c r="W53" s="1"/>
      <c r="X53" s="1"/>
      <c r="Y53" s="98">
        <v>0</v>
      </c>
      <c r="Z53" s="98">
        <v>100</v>
      </c>
      <c r="AA53" s="98">
        <v>100</v>
      </c>
      <c r="AB53" s="1"/>
      <c r="AC53" s="1"/>
      <c r="AD53" s="12">
        <v>60</v>
      </c>
      <c r="AE53" s="1" t="s">
        <v>434</v>
      </c>
      <c r="AF53" s="1">
        <v>2</v>
      </c>
      <c r="AG53" s="98">
        <v>0.35</v>
      </c>
      <c r="AH53" s="172">
        <v>2.5</v>
      </c>
      <c r="AI53" s="172">
        <v>0.35</v>
      </c>
      <c r="AJ53" s="172">
        <v>3.5</v>
      </c>
      <c r="AK53" s="172">
        <v>0.35</v>
      </c>
      <c r="AL53" s="98">
        <v>0</v>
      </c>
    </row>
    <row r="54" spans="1:38" x14ac:dyDescent="0.25">
      <c r="A54" s="177" t="s">
        <v>38</v>
      </c>
      <c r="B54" s="1">
        <v>3</v>
      </c>
      <c r="C54" s="1" t="s">
        <v>418</v>
      </c>
      <c r="D54" s="13">
        <v>39770</v>
      </c>
      <c r="E54" s="174">
        <f t="shared" si="0"/>
        <v>1946</v>
      </c>
      <c r="F54" s="201"/>
      <c r="G54" s="13">
        <v>41590</v>
      </c>
      <c r="H54" s="13">
        <f t="shared" ref="H54:H55" si="19">G53</f>
        <v>40197</v>
      </c>
      <c r="I54" s="13">
        <v>41716</v>
      </c>
      <c r="J54" s="13"/>
      <c r="K54" s="1">
        <f t="shared" si="1"/>
        <v>1820</v>
      </c>
      <c r="L54" s="1">
        <f t="shared" si="2"/>
        <v>1393</v>
      </c>
      <c r="M54" s="1">
        <f t="shared" si="3"/>
        <v>126</v>
      </c>
      <c r="N54" s="98" t="s">
        <v>417</v>
      </c>
      <c r="O54" s="1">
        <v>5.09</v>
      </c>
      <c r="P54" s="1"/>
      <c r="Q54" s="1"/>
      <c r="R54" s="1"/>
      <c r="S54" s="1">
        <f t="shared" si="18"/>
        <v>1</v>
      </c>
      <c r="T54" s="1" t="s">
        <v>442</v>
      </c>
      <c r="U54" s="1"/>
      <c r="V54" s="1"/>
      <c r="W54" s="1"/>
      <c r="X54" s="1"/>
      <c r="Y54" s="98">
        <v>1</v>
      </c>
      <c r="Z54" s="98">
        <v>99</v>
      </c>
      <c r="AA54" s="98">
        <v>99</v>
      </c>
      <c r="AB54" s="1"/>
      <c r="AC54" s="1"/>
      <c r="AD54" s="12">
        <v>60</v>
      </c>
      <c r="AE54" s="1" t="s">
        <v>434</v>
      </c>
      <c r="AF54" s="1">
        <v>2</v>
      </c>
      <c r="AG54" s="98">
        <v>0.35</v>
      </c>
      <c r="AH54" s="172">
        <v>2.5</v>
      </c>
      <c r="AI54" s="172">
        <v>0.35</v>
      </c>
      <c r="AJ54" s="172">
        <v>3.5</v>
      </c>
      <c r="AK54" s="172">
        <v>0.35</v>
      </c>
      <c r="AL54" s="98">
        <v>0</v>
      </c>
    </row>
    <row r="55" spans="1:38" x14ac:dyDescent="0.25">
      <c r="A55" s="177" t="s">
        <v>38</v>
      </c>
      <c r="B55" s="1">
        <v>3</v>
      </c>
      <c r="C55" s="1" t="s">
        <v>418</v>
      </c>
      <c r="D55" s="13">
        <v>39770</v>
      </c>
      <c r="E55" s="174">
        <f t="shared" si="0"/>
        <v>1946</v>
      </c>
      <c r="F55" s="201"/>
      <c r="G55" s="13">
        <v>41716</v>
      </c>
      <c r="H55" s="13">
        <f t="shared" si="19"/>
        <v>41590</v>
      </c>
      <c r="I55" s="13">
        <v>41716</v>
      </c>
      <c r="J55" s="13"/>
      <c r="K55" s="1">
        <f t="shared" si="1"/>
        <v>1946</v>
      </c>
      <c r="L55" s="1">
        <f t="shared" si="2"/>
        <v>126</v>
      </c>
      <c r="M55" s="1">
        <f t="shared" si="3"/>
        <v>0</v>
      </c>
      <c r="N55" s="98" t="s">
        <v>417</v>
      </c>
      <c r="O55" s="1">
        <v>5.01</v>
      </c>
      <c r="P55" s="1"/>
      <c r="Q55" s="1"/>
      <c r="R55" s="1"/>
      <c r="S55" s="1"/>
      <c r="T55" s="1"/>
      <c r="U55" s="1"/>
      <c r="V55" s="1"/>
      <c r="W55" s="1"/>
      <c r="X55" s="1"/>
      <c r="Y55" s="98">
        <v>2</v>
      </c>
      <c r="Z55" s="98">
        <v>98</v>
      </c>
      <c r="AA55" s="98">
        <v>98</v>
      </c>
      <c r="AB55" s="1"/>
      <c r="AC55" s="1"/>
      <c r="AD55" s="12">
        <v>60</v>
      </c>
      <c r="AE55" s="1" t="s">
        <v>434</v>
      </c>
      <c r="AF55" s="1">
        <v>2</v>
      </c>
      <c r="AG55" s="98">
        <v>0.35</v>
      </c>
      <c r="AH55" s="172">
        <v>2</v>
      </c>
      <c r="AI55" s="172">
        <v>0.35</v>
      </c>
      <c r="AJ55" s="172">
        <v>2.5</v>
      </c>
      <c r="AK55" s="172">
        <v>0.35</v>
      </c>
      <c r="AL55" s="98">
        <v>0</v>
      </c>
    </row>
    <row r="56" spans="1:38" x14ac:dyDescent="0.25">
      <c r="A56" s="178" t="s">
        <v>39</v>
      </c>
      <c r="B56" s="1">
        <v>3</v>
      </c>
      <c r="C56" s="1" t="s">
        <v>418</v>
      </c>
      <c r="D56" s="13">
        <v>39763</v>
      </c>
      <c r="E56" s="174">
        <f t="shared" si="0"/>
        <v>1813</v>
      </c>
      <c r="F56" s="201"/>
      <c r="G56" s="13">
        <v>39982</v>
      </c>
      <c r="H56" s="13">
        <v>39763</v>
      </c>
      <c r="I56" s="13">
        <v>41576</v>
      </c>
      <c r="J56" s="13"/>
      <c r="K56" s="1">
        <f t="shared" si="1"/>
        <v>219</v>
      </c>
      <c r="L56" s="1">
        <f t="shared" si="2"/>
        <v>219</v>
      </c>
      <c r="M56" s="1">
        <f t="shared" si="3"/>
        <v>1594</v>
      </c>
      <c r="N56" s="98" t="s">
        <v>417</v>
      </c>
      <c r="O56" s="1">
        <v>6.44</v>
      </c>
      <c r="P56" s="1">
        <f t="shared" si="15"/>
        <v>1</v>
      </c>
      <c r="Q56" s="1">
        <f t="shared" si="16"/>
        <v>1</v>
      </c>
      <c r="R56" s="1">
        <f t="shared" si="17"/>
        <v>1</v>
      </c>
      <c r="S56" s="1">
        <f t="shared" si="18"/>
        <v>1</v>
      </c>
      <c r="T56" s="1" t="s">
        <v>437</v>
      </c>
      <c r="U56" s="1"/>
      <c r="V56" s="1"/>
      <c r="W56" s="1"/>
      <c r="X56" s="1"/>
      <c r="Y56" s="98">
        <v>27</v>
      </c>
      <c r="Z56" s="98">
        <v>94</v>
      </c>
      <c r="AA56" s="98">
        <v>94</v>
      </c>
      <c r="AB56" s="1"/>
      <c r="AC56" s="1"/>
      <c r="AD56" s="12">
        <v>60</v>
      </c>
      <c r="AE56" s="1" t="s">
        <v>434</v>
      </c>
      <c r="AF56" s="1">
        <v>3.5</v>
      </c>
      <c r="AG56" s="98">
        <v>0.35</v>
      </c>
      <c r="AH56" s="172">
        <v>3.5</v>
      </c>
      <c r="AI56" s="172">
        <v>0.35</v>
      </c>
      <c r="AJ56" s="172">
        <v>3.5</v>
      </c>
      <c r="AK56" s="172">
        <v>0.35</v>
      </c>
      <c r="AL56" s="98">
        <v>0</v>
      </c>
    </row>
    <row r="57" spans="1:38" x14ac:dyDescent="0.25">
      <c r="A57" s="178" t="s">
        <v>39</v>
      </c>
      <c r="B57" s="1">
        <v>3</v>
      </c>
      <c r="C57" s="1" t="s">
        <v>418</v>
      </c>
      <c r="D57" s="13">
        <v>39763</v>
      </c>
      <c r="E57" s="174">
        <f t="shared" si="0"/>
        <v>1813</v>
      </c>
      <c r="F57" s="201"/>
      <c r="G57" s="13">
        <v>40190</v>
      </c>
      <c r="H57" s="13">
        <f>G56</f>
        <v>39982</v>
      </c>
      <c r="I57" s="13">
        <v>41576</v>
      </c>
      <c r="J57" s="13"/>
      <c r="K57" s="1">
        <f t="shared" si="1"/>
        <v>427</v>
      </c>
      <c r="L57" s="1">
        <f t="shared" si="2"/>
        <v>208</v>
      </c>
      <c r="M57" s="1">
        <f t="shared" si="3"/>
        <v>1386</v>
      </c>
      <c r="N57" s="98" t="s">
        <v>417</v>
      </c>
      <c r="O57" s="1">
        <v>6.37</v>
      </c>
      <c r="P57" s="1">
        <f t="shared" si="15"/>
        <v>1</v>
      </c>
      <c r="Q57" s="1">
        <f t="shared" si="16"/>
        <v>1</v>
      </c>
      <c r="R57" s="1">
        <f t="shared" si="17"/>
        <v>1</v>
      </c>
      <c r="S57" s="1">
        <f t="shared" si="18"/>
        <v>1</v>
      </c>
      <c r="T57" s="1" t="s">
        <v>437</v>
      </c>
      <c r="U57" s="1"/>
      <c r="V57" s="1"/>
      <c r="W57" s="1"/>
      <c r="X57" s="1"/>
      <c r="Y57" s="98">
        <v>18</v>
      </c>
      <c r="Z57" s="98">
        <v>95</v>
      </c>
      <c r="AA57" s="98">
        <v>95</v>
      </c>
      <c r="AB57" s="1"/>
      <c r="AC57" s="1"/>
      <c r="AD57" s="12">
        <v>60</v>
      </c>
      <c r="AE57" s="1" t="s">
        <v>434</v>
      </c>
      <c r="AF57" s="1">
        <v>3.5</v>
      </c>
      <c r="AG57" s="98">
        <v>0.35</v>
      </c>
      <c r="AH57" s="172">
        <v>3.5</v>
      </c>
      <c r="AI57" s="172">
        <v>0.35</v>
      </c>
      <c r="AJ57" s="172">
        <v>3.5</v>
      </c>
      <c r="AK57" s="172">
        <v>0.35</v>
      </c>
      <c r="AL57" s="98">
        <v>300</v>
      </c>
    </row>
    <row r="58" spans="1:38" x14ac:dyDescent="0.25">
      <c r="A58" s="178" t="s">
        <v>39</v>
      </c>
      <c r="B58" s="1">
        <v>3</v>
      </c>
      <c r="C58" s="1" t="s">
        <v>418</v>
      </c>
      <c r="D58" s="13">
        <v>39763</v>
      </c>
      <c r="E58" s="174">
        <f t="shared" si="0"/>
        <v>1813</v>
      </c>
      <c r="F58" s="201"/>
      <c r="G58" s="13">
        <v>40344</v>
      </c>
      <c r="H58" s="13">
        <f t="shared" ref="H58:H65" si="20">G57</f>
        <v>40190</v>
      </c>
      <c r="I58" s="13">
        <v>41576</v>
      </c>
      <c r="J58" s="13"/>
      <c r="K58" s="1">
        <f t="shared" si="1"/>
        <v>581</v>
      </c>
      <c r="L58" s="1">
        <f t="shared" si="2"/>
        <v>154</v>
      </c>
      <c r="M58" s="1">
        <f t="shared" si="3"/>
        <v>1232</v>
      </c>
      <c r="N58" s="98" t="s">
        <v>417</v>
      </c>
      <c r="O58" s="1">
        <v>6.24</v>
      </c>
      <c r="P58" s="1">
        <f t="shared" si="15"/>
        <v>1</v>
      </c>
      <c r="Q58" s="1">
        <f t="shared" si="16"/>
        <v>1</v>
      </c>
      <c r="R58" s="1">
        <f t="shared" si="17"/>
        <v>1</v>
      </c>
      <c r="S58" s="1">
        <f t="shared" si="18"/>
        <v>1</v>
      </c>
      <c r="T58" s="1" t="s">
        <v>437</v>
      </c>
      <c r="U58" s="1"/>
      <c r="V58" s="1"/>
      <c r="W58" s="1"/>
      <c r="X58" s="1"/>
      <c r="Y58" s="98">
        <v>13</v>
      </c>
      <c r="Z58" s="98">
        <v>89</v>
      </c>
      <c r="AA58" s="98">
        <v>89</v>
      </c>
      <c r="AB58" s="1"/>
      <c r="AC58" s="1"/>
      <c r="AD58" s="12">
        <v>60</v>
      </c>
      <c r="AE58" s="1" t="s">
        <v>434</v>
      </c>
      <c r="AF58" s="1">
        <v>3.5</v>
      </c>
      <c r="AG58" s="98">
        <v>0.35</v>
      </c>
      <c r="AH58" s="172">
        <v>2.5</v>
      </c>
      <c r="AI58" s="172">
        <v>0.35</v>
      </c>
      <c r="AJ58" s="172">
        <v>4.5</v>
      </c>
      <c r="AK58" s="172">
        <v>1</v>
      </c>
      <c r="AL58" s="98">
        <v>800</v>
      </c>
    </row>
    <row r="59" spans="1:38" x14ac:dyDescent="0.25">
      <c r="A59" s="178" t="s">
        <v>39</v>
      </c>
      <c r="B59" s="1">
        <v>3</v>
      </c>
      <c r="C59" s="1" t="s">
        <v>418</v>
      </c>
      <c r="D59" s="13">
        <v>39763</v>
      </c>
      <c r="E59" s="174">
        <f t="shared" si="0"/>
        <v>1813</v>
      </c>
      <c r="F59" s="201"/>
      <c r="G59" s="13">
        <v>40820</v>
      </c>
      <c r="H59" s="13">
        <f t="shared" si="20"/>
        <v>40344</v>
      </c>
      <c r="I59" s="13">
        <v>41576</v>
      </c>
      <c r="J59" s="13"/>
      <c r="K59" s="1">
        <f t="shared" si="1"/>
        <v>1057</v>
      </c>
      <c r="L59" s="1">
        <f t="shared" si="2"/>
        <v>476</v>
      </c>
      <c r="M59" s="1">
        <f t="shared" si="3"/>
        <v>756</v>
      </c>
      <c r="N59" s="98" t="s">
        <v>417</v>
      </c>
      <c r="O59" s="1">
        <v>5.23</v>
      </c>
      <c r="P59" s="1">
        <f t="shared" si="15"/>
        <v>1</v>
      </c>
      <c r="Q59" s="1">
        <f t="shared" si="16"/>
        <v>1</v>
      </c>
      <c r="R59" s="1">
        <f t="shared" si="17"/>
        <v>1</v>
      </c>
      <c r="S59" s="1">
        <f t="shared" si="18"/>
        <v>1</v>
      </c>
      <c r="T59" s="1" t="s">
        <v>437</v>
      </c>
      <c r="U59" s="1"/>
      <c r="V59" s="1"/>
      <c r="W59" s="1"/>
      <c r="X59" s="1"/>
      <c r="Y59" s="98">
        <v>39</v>
      </c>
      <c r="Z59" s="98">
        <v>92</v>
      </c>
      <c r="AA59" s="98">
        <v>92</v>
      </c>
      <c r="AB59" s="1"/>
      <c r="AC59" s="1"/>
      <c r="AD59" s="12">
        <v>60</v>
      </c>
      <c r="AE59" s="1" t="s">
        <v>434</v>
      </c>
      <c r="AF59" s="1">
        <v>3.5</v>
      </c>
      <c r="AG59" s="98">
        <v>0.35</v>
      </c>
      <c r="AH59" s="172">
        <v>3</v>
      </c>
      <c r="AI59" s="172">
        <v>0.35</v>
      </c>
      <c r="AJ59" s="172">
        <v>4.5</v>
      </c>
      <c r="AK59" s="172">
        <v>1</v>
      </c>
      <c r="AL59" s="98">
        <v>0</v>
      </c>
    </row>
    <row r="60" spans="1:38" x14ac:dyDescent="0.25">
      <c r="A60" s="178" t="s">
        <v>39</v>
      </c>
      <c r="B60" s="1">
        <v>3</v>
      </c>
      <c r="C60" s="1" t="s">
        <v>418</v>
      </c>
      <c r="D60" s="13">
        <v>39763</v>
      </c>
      <c r="E60" s="174">
        <f t="shared" si="0"/>
        <v>1813</v>
      </c>
      <c r="F60" s="201"/>
      <c r="G60" s="13">
        <v>41009</v>
      </c>
      <c r="H60" s="13">
        <f t="shared" si="20"/>
        <v>40820</v>
      </c>
      <c r="I60" s="13">
        <v>41576</v>
      </c>
      <c r="J60" s="13"/>
      <c r="K60" s="1">
        <f t="shared" si="1"/>
        <v>1246</v>
      </c>
      <c r="L60" s="1">
        <f t="shared" si="2"/>
        <v>189</v>
      </c>
      <c r="M60" s="1">
        <f t="shared" si="3"/>
        <v>567</v>
      </c>
      <c r="N60" s="98" t="s">
        <v>417</v>
      </c>
      <c r="O60" s="1">
        <v>5.14</v>
      </c>
      <c r="P60" s="1">
        <f t="shared" si="15"/>
        <v>1</v>
      </c>
      <c r="Q60" s="1">
        <f t="shared" si="16"/>
        <v>1</v>
      </c>
      <c r="R60" s="1">
        <f t="shared" si="17"/>
        <v>1</v>
      </c>
      <c r="S60" s="1">
        <f t="shared" si="18"/>
        <v>1</v>
      </c>
      <c r="T60" s="1" t="s">
        <v>437</v>
      </c>
      <c r="U60" s="1"/>
      <c r="V60" s="1"/>
      <c r="W60" s="1"/>
      <c r="X60" s="1"/>
      <c r="Y60" s="98">
        <v>31</v>
      </c>
      <c r="Z60" s="98">
        <v>91</v>
      </c>
      <c r="AA60" s="98">
        <v>91</v>
      </c>
      <c r="AB60" s="1"/>
      <c r="AC60" s="1"/>
      <c r="AD60" s="12">
        <v>60</v>
      </c>
      <c r="AE60" s="1" t="s">
        <v>434</v>
      </c>
      <c r="AF60" s="1">
        <v>3.5</v>
      </c>
      <c r="AG60" s="98">
        <v>0.35</v>
      </c>
      <c r="AH60" s="172">
        <v>3</v>
      </c>
      <c r="AI60" s="172">
        <v>0.35</v>
      </c>
      <c r="AJ60" s="172">
        <v>4.5</v>
      </c>
      <c r="AK60" s="172">
        <v>1</v>
      </c>
      <c r="AL60" s="98">
        <v>0</v>
      </c>
    </row>
    <row r="61" spans="1:38" x14ac:dyDescent="0.25">
      <c r="A61" s="178" t="s">
        <v>39</v>
      </c>
      <c r="B61" s="1">
        <v>3</v>
      </c>
      <c r="C61" s="1" t="s">
        <v>418</v>
      </c>
      <c r="D61" s="13">
        <v>39763</v>
      </c>
      <c r="E61" s="174">
        <f t="shared" si="0"/>
        <v>1813</v>
      </c>
      <c r="F61" s="201"/>
      <c r="G61" s="13">
        <v>41114</v>
      </c>
      <c r="H61" s="13">
        <f t="shared" si="20"/>
        <v>41009</v>
      </c>
      <c r="I61" s="13">
        <v>41576</v>
      </c>
      <c r="J61" s="13"/>
      <c r="K61" s="1">
        <f t="shared" si="1"/>
        <v>1351</v>
      </c>
      <c r="L61" s="1">
        <f t="shared" si="2"/>
        <v>105</v>
      </c>
      <c r="M61" s="1">
        <f t="shared" si="3"/>
        <v>462</v>
      </c>
      <c r="N61" s="98" t="s">
        <v>417</v>
      </c>
      <c r="O61" s="1">
        <v>5.13</v>
      </c>
      <c r="P61" s="1"/>
      <c r="Q61" s="1">
        <f t="shared" si="16"/>
        <v>1</v>
      </c>
      <c r="R61" s="1">
        <f t="shared" si="17"/>
        <v>1</v>
      </c>
      <c r="S61" s="1">
        <f t="shared" si="18"/>
        <v>1</v>
      </c>
      <c r="T61" s="1" t="s">
        <v>442</v>
      </c>
      <c r="U61" s="1"/>
      <c r="V61" s="1"/>
      <c r="W61" s="1"/>
      <c r="X61" s="1"/>
      <c r="Y61" s="98">
        <v>27</v>
      </c>
      <c r="Z61" s="98">
        <v>93</v>
      </c>
      <c r="AA61" s="98">
        <v>93</v>
      </c>
      <c r="AB61" s="1"/>
      <c r="AC61" s="1"/>
      <c r="AD61" s="12">
        <v>60</v>
      </c>
      <c r="AE61" s="1" t="s">
        <v>434</v>
      </c>
      <c r="AF61" s="1">
        <v>3.5</v>
      </c>
      <c r="AG61" s="98">
        <v>0.35</v>
      </c>
      <c r="AH61" s="172">
        <v>3</v>
      </c>
      <c r="AI61" s="172">
        <v>0.35</v>
      </c>
      <c r="AJ61" s="172">
        <v>4.5</v>
      </c>
      <c r="AK61" s="172">
        <v>1</v>
      </c>
      <c r="AL61" s="98">
        <v>0</v>
      </c>
    </row>
    <row r="62" spans="1:38" x14ac:dyDescent="0.25">
      <c r="A62" s="178" t="s">
        <v>39</v>
      </c>
      <c r="B62" s="1">
        <v>3</v>
      </c>
      <c r="C62" s="1" t="s">
        <v>418</v>
      </c>
      <c r="D62" s="13">
        <v>39763</v>
      </c>
      <c r="E62" s="174">
        <f t="shared" si="0"/>
        <v>1813</v>
      </c>
      <c r="F62" s="201"/>
      <c r="G62" s="13">
        <v>41219</v>
      </c>
      <c r="H62" s="13">
        <f t="shared" si="20"/>
        <v>41114</v>
      </c>
      <c r="I62" s="13">
        <v>41576</v>
      </c>
      <c r="J62" s="13"/>
      <c r="K62" s="1">
        <f t="shared" si="1"/>
        <v>1456</v>
      </c>
      <c r="L62" s="1">
        <f t="shared" si="2"/>
        <v>105</v>
      </c>
      <c r="M62" s="1">
        <f t="shared" si="3"/>
        <v>357</v>
      </c>
      <c r="N62" s="98" t="s">
        <v>417</v>
      </c>
      <c r="O62" s="1">
        <v>5.1100000000000003</v>
      </c>
      <c r="P62" s="1"/>
      <c r="Q62" s="1"/>
      <c r="R62" s="1">
        <f t="shared" si="17"/>
        <v>1</v>
      </c>
      <c r="S62" s="1">
        <f t="shared" si="18"/>
        <v>1</v>
      </c>
      <c r="T62" s="1" t="s">
        <v>442</v>
      </c>
      <c r="U62" s="1"/>
      <c r="V62" s="1"/>
      <c r="W62" s="1"/>
      <c r="X62" s="1"/>
      <c r="Y62" s="98">
        <v>29</v>
      </c>
      <c r="Z62" s="98">
        <v>92</v>
      </c>
      <c r="AA62" s="98">
        <v>92</v>
      </c>
      <c r="AB62" s="1"/>
      <c r="AC62" s="1"/>
      <c r="AD62" s="12">
        <v>60</v>
      </c>
      <c r="AE62" s="1" t="s">
        <v>434</v>
      </c>
      <c r="AF62" s="1">
        <v>3.5</v>
      </c>
      <c r="AG62" s="98">
        <v>0.35</v>
      </c>
      <c r="AH62" s="172">
        <v>3</v>
      </c>
      <c r="AI62" s="172">
        <v>0.35</v>
      </c>
      <c r="AJ62" s="172">
        <v>4.5</v>
      </c>
      <c r="AK62" s="172">
        <v>1</v>
      </c>
      <c r="AL62" s="98">
        <v>0</v>
      </c>
    </row>
    <row r="63" spans="1:38" x14ac:dyDescent="0.25">
      <c r="A63" s="178" t="s">
        <v>39</v>
      </c>
      <c r="B63" s="1">
        <v>3</v>
      </c>
      <c r="C63" s="1" t="s">
        <v>418</v>
      </c>
      <c r="D63" s="13">
        <v>39763</v>
      </c>
      <c r="E63" s="174">
        <f t="shared" si="0"/>
        <v>1813</v>
      </c>
      <c r="F63" s="201"/>
      <c r="G63" s="13">
        <v>41401</v>
      </c>
      <c r="H63" s="13">
        <f t="shared" si="20"/>
        <v>41219</v>
      </c>
      <c r="I63" s="13">
        <v>41576</v>
      </c>
      <c r="J63" s="13"/>
      <c r="K63" s="1">
        <f t="shared" si="1"/>
        <v>1638</v>
      </c>
      <c r="L63" s="1">
        <f t="shared" si="2"/>
        <v>182</v>
      </c>
      <c r="M63" s="1">
        <f t="shared" si="3"/>
        <v>175</v>
      </c>
      <c r="N63" s="98" t="s">
        <v>417</v>
      </c>
      <c r="O63" s="1">
        <v>5.0599999999999996</v>
      </c>
      <c r="P63" s="1"/>
      <c r="Q63" s="1"/>
      <c r="R63" s="1"/>
      <c r="S63" s="1">
        <f t="shared" si="18"/>
        <v>1</v>
      </c>
      <c r="T63" s="1" t="s">
        <v>442</v>
      </c>
      <c r="U63" s="1"/>
      <c r="V63" s="1"/>
      <c r="W63" s="1"/>
      <c r="X63" s="1"/>
      <c r="Y63" s="98">
        <v>0</v>
      </c>
      <c r="Z63" s="98">
        <v>58</v>
      </c>
      <c r="AA63" s="98">
        <v>58</v>
      </c>
      <c r="AB63" s="1"/>
      <c r="AC63" s="1"/>
      <c r="AD63" s="12">
        <v>60</v>
      </c>
      <c r="AE63" s="1" t="s">
        <v>434</v>
      </c>
      <c r="AF63" s="1">
        <v>3.5</v>
      </c>
      <c r="AG63" s="98">
        <v>0.35</v>
      </c>
      <c r="AH63" s="172">
        <v>3</v>
      </c>
      <c r="AI63" s="172">
        <v>0.35</v>
      </c>
      <c r="AJ63" s="172">
        <v>4.5</v>
      </c>
      <c r="AK63" s="172">
        <v>1</v>
      </c>
      <c r="AL63" s="98">
        <v>0</v>
      </c>
    </row>
    <row r="64" spans="1:38" x14ac:dyDescent="0.25">
      <c r="A64" s="178" t="s">
        <v>39</v>
      </c>
      <c r="B64" s="1">
        <v>3</v>
      </c>
      <c r="C64" s="1" t="s">
        <v>418</v>
      </c>
      <c r="D64" s="13">
        <v>39763</v>
      </c>
      <c r="E64" s="174">
        <f t="shared" si="0"/>
        <v>1813</v>
      </c>
      <c r="F64" s="201"/>
      <c r="G64" s="13">
        <v>41499</v>
      </c>
      <c r="H64" s="13">
        <f t="shared" si="20"/>
        <v>41401</v>
      </c>
      <c r="I64" s="13">
        <v>41576</v>
      </c>
      <c r="J64" s="13"/>
      <c r="K64" s="1">
        <f t="shared" si="1"/>
        <v>1736</v>
      </c>
      <c r="L64" s="1">
        <f t="shared" si="2"/>
        <v>98</v>
      </c>
      <c r="M64" s="1">
        <f t="shared" si="3"/>
        <v>77</v>
      </c>
      <c r="N64" s="98" t="s">
        <v>417</v>
      </c>
      <c r="O64" s="1">
        <v>4.8899999999999997</v>
      </c>
      <c r="P64" s="1"/>
      <c r="Q64" s="1"/>
      <c r="R64" s="1"/>
      <c r="S64" s="1"/>
      <c r="T64" s="1" t="s">
        <v>442</v>
      </c>
      <c r="U64" s="1"/>
      <c r="V64" s="1"/>
      <c r="W64" s="1"/>
      <c r="X64" s="1"/>
      <c r="Y64" s="98">
        <v>0</v>
      </c>
      <c r="Z64" s="98">
        <v>70</v>
      </c>
      <c r="AA64" s="98">
        <v>70</v>
      </c>
      <c r="AB64" s="1"/>
      <c r="AC64" s="1"/>
      <c r="AD64" s="12">
        <v>60</v>
      </c>
      <c r="AE64" s="1" t="s">
        <v>434</v>
      </c>
      <c r="AF64" s="1">
        <v>0</v>
      </c>
      <c r="AG64" s="98">
        <v>0</v>
      </c>
      <c r="AH64" s="172">
        <v>2</v>
      </c>
      <c r="AI64" s="172">
        <v>0.35</v>
      </c>
      <c r="AJ64" s="172">
        <v>4.5</v>
      </c>
      <c r="AK64" s="172">
        <v>1</v>
      </c>
      <c r="AL64" s="98">
        <v>0</v>
      </c>
    </row>
    <row r="65" spans="1:38" x14ac:dyDescent="0.25">
      <c r="A65" s="178" t="s">
        <v>39</v>
      </c>
      <c r="B65" s="1">
        <v>3</v>
      </c>
      <c r="C65" s="1" t="s">
        <v>418</v>
      </c>
      <c r="D65" s="13">
        <v>39763</v>
      </c>
      <c r="E65" s="174">
        <f t="shared" si="0"/>
        <v>1813</v>
      </c>
      <c r="F65" s="201"/>
      <c r="G65" s="13">
        <v>41576</v>
      </c>
      <c r="H65" s="13">
        <f t="shared" si="20"/>
        <v>41499</v>
      </c>
      <c r="I65" s="13">
        <v>41576</v>
      </c>
      <c r="J65" s="13"/>
      <c r="K65" s="1">
        <f t="shared" si="1"/>
        <v>1813</v>
      </c>
      <c r="L65" s="1">
        <f t="shared" si="2"/>
        <v>77</v>
      </c>
      <c r="M65" s="1">
        <f t="shared" si="3"/>
        <v>0</v>
      </c>
      <c r="N65" s="98" t="s">
        <v>434</v>
      </c>
      <c r="O65" s="1">
        <v>4.6399999999999997</v>
      </c>
      <c r="P65" s="1"/>
      <c r="Q65" s="1"/>
      <c r="R65" s="1"/>
      <c r="S65" s="1"/>
      <c r="T65" s="1"/>
      <c r="U65" s="1">
        <v>0</v>
      </c>
      <c r="V65" s="1">
        <v>0</v>
      </c>
      <c r="W65" s="1">
        <v>0</v>
      </c>
      <c r="X65" s="1">
        <v>0</v>
      </c>
      <c r="Y65" s="98">
        <v>0</v>
      </c>
      <c r="Z65" s="98">
        <v>91</v>
      </c>
      <c r="AA65" s="98">
        <v>91</v>
      </c>
      <c r="AB65" s="1"/>
      <c r="AC65" s="1"/>
      <c r="AD65" s="12">
        <v>60</v>
      </c>
      <c r="AE65" s="1" t="s">
        <v>434</v>
      </c>
      <c r="AF65" s="1">
        <v>0</v>
      </c>
      <c r="AG65" s="98">
        <v>0</v>
      </c>
      <c r="AH65" s="172">
        <v>2</v>
      </c>
      <c r="AI65" s="172">
        <v>0.35</v>
      </c>
      <c r="AJ65" s="172">
        <v>4.5</v>
      </c>
      <c r="AK65" s="172">
        <v>1</v>
      </c>
      <c r="AL65" s="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7"/>
  <sheetViews>
    <sheetView topLeftCell="A19" workbookViewId="0">
      <selection activeCell="D75" sqref="D75"/>
    </sheetView>
  </sheetViews>
  <sheetFormatPr baseColWidth="10" defaultRowHeight="12.5" x14ac:dyDescent="0.25"/>
  <sheetData>
    <row r="1" spans="1:38" ht="52" x14ac:dyDescent="0.25">
      <c r="A1" s="84" t="s">
        <v>0</v>
      </c>
      <c r="B1" s="85" t="s">
        <v>3</v>
      </c>
      <c r="C1" s="85" t="s">
        <v>4</v>
      </c>
      <c r="D1" s="186" t="s">
        <v>6</v>
      </c>
      <c r="E1" s="86" t="s">
        <v>427</v>
      </c>
      <c r="F1" s="86" t="s">
        <v>428</v>
      </c>
      <c r="G1" s="171" t="s">
        <v>9</v>
      </c>
      <c r="H1" s="171" t="s">
        <v>416</v>
      </c>
      <c r="I1" s="171" t="s">
        <v>425</v>
      </c>
      <c r="J1" s="171" t="s">
        <v>424</v>
      </c>
      <c r="K1" s="33" t="s">
        <v>386</v>
      </c>
      <c r="L1" s="33" t="s">
        <v>426</v>
      </c>
      <c r="M1" s="33" t="s">
        <v>405</v>
      </c>
      <c r="N1" s="33" t="s">
        <v>377</v>
      </c>
      <c r="O1" s="33" t="s">
        <v>11</v>
      </c>
      <c r="P1" s="33" t="s">
        <v>401</v>
      </c>
      <c r="Q1" s="33" t="s">
        <v>402</v>
      </c>
      <c r="R1" s="33" t="s">
        <v>403</v>
      </c>
      <c r="S1" s="33" t="s">
        <v>404</v>
      </c>
      <c r="T1" s="33" t="s">
        <v>429</v>
      </c>
      <c r="U1" s="33" t="s">
        <v>430</v>
      </c>
      <c r="V1" s="33" t="s">
        <v>431</v>
      </c>
      <c r="W1" s="33" t="s">
        <v>432</v>
      </c>
      <c r="X1" s="33" t="s">
        <v>396</v>
      </c>
      <c r="Y1" s="33" t="s">
        <v>397</v>
      </c>
      <c r="Z1" s="33" t="s">
        <v>398</v>
      </c>
      <c r="AA1" s="122" t="s">
        <v>394</v>
      </c>
      <c r="AB1" s="122" t="s">
        <v>393</v>
      </c>
      <c r="AC1" s="33" t="s">
        <v>435</v>
      </c>
      <c r="AD1" s="33" t="s">
        <v>399</v>
      </c>
      <c r="AE1" s="33" t="s">
        <v>19</v>
      </c>
      <c r="AF1" s="33" t="s">
        <v>20</v>
      </c>
      <c r="AG1" s="33" t="s">
        <v>21</v>
      </c>
      <c r="AH1" s="33" t="s">
        <v>22</v>
      </c>
      <c r="AI1" s="33" t="s">
        <v>23</v>
      </c>
      <c r="AJ1" s="33" t="s">
        <v>24</v>
      </c>
      <c r="AK1" s="84" t="s">
        <v>33</v>
      </c>
    </row>
    <row r="2" spans="1:38" x14ac:dyDescent="0.25">
      <c r="A2" s="198" t="s">
        <v>422</v>
      </c>
      <c r="B2" s="1">
        <v>1</v>
      </c>
      <c r="C2" s="1" t="s">
        <v>418</v>
      </c>
      <c r="D2" s="13">
        <v>40085</v>
      </c>
      <c r="E2" s="1">
        <f t="shared" ref="E2:E42" si="0">I2-D2</f>
        <v>1799</v>
      </c>
      <c r="F2" s="1"/>
      <c r="G2" s="13">
        <v>40687</v>
      </c>
      <c r="H2" s="13">
        <v>40085</v>
      </c>
      <c r="I2" s="13">
        <v>41884</v>
      </c>
      <c r="J2" s="13"/>
      <c r="K2" s="1">
        <f t="shared" ref="K2:K42" si="1">G2-D2</f>
        <v>602</v>
      </c>
      <c r="L2" s="1">
        <f t="shared" ref="L2:L42" si="2">G2-H2</f>
        <v>602</v>
      </c>
      <c r="M2" s="1">
        <f t="shared" ref="M2:M42" si="3">I2-G2</f>
        <v>1197</v>
      </c>
      <c r="N2" s="1" t="s">
        <v>417</v>
      </c>
      <c r="O2" s="1">
        <v>6.41</v>
      </c>
      <c r="P2" s="1">
        <f t="shared" ref="P2:P5" si="4">IF(M2&gt;=540,1,"nulo")</f>
        <v>1</v>
      </c>
      <c r="Q2" s="1">
        <f t="shared" ref="Q2:Q6" si="5">IF(M2&gt;=360,1,"nulo")</f>
        <v>1</v>
      </c>
      <c r="R2" s="1">
        <f t="shared" ref="R2:R7" si="6">IF(M2&gt;=180,1,"nulo")</f>
        <v>1</v>
      </c>
      <c r="S2" s="1">
        <f t="shared" ref="S2:S7" si="7">IF(M2&gt;=90,1,"nulo")</f>
        <v>1</v>
      </c>
      <c r="T2" s="1" t="s">
        <v>437</v>
      </c>
      <c r="U2" s="1"/>
      <c r="V2" s="1"/>
      <c r="W2" s="1"/>
      <c r="X2" s="1"/>
      <c r="Y2" s="1"/>
      <c r="Z2" s="1">
        <v>1</v>
      </c>
      <c r="AA2" s="1"/>
      <c r="AB2" s="1">
        <v>0</v>
      </c>
      <c r="AC2" s="98">
        <v>0</v>
      </c>
      <c r="AD2" s="172">
        <v>50</v>
      </c>
      <c r="AE2" s="1" t="s">
        <v>417</v>
      </c>
      <c r="AF2" s="1"/>
      <c r="AG2" s="1"/>
      <c r="AH2" s="1">
        <v>2.5</v>
      </c>
      <c r="AI2" s="1">
        <v>0.5</v>
      </c>
      <c r="AJ2" s="1"/>
      <c r="AK2" s="1"/>
      <c r="AL2" s="1">
        <v>0</v>
      </c>
    </row>
    <row r="3" spans="1:38" x14ac:dyDescent="0.25">
      <c r="A3" s="198" t="s">
        <v>422</v>
      </c>
      <c r="B3" s="1">
        <v>1</v>
      </c>
      <c r="C3" s="1" t="s">
        <v>418</v>
      </c>
      <c r="D3" s="13">
        <v>40085</v>
      </c>
      <c r="E3" s="1">
        <f t="shared" si="0"/>
        <v>1799</v>
      </c>
      <c r="F3" s="1"/>
      <c r="G3" s="13">
        <v>40876</v>
      </c>
      <c r="H3" s="13">
        <f>G2</f>
        <v>40687</v>
      </c>
      <c r="I3" s="13">
        <v>41884</v>
      </c>
      <c r="J3" s="13"/>
      <c r="K3" s="1">
        <f t="shared" si="1"/>
        <v>791</v>
      </c>
      <c r="L3" s="1">
        <f t="shared" si="2"/>
        <v>189</v>
      </c>
      <c r="M3" s="1">
        <f t="shared" si="3"/>
        <v>1008</v>
      </c>
      <c r="N3" s="1" t="s">
        <v>417</v>
      </c>
      <c r="O3" s="1">
        <v>6.37</v>
      </c>
      <c r="P3" s="1">
        <f t="shared" si="4"/>
        <v>1</v>
      </c>
      <c r="Q3" s="1">
        <f t="shared" si="5"/>
        <v>1</v>
      </c>
      <c r="R3" s="1">
        <f t="shared" si="6"/>
        <v>1</v>
      </c>
      <c r="S3" s="1">
        <f t="shared" si="7"/>
        <v>1</v>
      </c>
      <c r="T3" s="1" t="s">
        <v>437</v>
      </c>
      <c r="U3" s="1"/>
      <c r="V3" s="1"/>
      <c r="W3" s="1"/>
      <c r="X3" s="1"/>
      <c r="Y3" s="1"/>
      <c r="Z3" s="1">
        <v>1</v>
      </c>
      <c r="AA3" s="1"/>
      <c r="AB3" s="1">
        <v>0</v>
      </c>
      <c r="AC3" s="98">
        <v>0</v>
      </c>
      <c r="AD3" s="172">
        <v>50</v>
      </c>
      <c r="AE3" s="1" t="s">
        <v>417</v>
      </c>
      <c r="AF3" s="1"/>
      <c r="AG3" s="1"/>
      <c r="AH3" s="1">
        <v>2.5</v>
      </c>
      <c r="AI3" s="1">
        <v>0.5</v>
      </c>
      <c r="AJ3" s="1"/>
      <c r="AK3" s="1"/>
      <c r="AL3" s="1">
        <v>0</v>
      </c>
    </row>
    <row r="4" spans="1:38" x14ac:dyDescent="0.25">
      <c r="A4" s="198" t="s">
        <v>422</v>
      </c>
      <c r="B4" s="1">
        <v>1</v>
      </c>
      <c r="C4" s="1" t="s">
        <v>418</v>
      </c>
      <c r="D4" s="13">
        <v>40085</v>
      </c>
      <c r="E4" s="1">
        <f t="shared" si="0"/>
        <v>1799</v>
      </c>
      <c r="F4" s="1"/>
      <c r="G4" s="13">
        <v>41072</v>
      </c>
      <c r="H4" s="13">
        <f t="shared" ref="H4:H8" si="8">G3</f>
        <v>40876</v>
      </c>
      <c r="I4" s="13">
        <v>41884</v>
      </c>
      <c r="J4" s="13"/>
      <c r="K4" s="1">
        <f t="shared" si="1"/>
        <v>987</v>
      </c>
      <c r="L4" s="1">
        <f t="shared" si="2"/>
        <v>196</v>
      </c>
      <c r="M4" s="1">
        <f t="shared" si="3"/>
        <v>812</v>
      </c>
      <c r="N4" s="1" t="s">
        <v>417</v>
      </c>
      <c r="O4" s="1">
        <v>6.3</v>
      </c>
      <c r="P4" s="1">
        <f t="shared" si="4"/>
        <v>1</v>
      </c>
      <c r="Q4" s="1">
        <f t="shared" si="5"/>
        <v>1</v>
      </c>
      <c r="R4" s="1">
        <f t="shared" si="6"/>
        <v>1</v>
      </c>
      <c r="S4" s="1">
        <f t="shared" si="7"/>
        <v>1</v>
      </c>
      <c r="T4" s="1" t="s">
        <v>437</v>
      </c>
      <c r="U4" s="1"/>
      <c r="V4" s="1"/>
      <c r="W4" s="1"/>
      <c r="X4" s="1"/>
      <c r="Y4" s="1"/>
      <c r="Z4" s="1">
        <v>0</v>
      </c>
      <c r="AA4" s="1"/>
      <c r="AB4" s="1">
        <v>0</v>
      </c>
      <c r="AC4" s="98">
        <v>0</v>
      </c>
      <c r="AD4" s="172">
        <v>50</v>
      </c>
      <c r="AE4" s="1" t="s">
        <v>417</v>
      </c>
      <c r="AF4" s="1"/>
      <c r="AG4" s="1"/>
      <c r="AH4" s="1">
        <v>2.5</v>
      </c>
      <c r="AI4" s="1">
        <v>0.5</v>
      </c>
      <c r="AJ4" s="1"/>
      <c r="AK4" s="1"/>
      <c r="AL4" s="1">
        <v>0</v>
      </c>
    </row>
    <row r="5" spans="1:38" x14ac:dyDescent="0.25">
      <c r="A5" s="198" t="s">
        <v>422</v>
      </c>
      <c r="B5" s="1">
        <v>1</v>
      </c>
      <c r="C5" s="1" t="s">
        <v>418</v>
      </c>
      <c r="D5" s="13">
        <v>40085</v>
      </c>
      <c r="E5" s="1">
        <f t="shared" si="0"/>
        <v>1799</v>
      </c>
      <c r="F5" s="1"/>
      <c r="G5" s="13">
        <v>41254</v>
      </c>
      <c r="H5" s="13">
        <f t="shared" si="8"/>
        <v>41072</v>
      </c>
      <c r="I5" s="13">
        <v>41884</v>
      </c>
      <c r="J5" s="13"/>
      <c r="K5" s="1">
        <f t="shared" si="1"/>
        <v>1169</v>
      </c>
      <c r="L5" s="1">
        <f t="shared" si="2"/>
        <v>182</v>
      </c>
      <c r="M5" s="1">
        <f t="shared" si="3"/>
        <v>630</v>
      </c>
      <c r="N5" s="1" t="s">
        <v>417</v>
      </c>
      <c r="O5" s="1">
        <v>6.13</v>
      </c>
      <c r="P5" s="1">
        <f t="shared" si="4"/>
        <v>1</v>
      </c>
      <c r="Q5" s="1">
        <f t="shared" si="5"/>
        <v>1</v>
      </c>
      <c r="R5" s="1">
        <f t="shared" si="6"/>
        <v>1</v>
      </c>
      <c r="S5" s="1">
        <f t="shared" si="7"/>
        <v>1</v>
      </c>
      <c r="T5" s="1" t="s">
        <v>437</v>
      </c>
      <c r="U5" s="1"/>
      <c r="V5" s="1"/>
      <c r="W5" s="1"/>
      <c r="X5" s="1"/>
      <c r="Y5" s="1"/>
      <c r="Z5" s="1">
        <v>0</v>
      </c>
      <c r="AA5" s="1"/>
      <c r="AB5" s="1">
        <v>0</v>
      </c>
      <c r="AC5" s="98">
        <v>0</v>
      </c>
      <c r="AD5" s="172">
        <v>50</v>
      </c>
      <c r="AE5" s="1" t="s">
        <v>417</v>
      </c>
      <c r="AF5" s="1"/>
      <c r="AG5" s="1"/>
      <c r="AH5" s="1">
        <v>2.5</v>
      </c>
      <c r="AI5" s="1">
        <v>0.5</v>
      </c>
      <c r="AJ5" s="1"/>
      <c r="AK5" s="1"/>
      <c r="AL5" s="1">
        <v>0</v>
      </c>
    </row>
    <row r="6" spans="1:38" x14ac:dyDescent="0.25">
      <c r="A6" s="198" t="s">
        <v>422</v>
      </c>
      <c r="B6" s="1">
        <v>1</v>
      </c>
      <c r="C6" s="1" t="s">
        <v>418</v>
      </c>
      <c r="D6" s="13">
        <v>40085</v>
      </c>
      <c r="E6" s="1">
        <f t="shared" si="0"/>
        <v>1799</v>
      </c>
      <c r="F6" s="1"/>
      <c r="G6" s="13">
        <v>41436</v>
      </c>
      <c r="H6" s="13">
        <f t="shared" si="8"/>
        <v>41254</v>
      </c>
      <c r="I6" s="13">
        <v>41884</v>
      </c>
      <c r="J6" s="13"/>
      <c r="K6" s="1">
        <f t="shared" si="1"/>
        <v>1351</v>
      </c>
      <c r="L6" s="1">
        <f t="shared" si="2"/>
        <v>182</v>
      </c>
      <c r="M6" s="1">
        <f t="shared" si="3"/>
        <v>448</v>
      </c>
      <c r="N6" s="1" t="s">
        <v>417</v>
      </c>
      <c r="O6" s="1">
        <v>5.92</v>
      </c>
      <c r="P6" s="1"/>
      <c r="Q6" s="1">
        <f t="shared" si="5"/>
        <v>1</v>
      </c>
      <c r="R6" s="1">
        <f t="shared" si="6"/>
        <v>1</v>
      </c>
      <c r="S6" s="1">
        <f t="shared" si="7"/>
        <v>1</v>
      </c>
      <c r="T6" s="1" t="s">
        <v>442</v>
      </c>
      <c r="U6" s="1"/>
      <c r="V6" s="1"/>
      <c r="W6" s="1"/>
      <c r="X6" s="1"/>
      <c r="Y6" s="1"/>
      <c r="Z6" s="1">
        <v>0</v>
      </c>
      <c r="AA6" s="1"/>
      <c r="AB6" s="1">
        <v>0</v>
      </c>
      <c r="AC6" s="98">
        <v>0</v>
      </c>
      <c r="AD6" s="172">
        <v>50</v>
      </c>
      <c r="AE6" s="1" t="s">
        <v>417</v>
      </c>
      <c r="AF6" s="1"/>
      <c r="AG6" s="1"/>
      <c r="AH6" s="1">
        <v>2.5</v>
      </c>
      <c r="AI6" s="1">
        <v>0.5</v>
      </c>
      <c r="AJ6" s="1"/>
      <c r="AK6" s="1"/>
      <c r="AL6" s="1">
        <v>0</v>
      </c>
    </row>
    <row r="7" spans="1:38" x14ac:dyDescent="0.25">
      <c r="A7" s="198" t="s">
        <v>422</v>
      </c>
      <c r="B7" s="1">
        <v>1</v>
      </c>
      <c r="C7" s="1" t="s">
        <v>418</v>
      </c>
      <c r="D7" s="13">
        <v>40085</v>
      </c>
      <c r="E7" s="1">
        <f t="shared" si="0"/>
        <v>1799</v>
      </c>
      <c r="F7" s="1"/>
      <c r="G7" s="13">
        <v>41674</v>
      </c>
      <c r="H7" s="13">
        <f t="shared" si="8"/>
        <v>41436</v>
      </c>
      <c r="I7" s="13">
        <v>41884</v>
      </c>
      <c r="J7" s="13"/>
      <c r="K7" s="1">
        <f t="shared" si="1"/>
        <v>1589</v>
      </c>
      <c r="L7" s="1">
        <f t="shared" si="2"/>
        <v>238</v>
      </c>
      <c r="M7" s="1">
        <f t="shared" si="3"/>
        <v>210</v>
      </c>
      <c r="N7" s="1" t="s">
        <v>417</v>
      </c>
      <c r="O7" s="1">
        <v>5.51</v>
      </c>
      <c r="P7" s="1"/>
      <c r="Q7" s="1"/>
      <c r="R7" s="1">
        <f t="shared" si="6"/>
        <v>1</v>
      </c>
      <c r="S7" s="1">
        <f t="shared" si="7"/>
        <v>1</v>
      </c>
      <c r="T7" s="1" t="s">
        <v>442</v>
      </c>
      <c r="U7" s="1"/>
      <c r="V7" s="1"/>
      <c r="W7" s="1"/>
      <c r="X7" s="1"/>
      <c r="Y7" s="1"/>
      <c r="Z7" s="1">
        <v>0</v>
      </c>
      <c r="AA7" s="1"/>
      <c r="AB7" s="1">
        <v>0</v>
      </c>
      <c r="AC7" s="98">
        <v>0</v>
      </c>
      <c r="AD7" s="172">
        <v>50</v>
      </c>
      <c r="AE7" s="1" t="s">
        <v>417</v>
      </c>
      <c r="AF7" s="1"/>
      <c r="AG7" s="1"/>
      <c r="AH7" s="1">
        <v>2.5</v>
      </c>
      <c r="AI7" s="1">
        <v>0.5</v>
      </c>
      <c r="AJ7" s="1"/>
      <c r="AK7" s="1"/>
      <c r="AL7" s="1">
        <v>0</v>
      </c>
    </row>
    <row r="8" spans="1:38" x14ac:dyDescent="0.25">
      <c r="A8" s="198" t="s">
        <v>422</v>
      </c>
      <c r="B8" s="1">
        <v>1</v>
      </c>
      <c r="C8" s="1" t="s">
        <v>418</v>
      </c>
      <c r="D8" s="13">
        <v>40085</v>
      </c>
      <c r="E8" s="1">
        <f t="shared" si="0"/>
        <v>1799</v>
      </c>
      <c r="F8" s="1"/>
      <c r="G8" s="13">
        <v>41884</v>
      </c>
      <c r="H8" s="13">
        <f t="shared" si="8"/>
        <v>41674</v>
      </c>
      <c r="I8" s="13">
        <v>41884</v>
      </c>
      <c r="J8" s="13"/>
      <c r="K8" s="1">
        <f t="shared" si="1"/>
        <v>1799</v>
      </c>
      <c r="L8" s="1">
        <f t="shared" si="2"/>
        <v>210</v>
      </c>
      <c r="M8" s="1">
        <f t="shared" si="3"/>
        <v>0</v>
      </c>
      <c r="N8" s="1" t="s">
        <v>417</v>
      </c>
      <c r="O8" s="1">
        <v>5.27</v>
      </c>
      <c r="P8" s="1"/>
      <c r="Q8" s="1"/>
      <c r="R8" s="1"/>
      <c r="S8" s="1"/>
      <c r="T8" s="1"/>
      <c r="U8" s="1"/>
      <c r="V8" s="1"/>
      <c r="W8" s="1"/>
      <c r="X8" s="1"/>
      <c r="Y8" s="1"/>
      <c r="Z8" s="1">
        <v>0</v>
      </c>
      <c r="AA8" s="1"/>
      <c r="AB8" s="1">
        <v>0</v>
      </c>
      <c r="AC8" s="98">
        <v>0</v>
      </c>
      <c r="AD8" s="172">
        <v>50</v>
      </c>
      <c r="AE8" s="1" t="s">
        <v>417</v>
      </c>
      <c r="AF8" s="1"/>
      <c r="AG8" s="1"/>
      <c r="AH8" s="1">
        <v>2.5</v>
      </c>
      <c r="AI8" s="1">
        <v>0.5</v>
      </c>
      <c r="AJ8" s="1"/>
      <c r="AK8" s="1"/>
      <c r="AL8" s="1">
        <v>0</v>
      </c>
    </row>
    <row r="9" spans="1:38" x14ac:dyDescent="0.25">
      <c r="A9" s="205" t="s">
        <v>199</v>
      </c>
      <c r="B9" s="1">
        <v>1</v>
      </c>
      <c r="C9" s="1" t="s">
        <v>418</v>
      </c>
      <c r="D9" s="13">
        <v>39042</v>
      </c>
      <c r="E9" s="1">
        <f t="shared" si="0"/>
        <v>2905</v>
      </c>
      <c r="F9" s="1"/>
      <c r="G9" s="13">
        <v>40694</v>
      </c>
      <c r="H9" s="13">
        <v>39042</v>
      </c>
      <c r="I9" s="13">
        <v>41947</v>
      </c>
      <c r="J9" s="13"/>
      <c r="K9" s="1">
        <f t="shared" si="1"/>
        <v>1652</v>
      </c>
      <c r="L9" s="1">
        <f t="shared" si="2"/>
        <v>1652</v>
      </c>
      <c r="M9" s="1">
        <f t="shared" si="3"/>
        <v>1253</v>
      </c>
      <c r="N9" s="1" t="s">
        <v>417</v>
      </c>
      <c r="O9" s="1">
        <v>5.73</v>
      </c>
      <c r="P9" s="1">
        <f t="shared" ref="P9:P32" si="9">IF(M9&gt;=540,1,"nulo")</f>
        <v>1</v>
      </c>
      <c r="Q9" s="1">
        <f t="shared" ref="Q9:Q34" si="10">IF(M9&gt;=360,1,"nulo")</f>
        <v>1</v>
      </c>
      <c r="R9" s="1">
        <f t="shared" ref="R9:R36" si="11">IF(M9&gt;=180,1,"nulo")</f>
        <v>1</v>
      </c>
      <c r="S9" s="1">
        <f t="shared" ref="S9:S37" si="12">IF(M9&gt;=90,1,"nulo")</f>
        <v>1</v>
      </c>
      <c r="T9" s="1" t="s">
        <v>437</v>
      </c>
      <c r="U9" s="1"/>
      <c r="V9" s="1"/>
      <c r="W9" s="1"/>
      <c r="X9" s="1"/>
      <c r="Y9" s="1"/>
      <c r="Z9" s="1">
        <v>0</v>
      </c>
      <c r="AA9" s="1"/>
      <c r="AB9" s="1">
        <v>0</v>
      </c>
      <c r="AC9" s="1">
        <v>0</v>
      </c>
      <c r="AD9" s="1">
        <v>50</v>
      </c>
      <c r="AE9" s="1" t="s">
        <v>417</v>
      </c>
      <c r="AF9" s="1"/>
      <c r="AG9" s="1"/>
      <c r="AH9" s="1">
        <v>3.5</v>
      </c>
      <c r="AI9" s="1">
        <v>0.35</v>
      </c>
      <c r="AJ9" s="1"/>
      <c r="AK9" s="1"/>
      <c r="AL9" s="1">
        <v>0</v>
      </c>
    </row>
    <row r="10" spans="1:38" x14ac:dyDescent="0.25">
      <c r="A10" s="205" t="s">
        <v>199</v>
      </c>
      <c r="B10" s="1">
        <v>1</v>
      </c>
      <c r="C10" s="1" t="s">
        <v>418</v>
      </c>
      <c r="D10" s="13">
        <v>39042</v>
      </c>
      <c r="E10" s="1">
        <f t="shared" si="0"/>
        <v>2905</v>
      </c>
      <c r="F10" s="1"/>
      <c r="G10" s="13">
        <v>40925</v>
      </c>
      <c r="H10" s="13">
        <f>G9</f>
        <v>40694</v>
      </c>
      <c r="I10" s="13">
        <v>41947</v>
      </c>
      <c r="J10" s="13"/>
      <c r="K10" s="1">
        <f t="shared" si="1"/>
        <v>1883</v>
      </c>
      <c r="L10" s="1">
        <f t="shared" si="2"/>
        <v>231</v>
      </c>
      <c r="M10" s="1">
        <f t="shared" si="3"/>
        <v>1022</v>
      </c>
      <c r="N10" s="1" t="s">
        <v>417</v>
      </c>
      <c r="O10" s="1">
        <v>5.33</v>
      </c>
      <c r="P10" s="1">
        <f t="shared" si="9"/>
        <v>1</v>
      </c>
      <c r="Q10" s="1">
        <f t="shared" si="10"/>
        <v>1</v>
      </c>
      <c r="R10" s="1">
        <f t="shared" si="11"/>
        <v>1</v>
      </c>
      <c r="S10" s="1">
        <f t="shared" si="12"/>
        <v>1</v>
      </c>
      <c r="T10" s="1" t="s">
        <v>437</v>
      </c>
      <c r="U10" s="1"/>
      <c r="V10" s="1"/>
      <c r="W10" s="1"/>
      <c r="X10" s="1"/>
      <c r="Y10" s="1"/>
      <c r="Z10" s="1">
        <v>0</v>
      </c>
      <c r="AA10" s="1"/>
      <c r="AB10" s="1">
        <v>0</v>
      </c>
      <c r="AC10" s="1">
        <v>0</v>
      </c>
      <c r="AD10" s="1">
        <v>50</v>
      </c>
      <c r="AE10" s="1" t="s">
        <v>417</v>
      </c>
      <c r="AF10" s="1"/>
      <c r="AG10" s="1"/>
      <c r="AH10" s="1">
        <v>3.5</v>
      </c>
      <c r="AI10" s="1">
        <v>0.35</v>
      </c>
      <c r="AJ10" s="1"/>
      <c r="AK10" s="1"/>
      <c r="AL10" s="1">
        <v>0</v>
      </c>
    </row>
    <row r="11" spans="1:38" x14ac:dyDescent="0.25">
      <c r="A11" s="205" t="s">
        <v>199</v>
      </c>
      <c r="B11" s="1">
        <v>1</v>
      </c>
      <c r="C11" s="1" t="s">
        <v>418</v>
      </c>
      <c r="D11" s="13">
        <v>39042</v>
      </c>
      <c r="E11" s="1">
        <f t="shared" si="0"/>
        <v>2905</v>
      </c>
      <c r="F11" s="1"/>
      <c r="G11" s="13">
        <v>41009</v>
      </c>
      <c r="H11" s="13">
        <f t="shared" ref="H11:H18" si="13">G10</f>
        <v>40925</v>
      </c>
      <c r="I11" s="13">
        <v>41947</v>
      </c>
      <c r="J11" s="13"/>
      <c r="K11" s="1">
        <f t="shared" si="1"/>
        <v>1967</v>
      </c>
      <c r="L11" s="1">
        <f t="shared" si="2"/>
        <v>84</v>
      </c>
      <c r="M11" s="1">
        <f t="shared" si="3"/>
        <v>938</v>
      </c>
      <c r="N11" s="1" t="s">
        <v>417</v>
      </c>
      <c r="O11" s="1">
        <v>5.29</v>
      </c>
      <c r="P11" s="1">
        <f t="shared" si="9"/>
        <v>1</v>
      </c>
      <c r="Q11" s="1">
        <f t="shared" si="10"/>
        <v>1</v>
      </c>
      <c r="R11" s="1">
        <f t="shared" si="11"/>
        <v>1</v>
      </c>
      <c r="S11" s="1">
        <f t="shared" si="12"/>
        <v>1</v>
      </c>
      <c r="T11" s="1" t="s">
        <v>437</v>
      </c>
      <c r="U11" s="1"/>
      <c r="V11" s="1"/>
      <c r="W11" s="1"/>
      <c r="X11" s="1"/>
      <c r="Y11" s="1"/>
      <c r="Z11" s="1">
        <v>0</v>
      </c>
      <c r="AA11" s="1"/>
      <c r="AB11" s="1">
        <v>0</v>
      </c>
      <c r="AC11" s="1">
        <v>0</v>
      </c>
      <c r="AD11" s="1">
        <v>50</v>
      </c>
      <c r="AE11" s="1" t="s">
        <v>417</v>
      </c>
      <c r="AF11" s="1"/>
      <c r="AG11" s="1"/>
      <c r="AH11" s="1">
        <v>2.5</v>
      </c>
      <c r="AI11" s="1">
        <v>0.35</v>
      </c>
      <c r="AJ11" s="1"/>
      <c r="AK11" s="1"/>
      <c r="AL11" s="1">
        <v>0</v>
      </c>
    </row>
    <row r="12" spans="1:38" x14ac:dyDescent="0.25">
      <c r="A12" s="205" t="s">
        <v>199</v>
      </c>
      <c r="B12" s="1">
        <v>1</v>
      </c>
      <c r="C12" s="1" t="s">
        <v>418</v>
      </c>
      <c r="D12" s="13">
        <v>39042</v>
      </c>
      <c r="E12" s="1">
        <f t="shared" si="0"/>
        <v>2905</v>
      </c>
      <c r="F12" s="1"/>
      <c r="G12" s="13">
        <v>41100</v>
      </c>
      <c r="H12" s="13">
        <f t="shared" si="13"/>
        <v>41009</v>
      </c>
      <c r="I12" s="13">
        <v>41947</v>
      </c>
      <c r="J12" s="13"/>
      <c r="K12" s="1">
        <f t="shared" si="1"/>
        <v>2058</v>
      </c>
      <c r="L12" s="1">
        <f t="shared" si="2"/>
        <v>91</v>
      </c>
      <c r="M12" s="1">
        <f t="shared" si="3"/>
        <v>847</v>
      </c>
      <c r="N12" s="1" t="s">
        <v>417</v>
      </c>
      <c r="O12" s="1">
        <v>5.25</v>
      </c>
      <c r="P12" s="1">
        <f t="shared" si="9"/>
        <v>1</v>
      </c>
      <c r="Q12" s="1">
        <f t="shared" si="10"/>
        <v>1</v>
      </c>
      <c r="R12" s="1">
        <f t="shared" si="11"/>
        <v>1</v>
      </c>
      <c r="S12" s="1">
        <f t="shared" si="12"/>
        <v>1</v>
      </c>
      <c r="T12" s="1" t="s">
        <v>437</v>
      </c>
      <c r="U12" s="1"/>
      <c r="V12" s="1"/>
      <c r="W12" s="1"/>
      <c r="X12" s="1"/>
      <c r="Y12" s="1"/>
      <c r="Z12" s="1">
        <v>0</v>
      </c>
      <c r="AA12" s="1"/>
      <c r="AB12" s="1">
        <v>0</v>
      </c>
      <c r="AC12" s="1">
        <v>0</v>
      </c>
      <c r="AD12" s="1">
        <v>50</v>
      </c>
      <c r="AE12" s="1" t="s">
        <v>417</v>
      </c>
      <c r="AF12" s="1"/>
      <c r="AG12" s="1"/>
      <c r="AH12" s="1">
        <v>2.5</v>
      </c>
      <c r="AI12" s="1">
        <v>0.35</v>
      </c>
      <c r="AJ12" s="1"/>
      <c r="AK12" s="1"/>
      <c r="AL12" s="1">
        <v>0</v>
      </c>
    </row>
    <row r="13" spans="1:38" x14ac:dyDescent="0.25">
      <c r="A13" s="205" t="s">
        <v>199</v>
      </c>
      <c r="B13" s="1">
        <v>1</v>
      </c>
      <c r="C13" s="1" t="s">
        <v>418</v>
      </c>
      <c r="D13" s="13">
        <v>39042</v>
      </c>
      <c r="E13" s="1">
        <f t="shared" si="0"/>
        <v>2905</v>
      </c>
      <c r="F13" s="1"/>
      <c r="G13" s="13">
        <v>41310</v>
      </c>
      <c r="H13" s="13">
        <f t="shared" si="13"/>
        <v>41100</v>
      </c>
      <c r="I13" s="13">
        <v>41947</v>
      </c>
      <c r="J13" s="13"/>
      <c r="K13" s="1">
        <f t="shared" si="1"/>
        <v>2268</v>
      </c>
      <c r="L13" s="1">
        <f t="shared" si="2"/>
        <v>210</v>
      </c>
      <c r="M13" s="1">
        <f t="shared" si="3"/>
        <v>637</v>
      </c>
      <c r="N13" s="1" t="s">
        <v>417</v>
      </c>
      <c r="O13" s="1">
        <v>5.18</v>
      </c>
      <c r="P13" s="1">
        <f t="shared" si="9"/>
        <v>1</v>
      </c>
      <c r="Q13" s="1">
        <f t="shared" si="10"/>
        <v>1</v>
      </c>
      <c r="R13" s="1">
        <f t="shared" si="11"/>
        <v>1</v>
      </c>
      <c r="S13" s="1">
        <f t="shared" si="12"/>
        <v>1</v>
      </c>
      <c r="T13" s="1" t="s">
        <v>437</v>
      </c>
      <c r="U13" s="1"/>
      <c r="V13" s="1"/>
      <c r="W13" s="1"/>
      <c r="X13" s="1"/>
      <c r="Y13" s="1"/>
      <c r="Z13" s="1">
        <v>0</v>
      </c>
      <c r="AA13" s="1"/>
      <c r="AB13" s="1">
        <v>0</v>
      </c>
      <c r="AC13" s="1">
        <v>0</v>
      </c>
      <c r="AD13" s="1">
        <v>50</v>
      </c>
      <c r="AE13" s="1" t="s">
        <v>417</v>
      </c>
      <c r="AF13" s="1"/>
      <c r="AG13" s="1"/>
      <c r="AH13" s="1">
        <v>2.5</v>
      </c>
      <c r="AI13" s="1">
        <v>0.35</v>
      </c>
      <c r="AJ13" s="1"/>
      <c r="AK13" s="1"/>
      <c r="AL13" s="1">
        <v>0</v>
      </c>
    </row>
    <row r="14" spans="1:38" x14ac:dyDescent="0.25">
      <c r="A14" s="205" t="s">
        <v>199</v>
      </c>
      <c r="B14" s="1">
        <v>1</v>
      </c>
      <c r="C14" s="1" t="s">
        <v>418</v>
      </c>
      <c r="D14" s="13">
        <v>39042</v>
      </c>
      <c r="E14" s="1">
        <f t="shared" si="0"/>
        <v>2905</v>
      </c>
      <c r="F14" s="1"/>
      <c r="G14" s="13">
        <v>41422</v>
      </c>
      <c r="H14" s="13">
        <f t="shared" si="13"/>
        <v>41310</v>
      </c>
      <c r="I14" s="13">
        <v>41947</v>
      </c>
      <c r="J14" s="13"/>
      <c r="K14" s="1">
        <f t="shared" si="1"/>
        <v>2380</v>
      </c>
      <c r="L14" s="1">
        <f t="shared" si="2"/>
        <v>112</v>
      </c>
      <c r="M14" s="1">
        <f t="shared" si="3"/>
        <v>525</v>
      </c>
      <c r="N14" s="1" t="s">
        <v>417</v>
      </c>
      <c r="O14" s="1">
        <v>5.16</v>
      </c>
      <c r="P14" s="1"/>
      <c r="Q14" s="1">
        <f t="shared" si="10"/>
        <v>1</v>
      </c>
      <c r="R14" s="1">
        <f t="shared" si="11"/>
        <v>1</v>
      </c>
      <c r="S14" s="1">
        <f t="shared" si="12"/>
        <v>1</v>
      </c>
      <c r="T14" s="1" t="s">
        <v>442</v>
      </c>
      <c r="U14" s="1"/>
      <c r="V14" s="1"/>
      <c r="W14" s="1"/>
      <c r="X14" s="1"/>
      <c r="Y14" s="1"/>
      <c r="Z14" s="1">
        <v>0</v>
      </c>
      <c r="AA14" s="1"/>
      <c r="AB14" s="1">
        <v>0</v>
      </c>
      <c r="AC14" s="1">
        <v>0</v>
      </c>
      <c r="AD14" s="1">
        <v>50</v>
      </c>
      <c r="AE14" s="1" t="s">
        <v>417</v>
      </c>
      <c r="AF14" s="1"/>
      <c r="AG14" s="1"/>
      <c r="AH14" s="1">
        <v>3</v>
      </c>
      <c r="AI14" s="1">
        <v>0.35</v>
      </c>
      <c r="AJ14" s="1"/>
      <c r="AK14" s="1"/>
      <c r="AL14" s="1">
        <v>0</v>
      </c>
    </row>
    <row r="15" spans="1:38" x14ac:dyDescent="0.25">
      <c r="A15" s="205" t="s">
        <v>199</v>
      </c>
      <c r="B15" s="1">
        <v>1</v>
      </c>
      <c r="C15" s="1" t="s">
        <v>418</v>
      </c>
      <c r="D15" s="13">
        <v>39042</v>
      </c>
      <c r="E15" s="1">
        <f t="shared" si="0"/>
        <v>2905</v>
      </c>
      <c r="F15" s="1"/>
      <c r="G15" s="13">
        <v>41499</v>
      </c>
      <c r="H15" s="13">
        <f t="shared" si="13"/>
        <v>41422</v>
      </c>
      <c r="I15" s="13">
        <v>41947</v>
      </c>
      <c r="J15" s="13"/>
      <c r="K15" s="1">
        <f t="shared" si="1"/>
        <v>2457</v>
      </c>
      <c r="L15" s="1">
        <f t="shared" si="2"/>
        <v>77</v>
      </c>
      <c r="M15" s="1">
        <f t="shared" si="3"/>
        <v>448</v>
      </c>
      <c r="N15" s="1" t="s">
        <v>417</v>
      </c>
      <c r="O15" s="1">
        <v>5.16</v>
      </c>
      <c r="P15" s="1"/>
      <c r="Q15" s="1">
        <f t="shared" si="10"/>
        <v>1</v>
      </c>
      <c r="R15" s="1">
        <f t="shared" si="11"/>
        <v>1</v>
      </c>
      <c r="S15" s="1">
        <f t="shared" si="12"/>
        <v>1</v>
      </c>
      <c r="T15" s="1" t="s">
        <v>442</v>
      </c>
      <c r="U15" s="1"/>
      <c r="V15" s="1"/>
      <c r="W15" s="1"/>
      <c r="X15" s="1"/>
      <c r="Y15" s="1"/>
      <c r="Z15" s="1">
        <v>0</v>
      </c>
      <c r="AA15" s="1"/>
      <c r="AB15" s="1">
        <v>0</v>
      </c>
      <c r="AC15" s="1">
        <v>0</v>
      </c>
      <c r="AD15" s="1">
        <v>50</v>
      </c>
      <c r="AE15" s="1" t="s">
        <v>417</v>
      </c>
      <c r="AF15" s="1"/>
      <c r="AG15" s="1"/>
      <c r="AH15" s="1">
        <v>3</v>
      </c>
      <c r="AI15" s="1">
        <v>0.35</v>
      </c>
      <c r="AJ15" s="1"/>
      <c r="AK15" s="1"/>
      <c r="AL15" s="1">
        <v>0</v>
      </c>
    </row>
    <row r="16" spans="1:38" x14ac:dyDescent="0.25">
      <c r="A16" s="205" t="s">
        <v>199</v>
      </c>
      <c r="B16" s="1">
        <v>1</v>
      </c>
      <c r="C16" s="1" t="s">
        <v>418</v>
      </c>
      <c r="D16" s="13">
        <v>39042</v>
      </c>
      <c r="E16" s="1">
        <f t="shared" si="0"/>
        <v>2905</v>
      </c>
      <c r="F16" s="1"/>
      <c r="G16" s="13">
        <v>41712</v>
      </c>
      <c r="H16" s="13">
        <f t="shared" si="13"/>
        <v>41499</v>
      </c>
      <c r="I16" s="13">
        <v>41947</v>
      </c>
      <c r="J16" s="13"/>
      <c r="K16" s="1">
        <f t="shared" si="1"/>
        <v>2670</v>
      </c>
      <c r="L16" s="1">
        <f t="shared" si="2"/>
        <v>213</v>
      </c>
      <c r="M16" s="1">
        <f t="shared" si="3"/>
        <v>235</v>
      </c>
      <c r="N16" s="1" t="s">
        <v>417</v>
      </c>
      <c r="O16" s="1">
        <v>5.15</v>
      </c>
      <c r="P16" s="1"/>
      <c r="Q16" s="1"/>
      <c r="R16" s="1">
        <f t="shared" si="11"/>
        <v>1</v>
      </c>
      <c r="S16" s="1">
        <f t="shared" si="12"/>
        <v>1</v>
      </c>
      <c r="T16" s="1" t="s">
        <v>442</v>
      </c>
      <c r="U16" s="1"/>
      <c r="V16" s="1"/>
      <c r="W16" s="1"/>
      <c r="X16" s="1"/>
      <c r="Y16" s="1"/>
      <c r="Z16" s="1">
        <v>0</v>
      </c>
      <c r="AA16" s="1"/>
      <c r="AB16" s="1">
        <v>0</v>
      </c>
      <c r="AC16" s="1">
        <v>0</v>
      </c>
      <c r="AD16" s="1">
        <v>50</v>
      </c>
      <c r="AE16" s="1" t="s">
        <v>417</v>
      </c>
      <c r="AF16" s="1"/>
      <c r="AG16" s="1"/>
      <c r="AH16" s="1">
        <v>3</v>
      </c>
      <c r="AI16" s="1">
        <v>0.35</v>
      </c>
      <c r="AJ16" s="1"/>
      <c r="AK16" s="1"/>
      <c r="AL16" s="1">
        <v>0</v>
      </c>
    </row>
    <row r="17" spans="1:38" x14ac:dyDescent="0.25">
      <c r="A17" s="205" t="s">
        <v>199</v>
      </c>
      <c r="B17" s="1">
        <v>1</v>
      </c>
      <c r="C17" s="1" t="s">
        <v>418</v>
      </c>
      <c r="D17" s="13">
        <v>39042</v>
      </c>
      <c r="E17" s="1">
        <f t="shared" si="0"/>
        <v>2905</v>
      </c>
      <c r="F17" s="1"/>
      <c r="G17" s="13">
        <v>41820</v>
      </c>
      <c r="H17" s="13">
        <f t="shared" si="13"/>
        <v>41712</v>
      </c>
      <c r="I17" s="13">
        <v>41947</v>
      </c>
      <c r="J17" s="13"/>
      <c r="K17" s="1">
        <f t="shared" si="1"/>
        <v>2778</v>
      </c>
      <c r="L17" s="1">
        <f t="shared" si="2"/>
        <v>108</v>
      </c>
      <c r="M17" s="1">
        <f t="shared" si="3"/>
        <v>127</v>
      </c>
      <c r="N17" s="1" t="s">
        <v>417</v>
      </c>
      <c r="O17" s="1">
        <v>5.13</v>
      </c>
      <c r="P17" s="1"/>
      <c r="Q17" s="1"/>
      <c r="R17" s="1"/>
      <c r="S17" s="1">
        <f t="shared" si="12"/>
        <v>1</v>
      </c>
      <c r="T17" s="1" t="s">
        <v>442</v>
      </c>
      <c r="U17" s="1"/>
      <c r="V17" s="1"/>
      <c r="W17" s="1"/>
      <c r="X17" s="1"/>
      <c r="Y17" s="1"/>
      <c r="Z17" s="1">
        <v>0</v>
      </c>
      <c r="AA17" s="1"/>
      <c r="AB17" s="1">
        <v>0</v>
      </c>
      <c r="AC17" s="1">
        <v>0</v>
      </c>
      <c r="AD17" s="1">
        <v>50</v>
      </c>
      <c r="AE17" s="1" t="s">
        <v>417</v>
      </c>
      <c r="AF17" s="1"/>
      <c r="AG17" s="1"/>
      <c r="AH17" s="1">
        <v>3</v>
      </c>
      <c r="AI17" s="1">
        <v>0.35</v>
      </c>
      <c r="AJ17" s="1"/>
      <c r="AK17" s="1"/>
      <c r="AL17" s="1">
        <v>0</v>
      </c>
    </row>
    <row r="18" spans="1:38" x14ac:dyDescent="0.25">
      <c r="A18" s="205" t="s">
        <v>199</v>
      </c>
      <c r="B18" s="1">
        <v>1</v>
      </c>
      <c r="C18" s="1" t="s">
        <v>418</v>
      </c>
      <c r="D18" s="13">
        <v>39042</v>
      </c>
      <c r="E18" s="1">
        <f t="shared" si="0"/>
        <v>2905</v>
      </c>
      <c r="F18" s="1"/>
      <c r="G18" s="13">
        <v>41947</v>
      </c>
      <c r="H18" s="13">
        <f t="shared" si="13"/>
        <v>41820</v>
      </c>
      <c r="I18" s="13">
        <v>41947</v>
      </c>
      <c r="J18" s="13"/>
      <c r="K18" s="1">
        <f t="shared" si="1"/>
        <v>2905</v>
      </c>
      <c r="L18" s="1">
        <f t="shared" si="2"/>
        <v>127</v>
      </c>
      <c r="M18" s="1">
        <f t="shared" si="3"/>
        <v>0</v>
      </c>
      <c r="N18" s="1" t="s">
        <v>417</v>
      </c>
      <c r="O18" s="1">
        <v>5.12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>
        <v>0</v>
      </c>
      <c r="AA18" s="1"/>
      <c r="AB18" s="1">
        <v>0</v>
      </c>
      <c r="AC18" s="1">
        <v>0</v>
      </c>
      <c r="AD18" s="1">
        <v>50</v>
      </c>
      <c r="AE18" s="1" t="s">
        <v>417</v>
      </c>
      <c r="AF18" s="1"/>
      <c r="AG18" s="1"/>
      <c r="AH18" s="1">
        <v>3</v>
      </c>
      <c r="AI18" s="1">
        <v>0.35</v>
      </c>
      <c r="AJ18" s="1"/>
      <c r="AK18" s="1"/>
      <c r="AL18" s="1">
        <v>0</v>
      </c>
    </row>
    <row r="19" spans="1:38" x14ac:dyDescent="0.25">
      <c r="A19" s="207" t="s">
        <v>201</v>
      </c>
      <c r="B19" s="1">
        <v>1</v>
      </c>
      <c r="C19" s="1" t="s">
        <v>418</v>
      </c>
      <c r="D19" s="13">
        <v>38946</v>
      </c>
      <c r="E19" s="1">
        <f t="shared" si="0"/>
        <v>2421</v>
      </c>
      <c r="F19" s="1"/>
      <c r="G19" s="13">
        <v>40659</v>
      </c>
      <c r="H19" s="13">
        <v>38946</v>
      </c>
      <c r="I19" s="13">
        <v>41367</v>
      </c>
      <c r="J19" s="13"/>
      <c r="K19" s="1">
        <f t="shared" si="1"/>
        <v>1713</v>
      </c>
      <c r="L19" s="1">
        <f t="shared" si="2"/>
        <v>1713</v>
      </c>
      <c r="M19" s="1">
        <f t="shared" si="3"/>
        <v>708</v>
      </c>
      <c r="N19" s="1" t="s">
        <v>417</v>
      </c>
      <c r="O19" s="1">
        <v>5.19</v>
      </c>
      <c r="P19" s="1">
        <f t="shared" si="9"/>
        <v>1</v>
      </c>
      <c r="Q19" s="1">
        <f t="shared" si="10"/>
        <v>1</v>
      </c>
      <c r="R19" s="1">
        <f t="shared" si="11"/>
        <v>1</v>
      </c>
      <c r="S19" s="1">
        <f t="shared" si="12"/>
        <v>1</v>
      </c>
      <c r="T19" s="1" t="s">
        <v>437</v>
      </c>
      <c r="U19" s="1"/>
      <c r="V19" s="1"/>
      <c r="W19" s="1"/>
      <c r="X19" s="1"/>
      <c r="Y19" s="1"/>
      <c r="Z19" s="1">
        <v>52</v>
      </c>
      <c r="AA19" s="1"/>
      <c r="AB19" s="1">
        <v>0</v>
      </c>
      <c r="AC19" s="1">
        <v>0</v>
      </c>
      <c r="AD19" s="1">
        <v>60</v>
      </c>
      <c r="AE19" s="1" t="s">
        <v>434</v>
      </c>
      <c r="AF19" s="1"/>
      <c r="AG19" s="1"/>
      <c r="AH19" s="1">
        <v>2.5</v>
      </c>
      <c r="AI19" s="1">
        <v>0.6</v>
      </c>
      <c r="AJ19" s="1"/>
      <c r="AK19" s="1"/>
      <c r="AL19" s="1">
        <v>0</v>
      </c>
    </row>
    <row r="20" spans="1:38" x14ac:dyDescent="0.25">
      <c r="A20" s="207" t="s">
        <v>201</v>
      </c>
      <c r="B20" s="1">
        <v>1</v>
      </c>
      <c r="C20" s="1" t="s">
        <v>418</v>
      </c>
      <c r="D20" s="13">
        <v>38946</v>
      </c>
      <c r="E20" s="1">
        <f t="shared" si="0"/>
        <v>2421</v>
      </c>
      <c r="F20" s="1"/>
      <c r="G20" s="13">
        <v>40729</v>
      </c>
      <c r="H20" s="13">
        <f>G19</f>
        <v>40659</v>
      </c>
      <c r="I20" s="13">
        <v>41367</v>
      </c>
      <c r="J20" s="13"/>
      <c r="K20" s="1">
        <f t="shared" si="1"/>
        <v>1783</v>
      </c>
      <c r="L20" s="1">
        <f t="shared" si="2"/>
        <v>70</v>
      </c>
      <c r="M20" s="1">
        <f t="shared" si="3"/>
        <v>638</v>
      </c>
      <c r="N20" s="1" t="s">
        <v>417</v>
      </c>
      <c r="O20" s="1">
        <v>5.18</v>
      </c>
      <c r="P20" s="1">
        <f t="shared" si="9"/>
        <v>1</v>
      </c>
      <c r="Q20" s="1">
        <f t="shared" si="10"/>
        <v>1</v>
      </c>
      <c r="R20" s="1">
        <f t="shared" si="11"/>
        <v>1</v>
      </c>
      <c r="S20" s="1">
        <f t="shared" si="12"/>
        <v>1</v>
      </c>
      <c r="T20" s="1" t="s">
        <v>437</v>
      </c>
      <c r="U20" s="1"/>
      <c r="V20" s="1"/>
      <c r="W20" s="1"/>
      <c r="X20" s="1"/>
      <c r="Y20" s="1"/>
      <c r="Z20" s="1">
        <v>59</v>
      </c>
      <c r="AA20" s="1"/>
      <c r="AB20" s="1">
        <v>0</v>
      </c>
      <c r="AC20" s="1">
        <v>1</v>
      </c>
      <c r="AD20" s="1">
        <v>60</v>
      </c>
      <c r="AE20" s="1" t="s">
        <v>434</v>
      </c>
      <c r="AF20" s="1"/>
      <c r="AG20" s="1"/>
      <c r="AH20" s="1">
        <v>2.5</v>
      </c>
      <c r="AI20" s="1">
        <v>0.6</v>
      </c>
      <c r="AJ20" s="1"/>
      <c r="AK20" s="1"/>
      <c r="AL20" s="1">
        <v>0</v>
      </c>
    </row>
    <row r="21" spans="1:38" x14ac:dyDescent="0.25">
      <c r="A21" s="207" t="s">
        <v>201</v>
      </c>
      <c r="B21" s="1">
        <v>1</v>
      </c>
      <c r="C21" s="1" t="s">
        <v>418</v>
      </c>
      <c r="D21" s="13">
        <v>38946</v>
      </c>
      <c r="E21" s="1">
        <f t="shared" si="0"/>
        <v>2421</v>
      </c>
      <c r="F21" s="1"/>
      <c r="G21" s="13">
        <v>40841</v>
      </c>
      <c r="H21" s="13">
        <f t="shared" ref="H21:H26" si="14">G20</f>
        <v>40729</v>
      </c>
      <c r="I21" s="13">
        <v>41367</v>
      </c>
      <c r="J21" s="13"/>
      <c r="K21" s="1">
        <f t="shared" si="1"/>
        <v>1895</v>
      </c>
      <c r="L21" s="1">
        <f t="shared" si="2"/>
        <v>112</v>
      </c>
      <c r="M21" s="1">
        <f t="shared" si="3"/>
        <v>526</v>
      </c>
      <c r="N21" s="1" t="s">
        <v>417</v>
      </c>
      <c r="O21" s="1">
        <v>5.16</v>
      </c>
      <c r="P21" s="1"/>
      <c r="Q21" s="1">
        <f t="shared" si="10"/>
        <v>1</v>
      </c>
      <c r="R21" s="1">
        <f t="shared" si="11"/>
        <v>1</v>
      </c>
      <c r="S21" s="1">
        <f t="shared" si="12"/>
        <v>1</v>
      </c>
      <c r="T21" s="1" t="s">
        <v>442</v>
      </c>
      <c r="U21" s="1"/>
      <c r="V21" s="1"/>
      <c r="W21" s="1"/>
      <c r="X21" s="1"/>
      <c r="Y21" s="1"/>
      <c r="Z21" s="1">
        <v>56</v>
      </c>
      <c r="AA21" s="1"/>
      <c r="AB21" s="1">
        <v>0</v>
      </c>
      <c r="AC21" s="1">
        <v>0</v>
      </c>
      <c r="AD21" s="1">
        <v>60</v>
      </c>
      <c r="AE21" s="1" t="s">
        <v>434</v>
      </c>
      <c r="AF21" s="1"/>
      <c r="AG21" s="1"/>
      <c r="AH21" s="1">
        <v>2.5</v>
      </c>
      <c r="AI21" s="1">
        <v>0.6</v>
      </c>
      <c r="AJ21" s="1"/>
      <c r="AK21" s="1"/>
      <c r="AL21" s="1">
        <v>0</v>
      </c>
    </row>
    <row r="22" spans="1:38" x14ac:dyDescent="0.25">
      <c r="A22" s="207" t="s">
        <v>201</v>
      </c>
      <c r="B22" s="1">
        <v>1</v>
      </c>
      <c r="C22" s="1" t="s">
        <v>418</v>
      </c>
      <c r="D22" s="13">
        <v>38946</v>
      </c>
      <c r="E22" s="1">
        <f t="shared" si="0"/>
        <v>2421</v>
      </c>
      <c r="F22" s="1"/>
      <c r="G22" s="13">
        <v>41044</v>
      </c>
      <c r="H22" s="13">
        <f t="shared" si="14"/>
        <v>40841</v>
      </c>
      <c r="I22" s="13">
        <v>41367</v>
      </c>
      <c r="J22" s="13"/>
      <c r="K22" s="1">
        <f t="shared" si="1"/>
        <v>2098</v>
      </c>
      <c r="L22" s="1">
        <f t="shared" si="2"/>
        <v>203</v>
      </c>
      <c r="M22" s="1">
        <f t="shared" si="3"/>
        <v>323</v>
      </c>
      <c r="N22" s="1" t="s">
        <v>417</v>
      </c>
      <c r="O22" s="1">
        <v>5.13</v>
      </c>
      <c r="P22" s="1"/>
      <c r="Q22" s="1"/>
      <c r="R22" s="1">
        <f t="shared" si="11"/>
        <v>1</v>
      </c>
      <c r="S22" s="1">
        <f t="shared" si="12"/>
        <v>1</v>
      </c>
      <c r="T22" s="1" t="s">
        <v>442</v>
      </c>
      <c r="U22" s="1"/>
      <c r="V22" s="1"/>
      <c r="W22" s="1"/>
      <c r="X22" s="1"/>
      <c r="Y22" s="1"/>
      <c r="Z22" s="1">
        <v>52</v>
      </c>
      <c r="AA22" s="1"/>
      <c r="AB22" s="1">
        <v>1</v>
      </c>
      <c r="AC22" s="1">
        <v>1</v>
      </c>
      <c r="AD22" s="1">
        <v>60</v>
      </c>
      <c r="AE22" s="1" t="s">
        <v>434</v>
      </c>
      <c r="AF22" s="1"/>
      <c r="AG22" s="1"/>
      <c r="AH22" s="1">
        <v>2.5</v>
      </c>
      <c r="AI22" s="1">
        <v>0.6</v>
      </c>
      <c r="AJ22" s="1"/>
      <c r="AK22" s="1"/>
      <c r="AL22" s="1">
        <v>0</v>
      </c>
    </row>
    <row r="23" spans="1:38" x14ac:dyDescent="0.25">
      <c r="A23" s="207" t="s">
        <v>201</v>
      </c>
      <c r="B23" s="1">
        <v>1</v>
      </c>
      <c r="C23" s="1" t="s">
        <v>418</v>
      </c>
      <c r="D23" s="13">
        <v>38946</v>
      </c>
      <c r="E23" s="1">
        <f t="shared" si="0"/>
        <v>2421</v>
      </c>
      <c r="F23" s="1"/>
      <c r="G23" s="13">
        <v>41143</v>
      </c>
      <c r="H23" s="13">
        <f t="shared" si="14"/>
        <v>41044</v>
      </c>
      <c r="I23" s="13">
        <v>41367</v>
      </c>
      <c r="J23" s="13"/>
      <c r="K23" s="1">
        <f t="shared" si="1"/>
        <v>2197</v>
      </c>
      <c r="L23" s="1">
        <f t="shared" si="2"/>
        <v>99</v>
      </c>
      <c r="M23" s="1">
        <f t="shared" si="3"/>
        <v>224</v>
      </c>
      <c r="N23" s="1" t="s">
        <v>417</v>
      </c>
      <c r="O23" s="1">
        <v>5.12</v>
      </c>
      <c r="P23" s="1"/>
      <c r="Q23" s="1"/>
      <c r="R23" s="1">
        <f t="shared" si="11"/>
        <v>1</v>
      </c>
      <c r="S23" s="1">
        <f t="shared" si="12"/>
        <v>1</v>
      </c>
      <c r="T23" s="1" t="s">
        <v>442</v>
      </c>
      <c r="U23" s="1"/>
      <c r="V23" s="1"/>
      <c r="W23" s="1"/>
      <c r="X23" s="1"/>
      <c r="Y23" s="1"/>
      <c r="Z23" s="1">
        <v>53</v>
      </c>
      <c r="AA23" s="1"/>
      <c r="AB23" s="1">
        <v>0</v>
      </c>
      <c r="AC23" s="1">
        <v>0</v>
      </c>
      <c r="AD23" s="1">
        <v>60</v>
      </c>
      <c r="AE23" s="1" t="s">
        <v>434</v>
      </c>
      <c r="AF23" s="1"/>
      <c r="AG23" s="1"/>
      <c r="AH23" s="1">
        <v>2.5</v>
      </c>
      <c r="AI23" s="1">
        <v>0.6</v>
      </c>
      <c r="AJ23" s="1"/>
      <c r="AK23" s="1"/>
      <c r="AL23" s="1">
        <v>0</v>
      </c>
    </row>
    <row r="24" spans="1:38" x14ac:dyDescent="0.25">
      <c r="A24" s="207" t="s">
        <v>201</v>
      </c>
      <c r="B24" s="1">
        <v>1</v>
      </c>
      <c r="C24" s="1" t="s">
        <v>418</v>
      </c>
      <c r="D24" s="13">
        <v>38946</v>
      </c>
      <c r="E24" s="1">
        <f t="shared" si="0"/>
        <v>2421</v>
      </c>
      <c r="F24" s="1"/>
      <c r="G24" s="13">
        <v>41260</v>
      </c>
      <c r="H24" s="13">
        <f t="shared" si="14"/>
        <v>41143</v>
      </c>
      <c r="I24" s="13">
        <v>41367</v>
      </c>
      <c r="J24" s="13"/>
      <c r="K24" s="1">
        <f t="shared" si="1"/>
        <v>2314</v>
      </c>
      <c r="L24" s="1">
        <f t="shared" si="2"/>
        <v>117</v>
      </c>
      <c r="M24" s="1">
        <f t="shared" si="3"/>
        <v>107</v>
      </c>
      <c r="N24" s="1" t="s">
        <v>417</v>
      </c>
      <c r="O24" s="1">
        <v>5.09</v>
      </c>
      <c r="P24" s="1"/>
      <c r="Q24" s="1"/>
      <c r="R24" s="1"/>
      <c r="S24" s="1">
        <f t="shared" si="12"/>
        <v>1</v>
      </c>
      <c r="T24" s="1" t="s">
        <v>442</v>
      </c>
      <c r="U24" s="1"/>
      <c r="V24" s="1"/>
      <c r="W24" s="1"/>
      <c r="X24" s="1"/>
      <c r="Y24" s="1"/>
      <c r="Z24" s="1">
        <v>48</v>
      </c>
      <c r="AA24" s="1"/>
      <c r="AB24" s="1">
        <v>0</v>
      </c>
      <c r="AC24" s="1">
        <v>1</v>
      </c>
      <c r="AD24" s="1">
        <v>60</v>
      </c>
      <c r="AE24" s="1" t="s">
        <v>417</v>
      </c>
      <c r="AF24" s="1"/>
      <c r="AG24" s="1"/>
      <c r="AH24" s="1">
        <v>2.5</v>
      </c>
      <c r="AI24" s="1">
        <v>0.6</v>
      </c>
      <c r="AJ24" s="1"/>
      <c r="AK24" s="1"/>
      <c r="AL24" s="1">
        <v>0</v>
      </c>
    </row>
    <row r="25" spans="1:38" x14ac:dyDescent="0.25">
      <c r="A25" s="207" t="s">
        <v>201</v>
      </c>
      <c r="B25" s="1">
        <v>1</v>
      </c>
      <c r="C25" s="1" t="s">
        <v>418</v>
      </c>
      <c r="D25" s="13">
        <v>38946</v>
      </c>
      <c r="E25" s="1">
        <f t="shared" si="0"/>
        <v>2421</v>
      </c>
      <c r="F25" s="1"/>
      <c r="G25" s="13">
        <v>41359</v>
      </c>
      <c r="H25" s="13">
        <f t="shared" si="14"/>
        <v>41260</v>
      </c>
      <c r="I25" s="13">
        <v>41367</v>
      </c>
      <c r="J25" s="13"/>
      <c r="K25" s="1">
        <f t="shared" si="1"/>
        <v>2413</v>
      </c>
      <c r="L25" s="1">
        <f t="shared" si="2"/>
        <v>99</v>
      </c>
      <c r="M25" s="1">
        <f t="shared" si="3"/>
        <v>8</v>
      </c>
      <c r="N25" s="1" t="s">
        <v>417</v>
      </c>
      <c r="O25" s="1">
        <v>5.04</v>
      </c>
      <c r="P25" s="1"/>
      <c r="Q25" s="1"/>
      <c r="R25" s="1"/>
      <c r="S25" s="1"/>
      <c r="T25" s="1" t="s">
        <v>442</v>
      </c>
      <c r="U25" s="1"/>
      <c r="V25" s="1"/>
      <c r="W25" s="1"/>
      <c r="X25" s="1"/>
      <c r="Y25" s="1"/>
      <c r="Z25" s="1">
        <v>47</v>
      </c>
      <c r="AA25" s="1"/>
      <c r="AB25" s="1">
        <v>0</v>
      </c>
      <c r="AC25" s="1">
        <v>1</v>
      </c>
      <c r="AD25" s="1">
        <v>60</v>
      </c>
      <c r="AE25" s="1" t="s">
        <v>417</v>
      </c>
      <c r="AF25" s="1"/>
      <c r="AG25" s="1"/>
      <c r="AH25" s="1">
        <v>2.5</v>
      </c>
      <c r="AI25" s="1">
        <v>0.6</v>
      </c>
      <c r="AJ25" s="1"/>
      <c r="AK25" s="1"/>
      <c r="AL25" s="1">
        <v>0</v>
      </c>
    </row>
    <row r="26" spans="1:38" x14ac:dyDescent="0.25">
      <c r="A26" s="207" t="s">
        <v>201</v>
      </c>
      <c r="B26" s="1">
        <v>1</v>
      </c>
      <c r="C26" s="1" t="s">
        <v>418</v>
      </c>
      <c r="D26" s="13">
        <v>38946</v>
      </c>
      <c r="E26" s="1">
        <f t="shared" si="0"/>
        <v>2421</v>
      </c>
      <c r="F26" s="1"/>
      <c r="G26" s="13">
        <v>41367</v>
      </c>
      <c r="H26" s="13">
        <f t="shared" si="14"/>
        <v>41359</v>
      </c>
      <c r="I26" s="13">
        <v>41367</v>
      </c>
      <c r="J26" s="13"/>
      <c r="K26" s="1">
        <f t="shared" si="1"/>
        <v>2421</v>
      </c>
      <c r="L26" s="1">
        <f t="shared" si="2"/>
        <v>8</v>
      </c>
      <c r="M26" s="1">
        <f t="shared" si="3"/>
        <v>0</v>
      </c>
      <c r="N26" s="1" t="s">
        <v>417</v>
      </c>
      <c r="O26" s="1">
        <v>5.04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>
        <v>60</v>
      </c>
      <c r="AA26" s="1"/>
      <c r="AB26" s="1">
        <v>0</v>
      </c>
      <c r="AC26" s="1">
        <v>1</v>
      </c>
      <c r="AD26" s="1">
        <v>60</v>
      </c>
      <c r="AE26" s="1" t="s">
        <v>417</v>
      </c>
      <c r="AF26" s="1"/>
      <c r="AG26" s="1"/>
      <c r="AH26" s="1">
        <v>2.5</v>
      </c>
      <c r="AI26" s="1">
        <v>0.6</v>
      </c>
      <c r="AJ26" s="1"/>
      <c r="AK26" s="1"/>
      <c r="AL26" s="1">
        <v>0</v>
      </c>
    </row>
    <row r="27" spans="1:38" x14ac:dyDescent="0.25">
      <c r="A27" s="208" t="s">
        <v>209</v>
      </c>
      <c r="B27" s="1">
        <v>1</v>
      </c>
      <c r="C27" s="1" t="s">
        <v>418</v>
      </c>
      <c r="D27" s="13">
        <v>38687</v>
      </c>
      <c r="E27" s="1">
        <f t="shared" si="0"/>
        <v>3414</v>
      </c>
      <c r="F27" s="1"/>
      <c r="G27" s="13">
        <v>40792</v>
      </c>
      <c r="H27" s="13">
        <v>38687</v>
      </c>
      <c r="I27" s="13">
        <v>42101</v>
      </c>
      <c r="J27" s="13"/>
      <c r="K27" s="1">
        <f t="shared" si="1"/>
        <v>2105</v>
      </c>
      <c r="L27" s="1">
        <f t="shared" si="2"/>
        <v>2105</v>
      </c>
      <c r="M27" s="1">
        <f t="shared" si="3"/>
        <v>1309</v>
      </c>
      <c r="N27" s="1" t="s">
        <v>417</v>
      </c>
      <c r="O27" s="1">
        <v>5.21</v>
      </c>
      <c r="P27" s="1">
        <f t="shared" si="9"/>
        <v>1</v>
      </c>
      <c r="Q27" s="1">
        <f t="shared" si="10"/>
        <v>1</v>
      </c>
      <c r="R27" s="1">
        <f t="shared" si="11"/>
        <v>1</v>
      </c>
      <c r="S27" s="1">
        <f t="shared" si="12"/>
        <v>1</v>
      </c>
      <c r="T27" s="1" t="s">
        <v>437</v>
      </c>
      <c r="Y27" s="1"/>
      <c r="Z27" s="1">
        <v>0</v>
      </c>
      <c r="AA27" s="1"/>
      <c r="AB27" s="1">
        <v>0</v>
      </c>
      <c r="AC27" s="1">
        <v>2</v>
      </c>
      <c r="AD27" s="1">
        <v>30</v>
      </c>
      <c r="AF27" s="1"/>
      <c r="AG27" s="1"/>
      <c r="AH27" s="1">
        <v>2</v>
      </c>
      <c r="AI27" s="1">
        <v>0.35</v>
      </c>
      <c r="AJ27" s="1"/>
      <c r="AK27" s="1"/>
      <c r="AL27" s="1">
        <v>0</v>
      </c>
    </row>
    <row r="28" spans="1:38" x14ac:dyDescent="0.25">
      <c r="A28" s="208" t="s">
        <v>209</v>
      </c>
      <c r="B28" s="1">
        <v>1</v>
      </c>
      <c r="C28" s="1" t="s">
        <v>418</v>
      </c>
      <c r="D28" s="13">
        <v>38687</v>
      </c>
      <c r="E28" s="1">
        <f t="shared" si="0"/>
        <v>3414</v>
      </c>
      <c r="F28" s="1"/>
      <c r="G28" s="13">
        <v>40877</v>
      </c>
      <c r="H28" s="13">
        <f>G27</f>
        <v>40792</v>
      </c>
      <c r="I28" s="13">
        <v>42101</v>
      </c>
      <c r="J28" s="13"/>
      <c r="K28" s="1">
        <f t="shared" si="1"/>
        <v>2190</v>
      </c>
      <c r="L28" s="1">
        <f t="shared" si="2"/>
        <v>85</v>
      </c>
      <c r="M28" s="1">
        <f t="shared" si="3"/>
        <v>1224</v>
      </c>
      <c r="N28" s="1" t="s">
        <v>417</v>
      </c>
      <c r="O28" s="1">
        <v>5.18</v>
      </c>
      <c r="P28" s="1">
        <f t="shared" si="9"/>
        <v>1</v>
      </c>
      <c r="Q28" s="1">
        <f t="shared" si="10"/>
        <v>1</v>
      </c>
      <c r="R28" s="1">
        <f t="shared" si="11"/>
        <v>1</v>
      </c>
      <c r="S28" s="1">
        <f t="shared" si="12"/>
        <v>1</v>
      </c>
      <c r="T28" s="1" t="s">
        <v>437</v>
      </c>
      <c r="Y28" s="1"/>
      <c r="Z28" s="1">
        <v>0</v>
      </c>
      <c r="AA28" s="1"/>
      <c r="AB28" s="1">
        <v>0</v>
      </c>
      <c r="AC28" s="1">
        <v>0</v>
      </c>
      <c r="AD28" s="1">
        <v>30</v>
      </c>
      <c r="AF28" s="1"/>
      <c r="AG28" s="1"/>
      <c r="AH28" s="1">
        <v>2</v>
      </c>
      <c r="AI28" s="1">
        <v>0.35</v>
      </c>
      <c r="AJ28" s="1"/>
      <c r="AK28" s="1"/>
      <c r="AL28" s="1">
        <v>0</v>
      </c>
    </row>
    <row r="29" spans="1:38" x14ac:dyDescent="0.25">
      <c r="A29" s="208" t="s">
        <v>209</v>
      </c>
      <c r="B29" s="1">
        <v>1</v>
      </c>
      <c r="C29" s="1" t="s">
        <v>418</v>
      </c>
      <c r="D29" s="13">
        <v>38687</v>
      </c>
      <c r="E29" s="1">
        <f t="shared" si="0"/>
        <v>3414</v>
      </c>
      <c r="F29" s="1"/>
      <c r="G29" s="13">
        <v>40974</v>
      </c>
      <c r="H29" s="13">
        <f t="shared" ref="H29:H38" si="15">G28</f>
        <v>40877</v>
      </c>
      <c r="I29" s="13">
        <v>42101</v>
      </c>
      <c r="J29" s="13"/>
      <c r="K29" s="1">
        <f t="shared" si="1"/>
        <v>2287</v>
      </c>
      <c r="L29" s="1">
        <f t="shared" si="2"/>
        <v>97</v>
      </c>
      <c r="M29" s="1">
        <f t="shared" si="3"/>
        <v>1127</v>
      </c>
      <c r="N29" s="1" t="s">
        <v>417</v>
      </c>
      <c r="O29" s="1">
        <v>5.16</v>
      </c>
      <c r="P29" s="1">
        <f t="shared" si="9"/>
        <v>1</v>
      </c>
      <c r="Q29" s="1">
        <f t="shared" si="10"/>
        <v>1</v>
      </c>
      <c r="R29" s="1">
        <f t="shared" si="11"/>
        <v>1</v>
      </c>
      <c r="S29" s="1">
        <f t="shared" si="12"/>
        <v>1</v>
      </c>
      <c r="T29" s="1" t="s">
        <v>437</v>
      </c>
      <c r="Y29" s="1"/>
      <c r="Z29" s="1">
        <v>0</v>
      </c>
      <c r="AA29" s="1"/>
      <c r="AB29" s="1">
        <v>0</v>
      </c>
      <c r="AC29" s="1">
        <v>0</v>
      </c>
      <c r="AD29" s="1">
        <v>30</v>
      </c>
      <c r="AF29" s="1"/>
      <c r="AG29" s="1"/>
      <c r="AH29" s="1">
        <v>2</v>
      </c>
      <c r="AI29" s="1">
        <v>0.35</v>
      </c>
      <c r="AJ29" s="1"/>
      <c r="AK29" s="1"/>
      <c r="AL29" s="1">
        <v>0</v>
      </c>
    </row>
    <row r="30" spans="1:38" x14ac:dyDescent="0.25">
      <c r="A30" s="208" t="s">
        <v>209</v>
      </c>
      <c r="B30" s="1">
        <v>1</v>
      </c>
      <c r="C30" s="1" t="s">
        <v>418</v>
      </c>
      <c r="D30" s="13">
        <v>38687</v>
      </c>
      <c r="E30" s="1">
        <f t="shared" si="0"/>
        <v>3414</v>
      </c>
      <c r="F30" s="1"/>
      <c r="G30" s="13">
        <v>41170</v>
      </c>
      <c r="H30" s="13">
        <f t="shared" si="15"/>
        <v>40974</v>
      </c>
      <c r="I30" s="13">
        <v>42101</v>
      </c>
      <c r="J30" s="13"/>
      <c r="K30" s="1">
        <f t="shared" si="1"/>
        <v>2483</v>
      </c>
      <c r="L30" s="1">
        <f t="shared" si="2"/>
        <v>196</v>
      </c>
      <c r="M30" s="1">
        <f t="shared" si="3"/>
        <v>931</v>
      </c>
      <c r="N30" s="1" t="s">
        <v>417</v>
      </c>
      <c r="O30" s="1">
        <v>5.15</v>
      </c>
      <c r="P30" s="1">
        <f t="shared" si="9"/>
        <v>1</v>
      </c>
      <c r="Q30" s="1">
        <f t="shared" si="10"/>
        <v>1</v>
      </c>
      <c r="R30" s="1">
        <f t="shared" si="11"/>
        <v>1</v>
      </c>
      <c r="S30" s="1">
        <f t="shared" si="12"/>
        <v>1</v>
      </c>
      <c r="T30" s="1" t="s">
        <v>437</v>
      </c>
      <c r="Y30" s="1"/>
      <c r="Z30" s="1">
        <v>0</v>
      </c>
      <c r="AA30" s="1"/>
      <c r="AB30" s="1">
        <v>0</v>
      </c>
      <c r="AC30" s="1">
        <v>0</v>
      </c>
      <c r="AD30" s="1">
        <v>30</v>
      </c>
      <c r="AF30" s="1"/>
      <c r="AG30" s="1"/>
      <c r="AH30" s="1">
        <v>2</v>
      </c>
      <c r="AI30" s="1">
        <v>0.35</v>
      </c>
      <c r="AJ30" s="1"/>
      <c r="AK30" s="1"/>
      <c r="AL30" s="1">
        <v>0</v>
      </c>
    </row>
    <row r="31" spans="1:38" x14ac:dyDescent="0.25">
      <c r="A31" s="208" t="s">
        <v>209</v>
      </c>
      <c r="B31" s="1">
        <v>1</v>
      </c>
      <c r="C31" s="1" t="s">
        <v>418</v>
      </c>
      <c r="D31" s="13">
        <v>38687</v>
      </c>
      <c r="E31" s="1">
        <f t="shared" si="0"/>
        <v>3414</v>
      </c>
      <c r="F31" s="1"/>
      <c r="G31" s="13">
        <v>41373</v>
      </c>
      <c r="H31" s="13">
        <f t="shared" si="15"/>
        <v>41170</v>
      </c>
      <c r="I31" s="13">
        <v>42101</v>
      </c>
      <c r="J31" s="13"/>
      <c r="K31" s="1">
        <f t="shared" si="1"/>
        <v>2686</v>
      </c>
      <c r="L31" s="1">
        <f t="shared" si="2"/>
        <v>203</v>
      </c>
      <c r="M31" s="1">
        <f t="shared" si="3"/>
        <v>728</v>
      </c>
      <c r="N31" s="1" t="s">
        <v>417</v>
      </c>
      <c r="O31" s="1">
        <v>5.14</v>
      </c>
      <c r="P31" s="1">
        <f t="shared" si="9"/>
        <v>1</v>
      </c>
      <c r="Q31" s="1">
        <f t="shared" si="10"/>
        <v>1</v>
      </c>
      <c r="R31" s="1">
        <f t="shared" si="11"/>
        <v>1</v>
      </c>
      <c r="S31" s="1">
        <f t="shared" si="12"/>
        <v>1</v>
      </c>
      <c r="T31" s="1" t="s">
        <v>437</v>
      </c>
      <c r="Y31" s="1"/>
      <c r="Z31" s="1">
        <v>0</v>
      </c>
      <c r="AA31" s="1"/>
      <c r="AB31" s="1">
        <v>0</v>
      </c>
      <c r="AC31" s="1">
        <v>0</v>
      </c>
      <c r="AD31" s="1">
        <v>30</v>
      </c>
      <c r="AF31" s="1"/>
      <c r="AG31" s="1"/>
      <c r="AH31" s="1">
        <v>2</v>
      </c>
      <c r="AI31" s="1">
        <v>0.35</v>
      </c>
      <c r="AJ31" s="1"/>
      <c r="AK31" s="1"/>
      <c r="AL31" s="1">
        <v>0</v>
      </c>
    </row>
    <row r="32" spans="1:38" x14ac:dyDescent="0.25">
      <c r="A32" s="208" t="s">
        <v>209</v>
      </c>
      <c r="B32" s="1">
        <v>1</v>
      </c>
      <c r="C32" s="1" t="s">
        <v>418</v>
      </c>
      <c r="D32" s="13">
        <v>38687</v>
      </c>
      <c r="E32" s="1">
        <f t="shared" si="0"/>
        <v>3414</v>
      </c>
      <c r="F32" s="1"/>
      <c r="G32" s="13">
        <v>41478</v>
      </c>
      <c r="H32" s="13">
        <f t="shared" si="15"/>
        <v>41373</v>
      </c>
      <c r="I32" s="13">
        <v>42101</v>
      </c>
      <c r="J32" s="13"/>
      <c r="K32" s="1">
        <f t="shared" si="1"/>
        <v>2791</v>
      </c>
      <c r="L32" s="1">
        <f t="shared" si="2"/>
        <v>105</v>
      </c>
      <c r="M32" s="1">
        <f t="shared" si="3"/>
        <v>623</v>
      </c>
      <c r="N32" s="1" t="s">
        <v>417</v>
      </c>
      <c r="O32" s="1">
        <v>5.14</v>
      </c>
      <c r="P32" s="1">
        <f t="shared" si="9"/>
        <v>1</v>
      </c>
      <c r="Q32" s="1">
        <f t="shared" si="10"/>
        <v>1</v>
      </c>
      <c r="R32" s="1">
        <f t="shared" si="11"/>
        <v>1</v>
      </c>
      <c r="S32" s="1">
        <f t="shared" si="12"/>
        <v>1</v>
      </c>
      <c r="T32" s="1" t="s">
        <v>437</v>
      </c>
      <c r="Y32" s="1"/>
      <c r="Z32" s="1">
        <v>0</v>
      </c>
      <c r="AA32" s="1"/>
      <c r="AB32" s="1">
        <v>0</v>
      </c>
      <c r="AC32" s="1">
        <v>0</v>
      </c>
      <c r="AD32" s="1">
        <v>30</v>
      </c>
      <c r="AF32" s="1"/>
      <c r="AG32" s="1"/>
      <c r="AH32" s="1">
        <v>2</v>
      </c>
      <c r="AI32" s="1">
        <v>0.35</v>
      </c>
      <c r="AJ32" s="1"/>
      <c r="AK32" s="1"/>
      <c r="AL32" s="1">
        <v>0</v>
      </c>
    </row>
    <row r="33" spans="1:38" x14ac:dyDescent="0.25">
      <c r="A33" s="208" t="s">
        <v>209</v>
      </c>
      <c r="B33" s="1">
        <v>1</v>
      </c>
      <c r="C33" s="1" t="s">
        <v>418</v>
      </c>
      <c r="D33" s="13">
        <v>38687</v>
      </c>
      <c r="E33" s="1">
        <f t="shared" si="0"/>
        <v>3414</v>
      </c>
      <c r="F33" s="1"/>
      <c r="G33" s="13">
        <v>41624</v>
      </c>
      <c r="H33" s="13">
        <f t="shared" si="15"/>
        <v>41478</v>
      </c>
      <c r="I33" s="13">
        <v>42101</v>
      </c>
      <c r="J33" s="13"/>
      <c r="K33" s="1">
        <f t="shared" si="1"/>
        <v>2937</v>
      </c>
      <c r="L33" s="1">
        <f t="shared" si="2"/>
        <v>146</v>
      </c>
      <c r="M33" s="1">
        <f t="shared" si="3"/>
        <v>477</v>
      </c>
      <c r="N33" s="1" t="s">
        <v>417</v>
      </c>
      <c r="O33" s="1">
        <v>5.1100000000000003</v>
      </c>
      <c r="P33" s="1"/>
      <c r="Q33" s="1">
        <f t="shared" si="10"/>
        <v>1</v>
      </c>
      <c r="R33" s="1">
        <f t="shared" si="11"/>
        <v>1</v>
      </c>
      <c r="S33" s="1">
        <f t="shared" si="12"/>
        <v>1</v>
      </c>
      <c r="T33" s="1" t="s">
        <v>442</v>
      </c>
      <c r="Y33" s="1"/>
      <c r="Z33" s="1">
        <v>0</v>
      </c>
      <c r="AA33" s="1"/>
      <c r="AB33" s="1">
        <v>0</v>
      </c>
      <c r="AC33" s="1">
        <v>0</v>
      </c>
      <c r="AD33" s="1">
        <v>30</v>
      </c>
      <c r="AF33" s="1"/>
      <c r="AG33" s="1"/>
      <c r="AH33" s="1">
        <v>2</v>
      </c>
      <c r="AI33" s="1">
        <v>0.35</v>
      </c>
      <c r="AJ33" s="1"/>
      <c r="AK33" s="1"/>
      <c r="AL33" s="1">
        <v>0</v>
      </c>
    </row>
    <row r="34" spans="1:38" x14ac:dyDescent="0.25">
      <c r="A34" s="208" t="s">
        <v>209</v>
      </c>
      <c r="B34" s="1">
        <v>1</v>
      </c>
      <c r="C34" s="1" t="s">
        <v>418</v>
      </c>
      <c r="D34" s="13">
        <v>38687</v>
      </c>
      <c r="E34" s="1">
        <f t="shared" si="0"/>
        <v>3414</v>
      </c>
      <c r="F34" s="1"/>
      <c r="G34" s="13">
        <v>41736</v>
      </c>
      <c r="H34" s="13">
        <f t="shared" si="15"/>
        <v>41624</v>
      </c>
      <c r="I34" s="13">
        <v>42101</v>
      </c>
      <c r="J34" s="13"/>
      <c r="K34" s="1">
        <f t="shared" si="1"/>
        <v>3049</v>
      </c>
      <c r="L34" s="1">
        <f t="shared" si="2"/>
        <v>112</v>
      </c>
      <c r="M34" s="1">
        <f t="shared" si="3"/>
        <v>365</v>
      </c>
      <c r="N34" s="1" t="s">
        <v>417</v>
      </c>
      <c r="O34" s="1">
        <v>5.05</v>
      </c>
      <c r="P34" s="1"/>
      <c r="Q34" s="1">
        <f t="shared" si="10"/>
        <v>1</v>
      </c>
      <c r="R34" s="1">
        <f t="shared" si="11"/>
        <v>1</v>
      </c>
      <c r="S34" s="1">
        <f t="shared" si="12"/>
        <v>1</v>
      </c>
      <c r="T34" s="1" t="s">
        <v>442</v>
      </c>
      <c r="Y34" s="1"/>
      <c r="Z34" s="1">
        <v>0</v>
      </c>
      <c r="AA34" s="1"/>
      <c r="AB34" s="1">
        <v>0</v>
      </c>
      <c r="AC34" s="1">
        <v>0</v>
      </c>
      <c r="AD34" s="1">
        <v>30</v>
      </c>
      <c r="AF34" s="1"/>
      <c r="AG34" s="1"/>
      <c r="AH34" s="1">
        <v>2</v>
      </c>
      <c r="AI34" s="1">
        <v>0.35</v>
      </c>
      <c r="AJ34" s="1"/>
      <c r="AK34" s="1"/>
      <c r="AL34" s="1">
        <v>0</v>
      </c>
    </row>
    <row r="35" spans="1:38" x14ac:dyDescent="0.25">
      <c r="A35" s="208" t="s">
        <v>209</v>
      </c>
      <c r="B35" s="1">
        <v>1</v>
      </c>
      <c r="C35" s="1" t="s">
        <v>418</v>
      </c>
      <c r="D35" s="13">
        <v>38687</v>
      </c>
      <c r="E35" s="1">
        <f t="shared" si="0"/>
        <v>3414</v>
      </c>
      <c r="F35" s="1"/>
      <c r="G35" s="13">
        <v>41803</v>
      </c>
      <c r="H35" s="13">
        <f t="shared" si="15"/>
        <v>41736</v>
      </c>
      <c r="I35" s="13">
        <v>42101</v>
      </c>
      <c r="J35" s="13"/>
      <c r="K35" s="1">
        <f t="shared" si="1"/>
        <v>3116</v>
      </c>
      <c r="L35" s="1">
        <f t="shared" si="2"/>
        <v>67</v>
      </c>
      <c r="M35" s="1">
        <f t="shared" si="3"/>
        <v>298</v>
      </c>
      <c r="N35" s="1" t="s">
        <v>417</v>
      </c>
      <c r="O35" s="1">
        <v>5</v>
      </c>
      <c r="P35" s="1"/>
      <c r="Q35" s="1"/>
      <c r="R35" s="1">
        <f t="shared" si="11"/>
        <v>1</v>
      </c>
      <c r="S35" s="1">
        <f t="shared" si="12"/>
        <v>1</v>
      </c>
      <c r="T35" s="1" t="s">
        <v>442</v>
      </c>
      <c r="Y35" s="1"/>
      <c r="Z35" s="1">
        <v>0</v>
      </c>
      <c r="AA35" s="1"/>
      <c r="AB35" s="1">
        <v>0</v>
      </c>
      <c r="AC35" s="1">
        <v>0</v>
      </c>
      <c r="AD35" s="1">
        <v>30</v>
      </c>
      <c r="AF35" s="1"/>
      <c r="AG35" s="1"/>
      <c r="AH35" s="1">
        <v>2</v>
      </c>
      <c r="AI35" s="1">
        <v>0.35</v>
      </c>
      <c r="AJ35" s="1"/>
      <c r="AK35" s="1"/>
      <c r="AL35" s="1">
        <v>0</v>
      </c>
    </row>
    <row r="36" spans="1:38" x14ac:dyDescent="0.25">
      <c r="A36" s="208" t="s">
        <v>209</v>
      </c>
      <c r="B36" s="1">
        <v>1</v>
      </c>
      <c r="C36" s="1" t="s">
        <v>418</v>
      </c>
      <c r="D36" s="13">
        <v>38687</v>
      </c>
      <c r="E36" s="1">
        <f t="shared" si="0"/>
        <v>3414</v>
      </c>
      <c r="F36" s="1"/>
      <c r="G36" s="13">
        <v>41870</v>
      </c>
      <c r="H36" s="13">
        <f t="shared" si="15"/>
        <v>41803</v>
      </c>
      <c r="I36" s="13">
        <v>42101</v>
      </c>
      <c r="J36" s="13"/>
      <c r="K36" s="1">
        <f t="shared" si="1"/>
        <v>3183</v>
      </c>
      <c r="L36" s="1">
        <f t="shared" si="2"/>
        <v>67</v>
      </c>
      <c r="M36" s="1">
        <f t="shared" si="3"/>
        <v>231</v>
      </c>
      <c r="N36" s="1" t="s">
        <v>417</v>
      </c>
      <c r="O36" s="1">
        <v>4.88</v>
      </c>
      <c r="P36" s="1"/>
      <c r="Q36" s="1"/>
      <c r="R36" s="1">
        <f t="shared" si="11"/>
        <v>1</v>
      </c>
      <c r="S36" s="1">
        <f t="shared" si="12"/>
        <v>1</v>
      </c>
      <c r="T36" s="1" t="s">
        <v>442</v>
      </c>
      <c r="Y36" s="1"/>
      <c r="Z36" s="1">
        <v>0</v>
      </c>
      <c r="AA36" s="1"/>
      <c r="AB36" s="1">
        <v>0</v>
      </c>
      <c r="AC36" s="1">
        <v>0</v>
      </c>
      <c r="AD36" s="1">
        <v>30</v>
      </c>
      <c r="AF36" s="1"/>
      <c r="AG36" s="1"/>
      <c r="AH36" s="1">
        <v>2</v>
      </c>
      <c r="AI36" s="1">
        <v>0.35</v>
      </c>
      <c r="AJ36" s="1"/>
      <c r="AK36" s="1"/>
      <c r="AL36" s="1">
        <v>0</v>
      </c>
    </row>
    <row r="37" spans="1:38" x14ac:dyDescent="0.25">
      <c r="A37" s="208" t="s">
        <v>209</v>
      </c>
      <c r="B37" s="1">
        <v>1</v>
      </c>
      <c r="C37" s="1" t="s">
        <v>418</v>
      </c>
      <c r="D37" s="13">
        <v>38687</v>
      </c>
      <c r="E37" s="1">
        <f t="shared" si="0"/>
        <v>3414</v>
      </c>
      <c r="F37" s="1"/>
      <c r="G37" s="13">
        <v>41968</v>
      </c>
      <c r="H37" s="13">
        <f t="shared" si="15"/>
        <v>41870</v>
      </c>
      <c r="I37" s="13">
        <v>42101</v>
      </c>
      <c r="J37" s="13"/>
      <c r="K37" s="1">
        <f t="shared" si="1"/>
        <v>3281</v>
      </c>
      <c r="L37" s="1">
        <f t="shared" si="2"/>
        <v>98</v>
      </c>
      <c r="M37" s="1">
        <f t="shared" si="3"/>
        <v>133</v>
      </c>
      <c r="N37" s="1" t="s">
        <v>434</v>
      </c>
      <c r="O37" s="1">
        <v>4.6900000000000004</v>
      </c>
      <c r="P37" s="1"/>
      <c r="Q37" s="1"/>
      <c r="R37" s="1"/>
      <c r="S37" s="1">
        <f t="shared" si="12"/>
        <v>1</v>
      </c>
      <c r="T37" s="1" t="s">
        <v>442</v>
      </c>
      <c r="U37">
        <v>0</v>
      </c>
      <c r="V37">
        <v>0</v>
      </c>
      <c r="W37">
        <v>0</v>
      </c>
      <c r="X37">
        <v>1</v>
      </c>
      <c r="Y37" s="1"/>
      <c r="Z37" s="1">
        <v>0</v>
      </c>
      <c r="AA37" s="1"/>
      <c r="AB37" s="1">
        <v>0</v>
      </c>
      <c r="AC37" s="1">
        <v>1</v>
      </c>
      <c r="AD37" s="1">
        <v>30</v>
      </c>
      <c r="AF37" s="1"/>
      <c r="AG37" s="1"/>
      <c r="AH37" s="1">
        <v>2</v>
      </c>
      <c r="AI37" s="1">
        <v>0.35</v>
      </c>
      <c r="AJ37" s="1"/>
      <c r="AK37" s="1"/>
      <c r="AL37" s="1">
        <v>0</v>
      </c>
    </row>
    <row r="38" spans="1:38" x14ac:dyDescent="0.25">
      <c r="A38" s="208" t="s">
        <v>209</v>
      </c>
      <c r="B38" s="1">
        <v>1</v>
      </c>
      <c r="C38" s="1" t="s">
        <v>418</v>
      </c>
      <c r="D38" s="13">
        <v>38687</v>
      </c>
      <c r="E38" s="1">
        <f t="shared" si="0"/>
        <v>3414</v>
      </c>
      <c r="F38" s="1"/>
      <c r="G38" s="13">
        <v>42101</v>
      </c>
      <c r="H38" s="13">
        <f t="shared" si="15"/>
        <v>41968</v>
      </c>
      <c r="I38" s="13">
        <v>42101</v>
      </c>
      <c r="J38" s="13"/>
      <c r="K38" s="1">
        <f t="shared" si="1"/>
        <v>3414</v>
      </c>
      <c r="L38" s="1">
        <f t="shared" si="2"/>
        <v>133</v>
      </c>
      <c r="M38" s="1">
        <f t="shared" si="3"/>
        <v>0</v>
      </c>
      <c r="N38" s="1" t="s">
        <v>434</v>
      </c>
      <c r="O38" s="1">
        <v>4.4800000000000004</v>
      </c>
      <c r="P38" s="1"/>
      <c r="Q38" s="1"/>
      <c r="R38" s="1"/>
      <c r="S38" s="1"/>
      <c r="T38" s="1"/>
      <c r="Y38" s="1"/>
      <c r="Z38" s="1">
        <v>0</v>
      </c>
      <c r="AA38" s="1"/>
      <c r="AB38" s="1">
        <v>0</v>
      </c>
      <c r="AC38" s="1">
        <v>2</v>
      </c>
      <c r="AD38" s="1">
        <v>30</v>
      </c>
      <c r="AF38" s="1"/>
      <c r="AG38" s="1"/>
      <c r="AH38" s="1">
        <v>2</v>
      </c>
      <c r="AI38" s="1">
        <v>0.35</v>
      </c>
      <c r="AJ38" s="1"/>
      <c r="AK38" s="1"/>
      <c r="AL38" s="1">
        <v>0</v>
      </c>
    </row>
    <row r="39" spans="1:38" x14ac:dyDescent="0.25">
      <c r="A39" s="214" t="s">
        <v>238</v>
      </c>
      <c r="B39" s="1">
        <v>1</v>
      </c>
      <c r="C39" s="1" t="s">
        <v>418</v>
      </c>
      <c r="D39" s="13">
        <v>40085</v>
      </c>
      <c r="E39" s="1">
        <f t="shared" si="0"/>
        <v>843</v>
      </c>
      <c r="F39" s="1"/>
      <c r="G39" s="13">
        <v>40148</v>
      </c>
      <c r="H39" s="13">
        <v>40085</v>
      </c>
      <c r="I39" s="13">
        <v>40928</v>
      </c>
      <c r="J39" s="13"/>
      <c r="K39" s="1">
        <f t="shared" si="1"/>
        <v>63</v>
      </c>
      <c r="L39" s="1">
        <f t="shared" si="2"/>
        <v>63</v>
      </c>
      <c r="M39" s="1">
        <f t="shared" si="3"/>
        <v>780</v>
      </c>
      <c r="N39" s="1" t="s">
        <v>417</v>
      </c>
      <c r="O39" s="1">
        <v>6.5</v>
      </c>
      <c r="P39" s="1">
        <f t="shared" ref="P39:P40" si="16">IF(M39&gt;=540,1,"nulo")</f>
        <v>1</v>
      </c>
      <c r="Q39" s="1">
        <f t="shared" ref="Q39:Q40" si="17">IF(M39&gt;=360,1,"nulo")</f>
        <v>1</v>
      </c>
      <c r="R39" s="1">
        <f t="shared" ref="R39:R41" si="18">IF(M39&gt;=180,1,"nulo")</f>
        <v>1</v>
      </c>
      <c r="S39" s="1">
        <f t="shared" ref="S39:S41" si="19">IF(M39&gt;=90,1,"nulo")</f>
        <v>1</v>
      </c>
      <c r="T39" s="1" t="s">
        <v>437</v>
      </c>
      <c r="U39" s="1"/>
      <c r="V39" s="1"/>
      <c r="W39" s="1"/>
      <c r="X39" s="1"/>
      <c r="Y39" s="1"/>
      <c r="Z39" s="1">
        <v>4</v>
      </c>
      <c r="AA39" s="1"/>
      <c r="AB39" s="1">
        <v>0</v>
      </c>
      <c r="AC39" s="1">
        <v>0</v>
      </c>
      <c r="AD39" s="1">
        <v>40</v>
      </c>
      <c r="AE39" s="1" t="s">
        <v>417</v>
      </c>
      <c r="AF39" s="1"/>
      <c r="AG39" s="1"/>
      <c r="AH39" s="1">
        <v>3.5</v>
      </c>
      <c r="AI39" s="1">
        <v>0.35</v>
      </c>
      <c r="AJ39" s="1"/>
      <c r="AK39" s="1"/>
      <c r="AL39" s="1">
        <v>0</v>
      </c>
    </row>
    <row r="40" spans="1:38" x14ac:dyDescent="0.25">
      <c r="A40" s="214" t="s">
        <v>238</v>
      </c>
      <c r="B40" s="1">
        <v>1</v>
      </c>
      <c r="C40" s="1" t="s">
        <v>418</v>
      </c>
      <c r="D40" s="13">
        <v>40085</v>
      </c>
      <c r="E40" s="1">
        <f t="shared" si="0"/>
        <v>843</v>
      </c>
      <c r="F40" s="1"/>
      <c r="G40" s="13">
        <v>40330</v>
      </c>
      <c r="H40" s="13">
        <f>G39</f>
        <v>40148</v>
      </c>
      <c r="I40" s="13">
        <v>40928</v>
      </c>
      <c r="J40" s="13"/>
      <c r="K40" s="1">
        <f t="shared" si="1"/>
        <v>245</v>
      </c>
      <c r="L40" s="1">
        <f t="shared" si="2"/>
        <v>182</v>
      </c>
      <c r="M40" s="1">
        <f t="shared" si="3"/>
        <v>598</v>
      </c>
      <c r="N40" s="1" t="s">
        <v>417</v>
      </c>
      <c r="O40" s="1">
        <v>6.47</v>
      </c>
      <c r="P40" s="1">
        <f t="shared" si="16"/>
        <v>1</v>
      </c>
      <c r="Q40" s="1">
        <f t="shared" si="17"/>
        <v>1</v>
      </c>
      <c r="R40" s="1">
        <f t="shared" si="18"/>
        <v>1</v>
      </c>
      <c r="S40" s="1">
        <f t="shared" si="19"/>
        <v>1</v>
      </c>
      <c r="T40" s="1" t="s">
        <v>437</v>
      </c>
      <c r="U40" s="1"/>
      <c r="V40" s="1"/>
      <c r="W40" s="1"/>
      <c r="X40" s="1"/>
      <c r="Y40" s="1"/>
      <c r="Z40" s="1">
        <v>1</v>
      </c>
      <c r="AA40" s="1"/>
      <c r="AB40" s="1">
        <v>0</v>
      </c>
      <c r="AC40" s="1">
        <v>0</v>
      </c>
      <c r="AD40" s="1">
        <v>40</v>
      </c>
      <c r="AE40" s="1" t="s">
        <v>417</v>
      </c>
      <c r="AF40" s="1"/>
      <c r="AG40" s="1"/>
      <c r="AH40" s="1">
        <v>3.5</v>
      </c>
      <c r="AI40" s="1">
        <v>0.35</v>
      </c>
      <c r="AJ40" s="1"/>
      <c r="AK40" s="1"/>
      <c r="AL40" s="1">
        <v>0</v>
      </c>
    </row>
    <row r="41" spans="1:38" x14ac:dyDescent="0.25">
      <c r="A41" s="214" t="s">
        <v>238</v>
      </c>
      <c r="B41" s="1">
        <v>1</v>
      </c>
      <c r="C41" s="1" t="s">
        <v>418</v>
      </c>
      <c r="D41" s="13">
        <v>40085</v>
      </c>
      <c r="E41" s="1">
        <f t="shared" si="0"/>
        <v>843</v>
      </c>
      <c r="F41" s="1"/>
      <c r="G41" s="13">
        <v>40638</v>
      </c>
      <c r="H41" s="13">
        <f t="shared" ref="H41:H42" si="20">G40</f>
        <v>40330</v>
      </c>
      <c r="I41" s="13">
        <v>40928</v>
      </c>
      <c r="J41" s="13"/>
      <c r="K41" s="1">
        <f t="shared" si="1"/>
        <v>553</v>
      </c>
      <c r="L41" s="1">
        <f t="shared" si="2"/>
        <v>308</v>
      </c>
      <c r="M41" s="1">
        <f t="shared" si="3"/>
        <v>290</v>
      </c>
      <c r="N41" s="1" t="s">
        <v>417</v>
      </c>
      <c r="O41" s="1">
        <v>6.4</v>
      </c>
      <c r="P41" s="1"/>
      <c r="Q41" s="1"/>
      <c r="R41" s="1">
        <f t="shared" si="18"/>
        <v>1</v>
      </c>
      <c r="S41" s="1">
        <f t="shared" si="19"/>
        <v>1</v>
      </c>
      <c r="T41" s="1" t="s">
        <v>442</v>
      </c>
      <c r="U41" s="1"/>
      <c r="V41" s="1"/>
      <c r="W41" s="1"/>
      <c r="X41" s="1"/>
      <c r="Y41" s="1"/>
      <c r="Z41" s="1">
        <v>0</v>
      </c>
      <c r="AA41" s="1"/>
      <c r="AB41" s="1">
        <v>0</v>
      </c>
      <c r="AC41" s="1">
        <v>0</v>
      </c>
      <c r="AD41" s="1">
        <v>40</v>
      </c>
      <c r="AE41" s="1" t="s">
        <v>417</v>
      </c>
      <c r="AF41" s="1"/>
      <c r="AG41" s="1"/>
      <c r="AH41" s="1">
        <v>3.5</v>
      </c>
      <c r="AI41" s="1">
        <v>0.35</v>
      </c>
      <c r="AJ41" s="1"/>
      <c r="AK41" s="1"/>
      <c r="AL41" s="1">
        <v>0</v>
      </c>
    </row>
    <row r="42" spans="1:38" x14ac:dyDescent="0.25">
      <c r="A42" s="214" t="s">
        <v>238</v>
      </c>
      <c r="B42" s="1">
        <v>1</v>
      </c>
      <c r="C42" s="1" t="s">
        <v>418</v>
      </c>
      <c r="D42" s="13">
        <v>40085</v>
      </c>
      <c r="E42" s="1">
        <f t="shared" si="0"/>
        <v>843</v>
      </c>
      <c r="F42" s="1"/>
      <c r="G42" s="13">
        <v>40928</v>
      </c>
      <c r="H42" s="13">
        <f t="shared" si="20"/>
        <v>40638</v>
      </c>
      <c r="I42" s="13">
        <v>40928</v>
      </c>
      <c r="J42" s="13"/>
      <c r="K42" s="1">
        <f t="shared" si="1"/>
        <v>843</v>
      </c>
      <c r="L42" s="1">
        <f t="shared" si="2"/>
        <v>290</v>
      </c>
      <c r="M42" s="1">
        <f t="shared" si="3"/>
        <v>0</v>
      </c>
      <c r="N42" s="1" t="s">
        <v>417</v>
      </c>
      <c r="O42" s="1">
        <v>6.36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>
        <v>0</v>
      </c>
      <c r="AA42" s="1"/>
      <c r="AB42" s="1">
        <v>0</v>
      </c>
      <c r="AC42" s="1">
        <v>0</v>
      </c>
      <c r="AD42" s="1">
        <v>40</v>
      </c>
      <c r="AE42" s="1" t="s">
        <v>417</v>
      </c>
      <c r="AF42" s="1"/>
      <c r="AG42" s="1"/>
      <c r="AH42" s="1">
        <v>3.5</v>
      </c>
      <c r="AI42" s="1">
        <v>0.35</v>
      </c>
      <c r="AJ42" s="1"/>
      <c r="AK42" s="1"/>
      <c r="AL42" s="1">
        <v>0</v>
      </c>
    </row>
    <row r="43" spans="1:38" x14ac:dyDescent="0.25">
      <c r="A43" s="210" t="s">
        <v>248</v>
      </c>
      <c r="B43" s="216">
        <v>1</v>
      </c>
      <c r="C43" s="1" t="s">
        <v>418</v>
      </c>
      <c r="D43" s="13">
        <v>40133</v>
      </c>
      <c r="E43" s="1">
        <f t="shared" ref="E43:E62" si="21">I43-D43</f>
        <v>2003</v>
      </c>
      <c r="F43" s="1"/>
      <c r="G43" s="13">
        <v>40337</v>
      </c>
      <c r="H43" s="13">
        <v>40133</v>
      </c>
      <c r="I43" s="13">
        <v>42136</v>
      </c>
      <c r="J43" s="13"/>
      <c r="K43" s="1">
        <f t="shared" ref="K43:K65" si="22">G43-D43</f>
        <v>204</v>
      </c>
      <c r="L43" s="1">
        <f t="shared" ref="L43:L65" si="23">G43-H43</f>
        <v>204</v>
      </c>
      <c r="M43" s="1">
        <f t="shared" ref="M43:M65" si="24">I43-G43</f>
        <v>1799</v>
      </c>
      <c r="N43" s="1" t="s">
        <v>417</v>
      </c>
      <c r="O43" s="1">
        <v>6.43</v>
      </c>
      <c r="P43" s="1">
        <f t="shared" ref="P43:P47" si="25">IF(M43&gt;=540,1,"nulo")</f>
        <v>1</v>
      </c>
      <c r="Q43" s="1">
        <f t="shared" ref="Q43:Q48" si="26">IF(M43&gt;=360,1,"nulo")</f>
        <v>1</v>
      </c>
      <c r="R43" s="1">
        <f t="shared" ref="R43:R49" si="27">IF(M43&gt;=180,1,"nulo")</f>
        <v>1</v>
      </c>
      <c r="S43" s="1">
        <f t="shared" ref="S43:S49" si="28">IF(M43&gt;=90,1,"nulo")</f>
        <v>1</v>
      </c>
      <c r="T43" s="1" t="s">
        <v>437</v>
      </c>
      <c r="U43" s="1"/>
      <c r="V43" s="1"/>
      <c r="W43" s="1"/>
      <c r="X43" s="1"/>
      <c r="Y43" s="1"/>
      <c r="Z43" s="1">
        <v>87</v>
      </c>
      <c r="AA43" s="1"/>
      <c r="AB43" s="1">
        <v>0</v>
      </c>
      <c r="AC43" s="1">
        <v>0</v>
      </c>
      <c r="AD43" s="1">
        <v>70</v>
      </c>
      <c r="AE43" s="1" t="s">
        <v>434</v>
      </c>
      <c r="AF43" s="1"/>
      <c r="AG43" s="1"/>
      <c r="AH43" s="1">
        <v>2.5</v>
      </c>
      <c r="AI43" s="1">
        <v>0.5</v>
      </c>
      <c r="AJ43" s="1"/>
      <c r="AK43" s="1"/>
      <c r="AL43" s="1">
        <v>0</v>
      </c>
    </row>
    <row r="44" spans="1:38" x14ac:dyDescent="0.25">
      <c r="A44" s="210" t="s">
        <v>248</v>
      </c>
      <c r="B44" s="216">
        <v>1</v>
      </c>
      <c r="C44" s="1" t="s">
        <v>418</v>
      </c>
      <c r="D44" s="13">
        <v>40133</v>
      </c>
      <c r="E44" s="1">
        <f t="shared" si="21"/>
        <v>2003</v>
      </c>
      <c r="F44" s="1"/>
      <c r="G44" s="13">
        <v>40701</v>
      </c>
      <c r="H44" s="13">
        <f>G43</f>
        <v>40337</v>
      </c>
      <c r="I44" s="13">
        <v>42136</v>
      </c>
      <c r="J44" s="13"/>
      <c r="K44" s="1">
        <f t="shared" si="22"/>
        <v>568</v>
      </c>
      <c r="L44" s="1">
        <f t="shared" si="23"/>
        <v>364</v>
      </c>
      <c r="M44" s="1">
        <f t="shared" si="24"/>
        <v>1435</v>
      </c>
      <c r="N44" s="1" t="s">
        <v>417</v>
      </c>
      <c r="O44" s="1">
        <v>6.34</v>
      </c>
      <c r="P44" s="1">
        <f t="shared" si="25"/>
        <v>1</v>
      </c>
      <c r="Q44" s="1">
        <f t="shared" si="26"/>
        <v>1</v>
      </c>
      <c r="R44" s="1">
        <f t="shared" si="27"/>
        <v>1</v>
      </c>
      <c r="S44" s="1">
        <f t="shared" si="28"/>
        <v>1</v>
      </c>
      <c r="T44" s="1" t="s">
        <v>437</v>
      </c>
      <c r="U44" s="1"/>
      <c r="V44" s="1"/>
      <c r="W44" s="1"/>
      <c r="X44" s="1"/>
      <c r="Y44" s="1"/>
      <c r="Z44" s="1">
        <v>90</v>
      </c>
      <c r="AA44" s="1"/>
      <c r="AB44" s="1">
        <v>0</v>
      </c>
      <c r="AC44" s="1">
        <v>0</v>
      </c>
      <c r="AD44" s="1">
        <v>70</v>
      </c>
      <c r="AE44" s="1" t="s">
        <v>434</v>
      </c>
      <c r="AF44" s="1"/>
      <c r="AG44" s="1"/>
      <c r="AH44" s="1">
        <v>2.5</v>
      </c>
      <c r="AI44" s="1">
        <v>0.5</v>
      </c>
      <c r="AJ44" s="1"/>
      <c r="AK44" s="1"/>
      <c r="AL44" s="1">
        <v>0</v>
      </c>
    </row>
    <row r="45" spans="1:38" x14ac:dyDescent="0.25">
      <c r="A45" s="210" t="s">
        <v>248</v>
      </c>
      <c r="B45" s="216">
        <v>1</v>
      </c>
      <c r="C45" s="1" t="s">
        <v>418</v>
      </c>
      <c r="D45" s="13">
        <v>40133</v>
      </c>
      <c r="E45" s="1">
        <f t="shared" si="21"/>
        <v>2003</v>
      </c>
      <c r="F45" s="1"/>
      <c r="G45" s="13">
        <v>40925</v>
      </c>
      <c r="H45" s="13">
        <f t="shared" ref="H45:H50" si="29">G44</f>
        <v>40701</v>
      </c>
      <c r="I45" s="13">
        <v>42136</v>
      </c>
      <c r="J45" s="13"/>
      <c r="K45" s="1">
        <f t="shared" si="22"/>
        <v>792</v>
      </c>
      <c r="L45" s="1">
        <f t="shared" si="23"/>
        <v>224</v>
      </c>
      <c r="M45" s="1">
        <f t="shared" si="24"/>
        <v>1211</v>
      </c>
      <c r="N45" s="1" t="s">
        <v>417</v>
      </c>
      <c r="O45" s="1">
        <v>6.19</v>
      </c>
      <c r="P45" s="1">
        <f t="shared" si="25"/>
        <v>1</v>
      </c>
      <c r="Q45" s="1">
        <f t="shared" si="26"/>
        <v>1</v>
      </c>
      <c r="R45" s="1">
        <f t="shared" si="27"/>
        <v>1</v>
      </c>
      <c r="S45" s="1">
        <f t="shared" si="28"/>
        <v>1</v>
      </c>
      <c r="T45" s="1" t="s">
        <v>437</v>
      </c>
      <c r="U45" s="1"/>
      <c r="V45" s="1"/>
      <c r="W45" s="1"/>
      <c r="X45" s="1"/>
      <c r="Y45" s="1"/>
      <c r="Z45" s="1">
        <v>90</v>
      </c>
      <c r="AA45" s="1"/>
      <c r="AB45" s="1">
        <v>0</v>
      </c>
      <c r="AC45" s="1">
        <v>0</v>
      </c>
      <c r="AD45" s="1">
        <v>70</v>
      </c>
      <c r="AE45" s="1" t="s">
        <v>434</v>
      </c>
      <c r="AF45" s="1"/>
      <c r="AG45" s="1"/>
      <c r="AH45" s="1">
        <v>2.5</v>
      </c>
      <c r="AI45" s="1">
        <v>0.5</v>
      </c>
      <c r="AJ45" s="1"/>
      <c r="AK45" s="1"/>
      <c r="AL45" s="1">
        <v>0</v>
      </c>
    </row>
    <row r="46" spans="1:38" x14ac:dyDescent="0.25">
      <c r="A46" s="210" t="s">
        <v>248</v>
      </c>
      <c r="B46" s="216">
        <v>1</v>
      </c>
      <c r="C46" s="1" t="s">
        <v>418</v>
      </c>
      <c r="D46" s="13">
        <v>40133</v>
      </c>
      <c r="E46" s="1">
        <f t="shared" si="21"/>
        <v>2003</v>
      </c>
      <c r="F46" s="1"/>
      <c r="G46" s="13">
        <v>41107</v>
      </c>
      <c r="H46" s="13">
        <f t="shared" si="29"/>
        <v>40925</v>
      </c>
      <c r="I46" s="13">
        <v>42136</v>
      </c>
      <c r="J46" s="13"/>
      <c r="K46" s="1">
        <f t="shared" si="22"/>
        <v>974</v>
      </c>
      <c r="L46" s="1">
        <f t="shared" si="23"/>
        <v>182</v>
      </c>
      <c r="M46" s="1">
        <f t="shared" si="24"/>
        <v>1029</v>
      </c>
      <c r="N46" s="1" t="s">
        <v>417</v>
      </c>
      <c r="O46" s="1">
        <v>5.93</v>
      </c>
      <c r="P46" s="1">
        <f t="shared" si="25"/>
        <v>1</v>
      </c>
      <c r="Q46" s="1">
        <f t="shared" si="26"/>
        <v>1</v>
      </c>
      <c r="R46" s="1">
        <f t="shared" si="27"/>
        <v>1</v>
      </c>
      <c r="S46" s="1">
        <f t="shared" si="28"/>
        <v>1</v>
      </c>
      <c r="T46" s="1" t="s">
        <v>437</v>
      </c>
      <c r="U46" s="1"/>
      <c r="V46" s="1"/>
      <c r="W46" s="1"/>
      <c r="X46" s="1"/>
      <c r="Y46" s="1"/>
      <c r="Z46" s="1">
        <v>86</v>
      </c>
      <c r="AA46" s="1"/>
      <c r="AB46" s="1">
        <v>0</v>
      </c>
      <c r="AC46" s="1">
        <v>0</v>
      </c>
      <c r="AD46" s="1">
        <v>60</v>
      </c>
      <c r="AE46" s="1" t="s">
        <v>434</v>
      </c>
      <c r="AF46" s="1"/>
      <c r="AG46" s="1"/>
      <c r="AH46" s="1">
        <v>2.5</v>
      </c>
      <c r="AI46" s="1">
        <v>0.5</v>
      </c>
      <c r="AJ46" s="1"/>
      <c r="AK46" s="1"/>
      <c r="AL46" s="1">
        <v>0</v>
      </c>
    </row>
    <row r="47" spans="1:38" x14ac:dyDescent="0.25">
      <c r="A47" s="210" t="s">
        <v>248</v>
      </c>
      <c r="B47" s="216">
        <v>1</v>
      </c>
      <c r="C47" s="1" t="s">
        <v>418</v>
      </c>
      <c r="D47" s="13">
        <v>40133</v>
      </c>
      <c r="E47" s="1">
        <f t="shared" si="21"/>
        <v>2003</v>
      </c>
      <c r="F47" s="1"/>
      <c r="G47" s="13">
        <v>41390</v>
      </c>
      <c r="H47" s="13">
        <f t="shared" si="29"/>
        <v>41107</v>
      </c>
      <c r="I47" s="13">
        <v>42136</v>
      </c>
      <c r="J47" s="13"/>
      <c r="K47" s="1">
        <f t="shared" si="22"/>
        <v>1257</v>
      </c>
      <c r="L47" s="1">
        <f t="shared" si="23"/>
        <v>283</v>
      </c>
      <c r="M47" s="1">
        <f t="shared" si="24"/>
        <v>746</v>
      </c>
      <c r="N47" s="1" t="s">
        <v>417</v>
      </c>
      <c r="O47" s="1">
        <v>5.39</v>
      </c>
      <c r="P47" s="1">
        <f t="shared" si="25"/>
        <v>1</v>
      </c>
      <c r="Q47" s="1">
        <f t="shared" si="26"/>
        <v>1</v>
      </c>
      <c r="R47" s="1">
        <f t="shared" si="27"/>
        <v>1</v>
      </c>
      <c r="S47" s="1">
        <f t="shared" si="28"/>
        <v>1</v>
      </c>
      <c r="T47" s="1" t="s">
        <v>437</v>
      </c>
      <c r="U47" s="1"/>
      <c r="V47" s="1"/>
      <c r="W47" s="1"/>
      <c r="X47" s="1"/>
      <c r="Y47" s="1"/>
      <c r="Z47" s="1">
        <v>87</v>
      </c>
      <c r="AA47" s="1"/>
      <c r="AB47" s="1">
        <v>0</v>
      </c>
      <c r="AC47" s="1">
        <v>0</v>
      </c>
      <c r="AD47" s="1">
        <v>60</v>
      </c>
      <c r="AE47" s="1" t="s">
        <v>434</v>
      </c>
      <c r="AF47" s="1"/>
      <c r="AG47" s="1"/>
      <c r="AH47" s="1">
        <v>2.5</v>
      </c>
      <c r="AI47" s="1">
        <v>0.5</v>
      </c>
      <c r="AJ47" s="1"/>
      <c r="AK47" s="1"/>
      <c r="AL47" s="1">
        <v>0</v>
      </c>
    </row>
    <row r="48" spans="1:38" x14ac:dyDescent="0.25">
      <c r="A48" s="210" t="s">
        <v>248</v>
      </c>
      <c r="B48" s="216">
        <v>1</v>
      </c>
      <c r="C48" s="1" t="s">
        <v>418</v>
      </c>
      <c r="D48" s="13">
        <v>40133</v>
      </c>
      <c r="E48" s="1">
        <f t="shared" si="21"/>
        <v>2003</v>
      </c>
      <c r="F48" s="1"/>
      <c r="G48" s="13">
        <v>41597</v>
      </c>
      <c r="H48" s="13">
        <f t="shared" si="29"/>
        <v>41390</v>
      </c>
      <c r="I48" s="13">
        <v>42136</v>
      </c>
      <c r="J48" s="13"/>
      <c r="K48" s="1">
        <f t="shared" si="22"/>
        <v>1464</v>
      </c>
      <c r="L48" s="1">
        <f t="shared" si="23"/>
        <v>207</v>
      </c>
      <c r="M48" s="1">
        <f t="shared" si="24"/>
        <v>539</v>
      </c>
      <c r="N48" s="1" t="s">
        <v>417</v>
      </c>
      <c r="O48" s="1">
        <v>5.2</v>
      </c>
      <c r="P48" s="1"/>
      <c r="Q48" s="1">
        <f t="shared" si="26"/>
        <v>1</v>
      </c>
      <c r="R48" s="1">
        <f t="shared" si="27"/>
        <v>1</v>
      </c>
      <c r="S48" s="1">
        <f t="shared" si="28"/>
        <v>1</v>
      </c>
      <c r="T48" s="1" t="s">
        <v>442</v>
      </c>
      <c r="U48" s="1"/>
      <c r="V48" s="1"/>
      <c r="W48" s="1"/>
      <c r="X48" s="1"/>
      <c r="Y48" s="1"/>
      <c r="Z48" s="1">
        <v>87</v>
      </c>
      <c r="AA48" s="1"/>
      <c r="AB48" s="1">
        <v>0</v>
      </c>
      <c r="AC48" s="1">
        <v>0</v>
      </c>
      <c r="AD48" s="1">
        <v>60</v>
      </c>
      <c r="AE48" s="1" t="s">
        <v>434</v>
      </c>
      <c r="AF48" s="1"/>
      <c r="AG48" s="1"/>
      <c r="AH48" s="1">
        <v>2.5</v>
      </c>
      <c r="AI48" s="1">
        <v>0.5</v>
      </c>
      <c r="AJ48" s="1"/>
      <c r="AK48" s="1"/>
      <c r="AL48" s="1">
        <v>0</v>
      </c>
    </row>
    <row r="49" spans="1:38" x14ac:dyDescent="0.25">
      <c r="A49" s="210" t="s">
        <v>248</v>
      </c>
      <c r="B49" s="216">
        <v>1</v>
      </c>
      <c r="C49" s="1" t="s">
        <v>418</v>
      </c>
      <c r="D49" s="13">
        <v>40133</v>
      </c>
      <c r="E49" s="1">
        <f t="shared" si="21"/>
        <v>2003</v>
      </c>
      <c r="F49" s="1"/>
      <c r="G49" s="13">
        <v>41947</v>
      </c>
      <c r="H49" s="13">
        <f t="shared" si="29"/>
        <v>41597</v>
      </c>
      <c r="I49" s="13">
        <v>42136</v>
      </c>
      <c r="J49" s="13"/>
      <c r="K49" s="1">
        <f t="shared" si="22"/>
        <v>1814</v>
      </c>
      <c r="L49" s="1">
        <f t="shared" si="23"/>
        <v>350</v>
      </c>
      <c r="M49" s="1">
        <f t="shared" si="24"/>
        <v>189</v>
      </c>
      <c r="N49" s="1" t="s">
        <v>417</v>
      </c>
      <c r="O49" s="1">
        <v>5.14</v>
      </c>
      <c r="P49" s="1"/>
      <c r="Q49" s="1"/>
      <c r="R49" s="1">
        <f t="shared" si="27"/>
        <v>1</v>
      </c>
      <c r="S49" s="1">
        <f t="shared" si="28"/>
        <v>1</v>
      </c>
      <c r="T49" s="1" t="s">
        <v>442</v>
      </c>
      <c r="U49" s="1"/>
      <c r="V49" s="1"/>
      <c r="W49" s="1"/>
      <c r="X49" s="1"/>
      <c r="Y49" s="1"/>
      <c r="Z49" s="1">
        <v>91</v>
      </c>
      <c r="AA49" s="1"/>
      <c r="AB49" s="1">
        <v>0</v>
      </c>
      <c r="AC49" s="1">
        <v>0</v>
      </c>
      <c r="AD49" s="1">
        <v>60</v>
      </c>
      <c r="AE49" s="1" t="s">
        <v>434</v>
      </c>
      <c r="AF49" s="1"/>
      <c r="AG49" s="1"/>
      <c r="AH49" s="1">
        <v>2.5</v>
      </c>
      <c r="AI49" s="1">
        <v>0.5</v>
      </c>
      <c r="AJ49" s="1"/>
      <c r="AK49" s="1"/>
      <c r="AL49" s="1">
        <v>0</v>
      </c>
    </row>
    <row r="50" spans="1:38" x14ac:dyDescent="0.25">
      <c r="A50" s="210" t="s">
        <v>248</v>
      </c>
      <c r="B50" s="216">
        <v>1</v>
      </c>
      <c r="C50" s="1" t="s">
        <v>418</v>
      </c>
      <c r="D50" s="13">
        <v>40133</v>
      </c>
      <c r="E50" s="1">
        <f t="shared" si="21"/>
        <v>2003</v>
      </c>
      <c r="F50" s="1"/>
      <c r="G50" s="13">
        <v>42136</v>
      </c>
      <c r="H50" s="13">
        <f t="shared" si="29"/>
        <v>41947</v>
      </c>
      <c r="I50" s="13">
        <v>42136</v>
      </c>
      <c r="J50" s="13"/>
      <c r="K50" s="1">
        <f t="shared" si="22"/>
        <v>2003</v>
      </c>
      <c r="L50" s="1">
        <f t="shared" si="23"/>
        <v>189</v>
      </c>
      <c r="M50" s="1">
        <f t="shared" si="24"/>
        <v>0</v>
      </c>
      <c r="N50" s="1" t="s">
        <v>417</v>
      </c>
      <c r="O50" s="1">
        <v>5.1100000000000003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>
        <v>46</v>
      </c>
      <c r="AA50" s="1"/>
      <c r="AB50" s="1">
        <v>0</v>
      </c>
      <c r="AC50" s="1">
        <v>0</v>
      </c>
      <c r="AD50" s="1">
        <v>60</v>
      </c>
      <c r="AE50" s="1" t="s">
        <v>434</v>
      </c>
      <c r="AF50" s="1"/>
      <c r="AG50" s="1"/>
      <c r="AH50" s="1">
        <v>2.5</v>
      </c>
      <c r="AI50" s="1">
        <v>0.5</v>
      </c>
      <c r="AJ50" s="1"/>
      <c r="AK50" s="1"/>
      <c r="AL50" s="1">
        <v>0</v>
      </c>
    </row>
    <row r="51" spans="1:38" s="1" customFormat="1" x14ac:dyDescent="0.25">
      <c r="A51" s="231" t="s">
        <v>320</v>
      </c>
      <c r="B51" s="1">
        <v>1</v>
      </c>
      <c r="C51" s="1" t="s">
        <v>418</v>
      </c>
      <c r="D51" s="67">
        <v>39244</v>
      </c>
      <c r="E51" s="174">
        <f t="shared" si="21"/>
        <v>1263</v>
      </c>
      <c r="G51" s="61">
        <v>40246</v>
      </c>
      <c r="H51" s="67">
        <v>39244</v>
      </c>
      <c r="I51" s="217">
        <v>40507</v>
      </c>
      <c r="J51" s="13"/>
      <c r="K51" s="1">
        <f t="shared" si="22"/>
        <v>1002</v>
      </c>
      <c r="L51" s="1">
        <f t="shared" si="23"/>
        <v>1002</v>
      </c>
      <c r="M51" s="1">
        <f t="shared" si="24"/>
        <v>261</v>
      </c>
      <c r="N51" s="1" t="s">
        <v>417</v>
      </c>
      <c r="O51" s="57">
        <v>6.06</v>
      </c>
      <c r="R51" s="1">
        <f t="shared" ref="R51" si="30">IF(M51&gt;=180,1,"nulo")</f>
        <v>1</v>
      </c>
      <c r="S51" s="1">
        <f t="shared" ref="S51" si="31">IF(M51&gt;=90,1,"nulo")</f>
        <v>1</v>
      </c>
      <c r="T51" s="1" t="s">
        <v>442</v>
      </c>
      <c r="Y51" s="57"/>
      <c r="Z51" s="57">
        <v>88</v>
      </c>
      <c r="AB51" s="1">
        <v>0.2</v>
      </c>
      <c r="AC51" s="98">
        <v>12</v>
      </c>
      <c r="AD51" s="172">
        <v>50</v>
      </c>
      <c r="AE51" s="1" t="s">
        <v>434</v>
      </c>
      <c r="AH51" s="57">
        <v>2.5</v>
      </c>
      <c r="AI51" s="57">
        <v>0.35</v>
      </c>
      <c r="AL51" s="1">
        <v>0</v>
      </c>
    </row>
    <row r="52" spans="1:38" s="1" customFormat="1" x14ac:dyDescent="0.25">
      <c r="A52" s="231" t="s">
        <v>320</v>
      </c>
      <c r="B52" s="1">
        <v>1</v>
      </c>
      <c r="C52" s="1" t="s">
        <v>418</v>
      </c>
      <c r="D52" s="67">
        <v>39244</v>
      </c>
      <c r="E52" s="174">
        <f t="shared" si="21"/>
        <v>1263</v>
      </c>
      <c r="G52" s="217">
        <v>40494</v>
      </c>
      <c r="H52" s="13">
        <f>G51</f>
        <v>40246</v>
      </c>
      <c r="I52" s="217">
        <v>40507</v>
      </c>
      <c r="J52" s="13"/>
      <c r="K52" s="1">
        <f t="shared" si="22"/>
        <v>1250</v>
      </c>
      <c r="L52" s="1">
        <f t="shared" si="23"/>
        <v>248</v>
      </c>
      <c r="M52" s="1">
        <f t="shared" si="24"/>
        <v>13</v>
      </c>
      <c r="N52" s="1" t="s">
        <v>417</v>
      </c>
      <c r="O52" s="4">
        <v>5.87</v>
      </c>
      <c r="T52" s="1" t="s">
        <v>442</v>
      </c>
      <c r="Y52" s="57"/>
      <c r="Z52" s="4">
        <v>90</v>
      </c>
      <c r="AA52" s="57"/>
      <c r="AB52" s="1">
        <v>0</v>
      </c>
      <c r="AC52" s="98">
        <v>0</v>
      </c>
      <c r="AD52" s="172">
        <v>50</v>
      </c>
      <c r="AE52" s="1" t="s">
        <v>434</v>
      </c>
      <c r="AH52" s="4">
        <v>2.5</v>
      </c>
      <c r="AI52" s="4">
        <v>0.35</v>
      </c>
      <c r="AL52" s="1">
        <v>0</v>
      </c>
    </row>
    <row r="53" spans="1:38" s="1" customFormat="1" x14ac:dyDescent="0.25">
      <c r="A53" s="231" t="s">
        <v>320</v>
      </c>
      <c r="B53" s="1">
        <v>1</v>
      </c>
      <c r="C53" s="1" t="s">
        <v>418</v>
      </c>
      <c r="D53" s="67">
        <v>39244</v>
      </c>
      <c r="E53" s="174">
        <f t="shared" si="21"/>
        <v>1263</v>
      </c>
      <c r="G53" s="217">
        <v>40499</v>
      </c>
      <c r="H53" s="13">
        <f t="shared" ref="H53:H54" si="32">G52</f>
        <v>40494</v>
      </c>
      <c r="I53" s="217">
        <v>40507</v>
      </c>
      <c r="J53" s="13"/>
      <c r="K53" s="1">
        <f t="shared" si="22"/>
        <v>1255</v>
      </c>
      <c r="L53" s="1">
        <f t="shared" si="23"/>
        <v>5</v>
      </c>
      <c r="M53" s="1">
        <f t="shared" si="24"/>
        <v>8</v>
      </c>
      <c r="N53" s="1" t="s">
        <v>417</v>
      </c>
      <c r="O53" s="4">
        <v>5.87</v>
      </c>
      <c r="T53" s="1" t="s">
        <v>442</v>
      </c>
      <c r="Y53" s="57"/>
      <c r="Z53" s="4">
        <v>93</v>
      </c>
      <c r="AA53" s="57"/>
      <c r="AB53" s="1">
        <v>0</v>
      </c>
      <c r="AC53" s="98">
        <v>0</v>
      </c>
      <c r="AD53" s="172">
        <v>50</v>
      </c>
      <c r="AE53" s="1" t="s">
        <v>434</v>
      </c>
      <c r="AH53" s="4">
        <v>2.5</v>
      </c>
      <c r="AI53" s="4">
        <v>0.35</v>
      </c>
      <c r="AL53" s="1">
        <v>0</v>
      </c>
    </row>
    <row r="54" spans="1:38" s="1" customFormat="1" x14ac:dyDescent="0.25">
      <c r="A54" s="231" t="s">
        <v>320</v>
      </c>
      <c r="B54" s="1">
        <v>1</v>
      </c>
      <c r="C54" s="1" t="s">
        <v>418</v>
      </c>
      <c r="D54" s="67">
        <v>39244</v>
      </c>
      <c r="E54" s="174">
        <f t="shared" si="21"/>
        <v>1263</v>
      </c>
      <c r="G54" s="217">
        <v>40507</v>
      </c>
      <c r="H54" s="13">
        <f t="shared" si="32"/>
        <v>40499</v>
      </c>
      <c r="I54" s="217">
        <v>40507</v>
      </c>
      <c r="J54" s="13"/>
      <c r="K54" s="1">
        <f t="shared" si="22"/>
        <v>1263</v>
      </c>
      <c r="L54" s="1">
        <f t="shared" si="23"/>
        <v>8</v>
      </c>
      <c r="M54" s="1">
        <f t="shared" si="24"/>
        <v>0</v>
      </c>
      <c r="N54" s="1" t="s">
        <v>417</v>
      </c>
      <c r="O54" s="4">
        <v>5.85</v>
      </c>
      <c r="Y54" s="57"/>
      <c r="Z54" s="4">
        <v>78</v>
      </c>
      <c r="AA54" s="57"/>
      <c r="AB54" s="1">
        <v>0.1</v>
      </c>
      <c r="AC54" s="98">
        <v>1</v>
      </c>
      <c r="AD54" s="172">
        <v>50</v>
      </c>
      <c r="AE54" s="1" t="s">
        <v>417</v>
      </c>
      <c r="AH54" s="4">
        <v>2.5</v>
      </c>
      <c r="AI54" s="4">
        <v>0.35</v>
      </c>
      <c r="AL54" s="1">
        <v>0</v>
      </c>
    </row>
    <row r="55" spans="1:38" s="1" customFormat="1" x14ac:dyDescent="0.25">
      <c r="A55" s="66" t="s">
        <v>328</v>
      </c>
      <c r="B55" s="66">
        <v>1</v>
      </c>
      <c r="C55" s="1" t="s">
        <v>418</v>
      </c>
      <c r="D55" s="67">
        <v>39119</v>
      </c>
      <c r="E55" s="174">
        <f t="shared" si="21"/>
        <v>2947</v>
      </c>
      <c r="G55" s="61">
        <v>40834</v>
      </c>
      <c r="H55" s="67">
        <v>39119</v>
      </c>
      <c r="I55" s="13">
        <v>42066</v>
      </c>
      <c r="J55" s="13"/>
      <c r="K55" s="1">
        <f t="shared" si="22"/>
        <v>1715</v>
      </c>
      <c r="L55" s="1">
        <f t="shared" si="23"/>
        <v>1715</v>
      </c>
      <c r="M55" s="1">
        <f t="shared" si="24"/>
        <v>1232</v>
      </c>
      <c r="N55" s="1" t="s">
        <v>417</v>
      </c>
      <c r="O55" s="57">
        <v>5.86</v>
      </c>
      <c r="P55" s="1">
        <f t="shared" ref="P55:P58" si="33">IF(M55&gt;=540,1,"nulo")</f>
        <v>1</v>
      </c>
      <c r="Q55" s="1">
        <f t="shared" ref="Q55:Q60" si="34">IF(M55&gt;=360,1,"nulo")</f>
        <v>1</v>
      </c>
      <c r="R55" s="1">
        <f t="shared" ref="R55:R61" si="35">IF(M55&gt;=180,1,"nulo")</f>
        <v>1</v>
      </c>
      <c r="S55" s="1">
        <f t="shared" ref="S55:S62" si="36">IF(M55&gt;=90,1,"nulo")</f>
        <v>1</v>
      </c>
      <c r="T55" s="1" t="s">
        <v>437</v>
      </c>
      <c r="Y55" s="57"/>
      <c r="Z55" s="57">
        <v>11</v>
      </c>
      <c r="AA55" s="57"/>
      <c r="AB55" s="1">
        <v>2</v>
      </c>
      <c r="AC55" s="98">
        <v>0</v>
      </c>
      <c r="AD55" s="172">
        <v>50</v>
      </c>
      <c r="AE55" s="1" t="s">
        <v>417</v>
      </c>
      <c r="AH55" s="57">
        <v>2.5</v>
      </c>
      <c r="AI55" s="57">
        <v>0.6</v>
      </c>
      <c r="AL55" s="1">
        <v>0</v>
      </c>
    </row>
    <row r="56" spans="1:38" s="1" customFormat="1" x14ac:dyDescent="0.25">
      <c r="A56" s="66" t="s">
        <v>328</v>
      </c>
      <c r="B56" s="66">
        <v>1</v>
      </c>
      <c r="C56" s="1" t="s">
        <v>418</v>
      </c>
      <c r="D56" s="67">
        <v>39119</v>
      </c>
      <c r="E56" s="174">
        <f t="shared" si="21"/>
        <v>2947</v>
      </c>
      <c r="G56" s="234">
        <v>41037</v>
      </c>
      <c r="H56" s="13">
        <f>G55</f>
        <v>40834</v>
      </c>
      <c r="I56" s="13">
        <v>42066</v>
      </c>
      <c r="J56" s="13"/>
      <c r="K56" s="1">
        <f t="shared" si="22"/>
        <v>1918</v>
      </c>
      <c r="L56" s="1">
        <f t="shared" si="23"/>
        <v>203</v>
      </c>
      <c r="M56" s="1">
        <f t="shared" si="24"/>
        <v>1029</v>
      </c>
      <c r="N56" s="1" t="s">
        <v>417</v>
      </c>
      <c r="O56" s="4">
        <v>5.47</v>
      </c>
      <c r="P56" s="1">
        <f t="shared" si="33"/>
        <v>1</v>
      </c>
      <c r="Q56" s="1">
        <f t="shared" si="34"/>
        <v>1</v>
      </c>
      <c r="R56" s="1">
        <f t="shared" si="35"/>
        <v>1</v>
      </c>
      <c r="S56" s="1">
        <f t="shared" si="36"/>
        <v>1</v>
      </c>
      <c r="T56" s="1" t="s">
        <v>437</v>
      </c>
      <c r="Y56" s="57"/>
      <c r="Z56" s="4">
        <v>10</v>
      </c>
      <c r="AA56" s="57"/>
      <c r="AB56" s="1">
        <v>0</v>
      </c>
      <c r="AC56" s="98">
        <v>0</v>
      </c>
      <c r="AD56" s="172">
        <v>50</v>
      </c>
      <c r="AE56" s="1" t="s">
        <v>417</v>
      </c>
      <c r="AH56" s="4">
        <v>2.5</v>
      </c>
      <c r="AI56" s="4">
        <v>0.6</v>
      </c>
      <c r="AL56" s="1">
        <v>0</v>
      </c>
    </row>
    <row r="57" spans="1:38" s="1" customFormat="1" x14ac:dyDescent="0.25">
      <c r="A57" s="66" t="s">
        <v>328</v>
      </c>
      <c r="B57" s="66">
        <v>1</v>
      </c>
      <c r="C57" s="1" t="s">
        <v>418</v>
      </c>
      <c r="D57" s="67">
        <v>39119</v>
      </c>
      <c r="E57" s="174">
        <f t="shared" si="21"/>
        <v>2947</v>
      </c>
      <c r="G57" s="13">
        <v>41226</v>
      </c>
      <c r="H57" s="13">
        <f t="shared" ref="H57:H63" si="37">G56</f>
        <v>41037</v>
      </c>
      <c r="I57" s="13">
        <v>42066</v>
      </c>
      <c r="J57" s="13"/>
      <c r="K57" s="1">
        <f t="shared" si="22"/>
        <v>2107</v>
      </c>
      <c r="L57" s="1">
        <f t="shared" si="23"/>
        <v>189</v>
      </c>
      <c r="M57" s="1">
        <f t="shared" si="24"/>
        <v>840</v>
      </c>
      <c r="N57" s="1" t="s">
        <v>417</v>
      </c>
      <c r="O57" s="4">
        <v>5.3</v>
      </c>
      <c r="P57" s="1">
        <f t="shared" si="33"/>
        <v>1</v>
      </c>
      <c r="Q57" s="1">
        <f t="shared" si="34"/>
        <v>1</v>
      </c>
      <c r="R57" s="1">
        <f t="shared" si="35"/>
        <v>1</v>
      </c>
      <c r="S57" s="1">
        <f t="shared" si="36"/>
        <v>1</v>
      </c>
      <c r="T57" s="1" t="s">
        <v>437</v>
      </c>
      <c r="Y57" s="57"/>
      <c r="Z57" s="4">
        <v>9</v>
      </c>
      <c r="AA57" s="57"/>
      <c r="AB57" s="1">
        <v>0</v>
      </c>
      <c r="AC57" s="98">
        <v>0</v>
      </c>
      <c r="AD57" s="172">
        <v>50</v>
      </c>
      <c r="AE57" s="1" t="s">
        <v>417</v>
      </c>
      <c r="AH57" s="4">
        <v>2.5</v>
      </c>
      <c r="AI57" s="4">
        <v>0.6</v>
      </c>
      <c r="AL57" s="1">
        <v>0</v>
      </c>
    </row>
    <row r="58" spans="1:38" s="1" customFormat="1" x14ac:dyDescent="0.25">
      <c r="A58" s="66" t="s">
        <v>328</v>
      </c>
      <c r="B58" s="66">
        <v>1</v>
      </c>
      <c r="C58" s="1" t="s">
        <v>418</v>
      </c>
      <c r="D58" s="67">
        <v>39119</v>
      </c>
      <c r="E58" s="174">
        <f t="shared" si="21"/>
        <v>2947</v>
      </c>
      <c r="G58" s="13">
        <v>41408</v>
      </c>
      <c r="H58" s="13">
        <f t="shared" si="37"/>
        <v>41226</v>
      </c>
      <c r="I58" s="13">
        <v>42066</v>
      </c>
      <c r="J58" s="13"/>
      <c r="K58" s="1">
        <f t="shared" si="22"/>
        <v>2289</v>
      </c>
      <c r="L58" s="1">
        <f t="shared" si="23"/>
        <v>182</v>
      </c>
      <c r="M58" s="1">
        <f t="shared" si="24"/>
        <v>658</v>
      </c>
      <c r="N58" s="1" t="s">
        <v>417</v>
      </c>
      <c r="O58" s="4">
        <v>5.21</v>
      </c>
      <c r="P58" s="1">
        <f t="shared" si="33"/>
        <v>1</v>
      </c>
      <c r="Q58" s="1">
        <f t="shared" si="34"/>
        <v>1</v>
      </c>
      <c r="R58" s="1">
        <f t="shared" si="35"/>
        <v>1</v>
      </c>
      <c r="S58" s="1">
        <f t="shared" si="36"/>
        <v>1</v>
      </c>
      <c r="T58" s="1" t="s">
        <v>437</v>
      </c>
      <c r="Y58" s="57"/>
      <c r="Z58" s="4">
        <v>8</v>
      </c>
      <c r="AA58" s="57"/>
      <c r="AB58" s="1">
        <v>0</v>
      </c>
      <c r="AC58" s="98">
        <v>0</v>
      </c>
      <c r="AD58" s="172">
        <v>50</v>
      </c>
      <c r="AE58" s="1" t="s">
        <v>417</v>
      </c>
      <c r="AH58" s="4">
        <v>2.5</v>
      </c>
      <c r="AI58" s="4">
        <v>0.6</v>
      </c>
      <c r="AL58" s="1">
        <v>0</v>
      </c>
    </row>
    <row r="59" spans="1:38" s="1" customFormat="1" x14ac:dyDescent="0.25">
      <c r="A59" s="66" t="s">
        <v>328</v>
      </c>
      <c r="B59" s="66">
        <v>1</v>
      </c>
      <c r="C59" s="1" t="s">
        <v>418</v>
      </c>
      <c r="D59" s="67">
        <v>39119</v>
      </c>
      <c r="E59" s="174">
        <f t="shared" si="21"/>
        <v>2947</v>
      </c>
      <c r="G59" s="13">
        <v>41528</v>
      </c>
      <c r="H59" s="13">
        <f t="shared" si="37"/>
        <v>41408</v>
      </c>
      <c r="I59" s="13">
        <v>42066</v>
      </c>
      <c r="J59" s="13"/>
      <c r="K59" s="1">
        <f t="shared" si="22"/>
        <v>2409</v>
      </c>
      <c r="L59" s="1">
        <f t="shared" si="23"/>
        <v>120</v>
      </c>
      <c r="M59" s="1">
        <f t="shared" si="24"/>
        <v>538</v>
      </c>
      <c r="N59" s="1" t="s">
        <v>417</v>
      </c>
      <c r="O59" s="4">
        <v>5.18</v>
      </c>
      <c r="Q59" s="1">
        <f t="shared" si="34"/>
        <v>1</v>
      </c>
      <c r="R59" s="1">
        <f t="shared" si="35"/>
        <v>1</v>
      </c>
      <c r="S59" s="1">
        <f t="shared" si="36"/>
        <v>1</v>
      </c>
      <c r="T59" s="1" t="s">
        <v>442</v>
      </c>
      <c r="Y59" s="57"/>
      <c r="Z59" s="4">
        <v>16</v>
      </c>
      <c r="AA59" s="57"/>
      <c r="AB59" s="1">
        <v>0</v>
      </c>
      <c r="AC59" s="98">
        <v>0</v>
      </c>
      <c r="AD59" s="172">
        <v>50</v>
      </c>
      <c r="AE59" s="1" t="s">
        <v>417</v>
      </c>
      <c r="AH59" s="4">
        <v>2.5</v>
      </c>
      <c r="AI59" s="4">
        <v>0.6</v>
      </c>
      <c r="AL59" s="1">
        <v>0</v>
      </c>
    </row>
    <row r="60" spans="1:38" s="1" customFormat="1" x14ac:dyDescent="0.25">
      <c r="A60" s="66" t="s">
        <v>328</v>
      </c>
      <c r="B60" s="66">
        <v>1</v>
      </c>
      <c r="C60" s="1" t="s">
        <v>418</v>
      </c>
      <c r="D60" s="67">
        <v>39119</v>
      </c>
      <c r="E60" s="174">
        <f t="shared" si="21"/>
        <v>2947</v>
      </c>
      <c r="G60" s="13">
        <v>41702</v>
      </c>
      <c r="H60" s="13">
        <f t="shared" si="37"/>
        <v>41528</v>
      </c>
      <c r="I60" s="13">
        <v>42066</v>
      </c>
      <c r="J60" s="13"/>
      <c r="K60" s="1">
        <f t="shared" si="22"/>
        <v>2583</v>
      </c>
      <c r="L60" s="1">
        <f t="shared" si="23"/>
        <v>174</v>
      </c>
      <c r="M60" s="1">
        <f t="shared" si="24"/>
        <v>364</v>
      </c>
      <c r="N60" s="1" t="s">
        <v>417</v>
      </c>
      <c r="O60" s="4">
        <v>5.17</v>
      </c>
      <c r="Q60" s="1">
        <f t="shared" si="34"/>
        <v>1</v>
      </c>
      <c r="R60" s="1">
        <f t="shared" si="35"/>
        <v>1</v>
      </c>
      <c r="S60" s="1">
        <f t="shared" si="36"/>
        <v>1</v>
      </c>
      <c r="T60" s="1" t="s">
        <v>442</v>
      </c>
      <c r="Y60" s="57"/>
      <c r="Z60" s="4">
        <v>5</v>
      </c>
      <c r="AA60" s="57"/>
      <c r="AB60" s="1">
        <v>0</v>
      </c>
      <c r="AC60" s="98">
        <v>0</v>
      </c>
      <c r="AD60" s="172">
        <v>50</v>
      </c>
      <c r="AE60" s="1" t="s">
        <v>417</v>
      </c>
      <c r="AH60" s="4">
        <v>2.5</v>
      </c>
      <c r="AI60" s="4">
        <v>0.6</v>
      </c>
      <c r="AL60" s="1">
        <v>0</v>
      </c>
    </row>
    <row r="61" spans="1:38" s="1" customFormat="1" x14ac:dyDescent="0.25">
      <c r="A61" s="66" t="s">
        <v>328</v>
      </c>
      <c r="B61" s="66">
        <v>1</v>
      </c>
      <c r="C61" s="1" t="s">
        <v>418</v>
      </c>
      <c r="D61" s="67">
        <v>39119</v>
      </c>
      <c r="E61" s="174">
        <f t="shared" si="21"/>
        <v>2947</v>
      </c>
      <c r="G61" s="13">
        <v>41806</v>
      </c>
      <c r="H61" s="13">
        <f t="shared" si="37"/>
        <v>41702</v>
      </c>
      <c r="I61" s="13">
        <v>42066</v>
      </c>
      <c r="J61" s="13"/>
      <c r="K61" s="1">
        <f t="shared" si="22"/>
        <v>2687</v>
      </c>
      <c r="L61" s="1">
        <f t="shared" si="23"/>
        <v>104</v>
      </c>
      <c r="M61" s="1">
        <f t="shared" si="24"/>
        <v>260</v>
      </c>
      <c r="N61" s="1" t="s">
        <v>417</v>
      </c>
      <c r="O61" s="4">
        <v>5.15</v>
      </c>
      <c r="R61" s="1">
        <f t="shared" si="35"/>
        <v>1</v>
      </c>
      <c r="S61" s="1">
        <f t="shared" si="36"/>
        <v>1</v>
      </c>
      <c r="T61" s="1" t="s">
        <v>442</v>
      </c>
      <c r="Y61" s="57"/>
      <c r="Z61" s="4">
        <v>5</v>
      </c>
      <c r="AA61" s="57"/>
      <c r="AB61" s="1">
        <v>0</v>
      </c>
      <c r="AC61" s="98">
        <v>0</v>
      </c>
      <c r="AD61" s="172">
        <v>50</v>
      </c>
      <c r="AE61" s="1" t="s">
        <v>417</v>
      </c>
      <c r="AH61" s="4">
        <v>2.5</v>
      </c>
      <c r="AI61" s="4">
        <v>0.6</v>
      </c>
      <c r="AL61" s="1">
        <v>0</v>
      </c>
    </row>
    <row r="62" spans="1:38" s="1" customFormat="1" x14ac:dyDescent="0.25">
      <c r="A62" s="66" t="s">
        <v>328</v>
      </c>
      <c r="B62" s="66">
        <v>1</v>
      </c>
      <c r="C62" s="1" t="s">
        <v>418</v>
      </c>
      <c r="D62" s="67">
        <v>39119</v>
      </c>
      <c r="E62" s="174">
        <f t="shared" si="21"/>
        <v>2947</v>
      </c>
      <c r="G62" s="23">
        <v>41891</v>
      </c>
      <c r="H62" s="13">
        <f t="shared" si="37"/>
        <v>41806</v>
      </c>
      <c r="I62" s="13">
        <v>42066</v>
      </c>
      <c r="J62" s="13"/>
      <c r="K62" s="1">
        <f t="shared" si="22"/>
        <v>2772</v>
      </c>
      <c r="L62" s="1">
        <f t="shared" si="23"/>
        <v>85</v>
      </c>
      <c r="M62" s="1">
        <f t="shared" si="24"/>
        <v>175</v>
      </c>
      <c r="N62" s="1" t="s">
        <v>417</v>
      </c>
      <c r="O62" s="24">
        <v>5.15</v>
      </c>
      <c r="S62" s="1">
        <f t="shared" si="36"/>
        <v>1</v>
      </c>
      <c r="T62" s="1" t="s">
        <v>442</v>
      </c>
      <c r="Y62" s="57"/>
      <c r="Z62" s="24">
        <v>6</v>
      </c>
      <c r="AA62" s="57"/>
      <c r="AB62" s="1">
        <v>0</v>
      </c>
      <c r="AC62" s="98">
        <v>0</v>
      </c>
      <c r="AD62" s="172">
        <v>50</v>
      </c>
      <c r="AE62" s="1" t="s">
        <v>417</v>
      </c>
      <c r="AH62" s="4">
        <v>2.5</v>
      </c>
      <c r="AI62" s="4">
        <v>0.6</v>
      </c>
      <c r="AL62" s="1">
        <v>0</v>
      </c>
    </row>
    <row r="63" spans="1:38" s="1" customFormat="1" x14ac:dyDescent="0.25">
      <c r="A63" s="66" t="s">
        <v>328</v>
      </c>
      <c r="B63" s="66">
        <v>1</v>
      </c>
      <c r="C63" s="1" t="s">
        <v>418</v>
      </c>
      <c r="D63" s="67">
        <v>39119</v>
      </c>
      <c r="E63" s="174">
        <f>I63-D63</f>
        <v>2947</v>
      </c>
      <c r="G63" s="13">
        <v>42066</v>
      </c>
      <c r="H63" s="13">
        <f t="shared" si="37"/>
        <v>41891</v>
      </c>
      <c r="I63" s="13">
        <v>42066</v>
      </c>
      <c r="J63" s="13"/>
      <c r="K63" s="1">
        <f t="shared" si="22"/>
        <v>2947</v>
      </c>
      <c r="L63" s="1">
        <f t="shared" si="23"/>
        <v>175</v>
      </c>
      <c r="M63" s="1">
        <f t="shared" si="24"/>
        <v>0</v>
      </c>
      <c r="N63" s="1" t="s">
        <v>417</v>
      </c>
      <c r="O63" s="4">
        <v>5.14</v>
      </c>
      <c r="Y63" s="57"/>
      <c r="Z63" s="4">
        <v>5</v>
      </c>
      <c r="AA63" s="57"/>
      <c r="AB63" s="1">
        <v>0</v>
      </c>
      <c r="AC63" s="98">
        <v>2</v>
      </c>
      <c r="AD63" s="172">
        <v>50</v>
      </c>
      <c r="AE63" s="1" t="s">
        <v>417</v>
      </c>
      <c r="AH63" s="4">
        <v>2.5</v>
      </c>
      <c r="AI63" s="4">
        <v>0.6</v>
      </c>
      <c r="AL63" s="1">
        <v>0</v>
      </c>
    </row>
    <row r="64" spans="1:38" s="1" customFormat="1" x14ac:dyDescent="0.25">
      <c r="A64" s="236" t="s">
        <v>331</v>
      </c>
      <c r="B64" s="1">
        <v>1</v>
      </c>
      <c r="C64" s="1" t="s">
        <v>418</v>
      </c>
      <c r="D64" s="67">
        <v>39017</v>
      </c>
      <c r="E64" s="174">
        <f t="shared" ref="E64:E70" si="38">I64-D64</f>
        <v>2567</v>
      </c>
      <c r="G64" s="61">
        <v>40995</v>
      </c>
      <c r="H64" s="67">
        <v>39017</v>
      </c>
      <c r="I64" s="13">
        <v>41584</v>
      </c>
      <c r="J64" s="13"/>
      <c r="K64" s="1">
        <f t="shared" si="22"/>
        <v>1978</v>
      </c>
      <c r="L64" s="1">
        <f t="shared" si="23"/>
        <v>1978</v>
      </c>
      <c r="M64" s="1">
        <f t="shared" si="24"/>
        <v>589</v>
      </c>
      <c r="N64" s="1" t="s">
        <v>417</v>
      </c>
      <c r="O64" s="57">
        <v>5.15</v>
      </c>
      <c r="P64" s="1">
        <f t="shared" ref="P64" si="39">IF(M64&gt;=540,1,"nulo")</f>
        <v>1</v>
      </c>
      <c r="Q64" s="1">
        <f t="shared" ref="Q64:Q65" si="40">IF(M64&gt;=360,1,"nulo")</f>
        <v>1</v>
      </c>
      <c r="R64" s="1">
        <f t="shared" ref="R64:R66" si="41">IF(M64&gt;=180,1,"nulo")</f>
        <v>1</v>
      </c>
      <c r="S64" s="1">
        <f t="shared" ref="S64:S67" si="42">IF(M64&gt;=90,1,"nulo")</f>
        <v>1</v>
      </c>
      <c r="T64" s="1" t="s">
        <v>437</v>
      </c>
      <c r="Y64" s="57"/>
      <c r="Z64" s="57">
        <v>43</v>
      </c>
      <c r="AA64" s="57"/>
      <c r="AB64" s="1">
        <v>0</v>
      </c>
      <c r="AC64" s="98">
        <v>0</v>
      </c>
      <c r="AD64" s="172">
        <v>60</v>
      </c>
      <c r="AE64" s="1" t="s">
        <v>434</v>
      </c>
      <c r="AH64" s="57">
        <v>2.5</v>
      </c>
      <c r="AI64" s="57">
        <v>0.35</v>
      </c>
      <c r="AL64" s="1">
        <v>0</v>
      </c>
    </row>
    <row r="65" spans="1:38" s="1" customFormat="1" x14ac:dyDescent="0.25">
      <c r="A65" s="236" t="s">
        <v>331</v>
      </c>
      <c r="B65" s="1">
        <v>1</v>
      </c>
      <c r="C65" s="1" t="s">
        <v>418</v>
      </c>
      <c r="D65" s="67">
        <v>39017</v>
      </c>
      <c r="E65" s="174">
        <f t="shared" si="38"/>
        <v>2567</v>
      </c>
      <c r="G65" s="13">
        <v>41184</v>
      </c>
      <c r="H65" s="13">
        <f>G64</f>
        <v>40995</v>
      </c>
      <c r="I65" s="13">
        <v>41584</v>
      </c>
      <c r="J65" s="13"/>
      <c r="K65" s="1">
        <f t="shared" si="22"/>
        <v>2167</v>
      </c>
      <c r="L65" s="1">
        <f t="shared" si="23"/>
        <v>189</v>
      </c>
      <c r="M65" s="1">
        <f t="shared" si="24"/>
        <v>400</v>
      </c>
      <c r="N65" s="1" t="s">
        <v>417</v>
      </c>
      <c r="O65" s="4">
        <v>5.14</v>
      </c>
      <c r="Q65" s="1">
        <f t="shared" si="40"/>
        <v>1</v>
      </c>
      <c r="R65" s="1">
        <f t="shared" si="41"/>
        <v>1</v>
      </c>
      <c r="S65" s="1">
        <f t="shared" si="42"/>
        <v>1</v>
      </c>
      <c r="T65" s="1" t="s">
        <v>442</v>
      </c>
      <c r="Y65" s="57"/>
      <c r="Z65" s="4">
        <v>81</v>
      </c>
      <c r="AA65" s="57"/>
      <c r="AB65" s="1">
        <v>0</v>
      </c>
      <c r="AC65" s="98">
        <v>0</v>
      </c>
      <c r="AD65" s="172">
        <v>60</v>
      </c>
      <c r="AE65" s="1" t="s">
        <v>434</v>
      </c>
      <c r="AH65" s="4">
        <v>2.5</v>
      </c>
      <c r="AI65" s="4">
        <v>0.35</v>
      </c>
      <c r="AL65" s="1">
        <v>0</v>
      </c>
    </row>
    <row r="66" spans="1:38" s="1" customFormat="1" x14ac:dyDescent="0.25">
      <c r="A66" s="236" t="s">
        <v>331</v>
      </c>
      <c r="B66" s="1">
        <v>1</v>
      </c>
      <c r="C66" s="1" t="s">
        <v>418</v>
      </c>
      <c r="D66" s="67">
        <v>39017</v>
      </c>
      <c r="E66" s="174">
        <f t="shared" si="38"/>
        <v>2567</v>
      </c>
      <c r="G66" s="13">
        <v>41291</v>
      </c>
      <c r="H66" s="13">
        <f t="shared" ref="H66:H70" si="43">G65</f>
        <v>41184</v>
      </c>
      <c r="I66" s="13">
        <v>41584</v>
      </c>
      <c r="J66" s="13"/>
      <c r="K66" s="1">
        <f t="shared" ref="K66:K70" si="44">G66-D66</f>
        <v>2274</v>
      </c>
      <c r="L66" s="1">
        <f t="shared" ref="L66:L70" si="45">G66-H66</f>
        <v>107</v>
      </c>
      <c r="M66" s="1">
        <f t="shared" ref="M66:M70" si="46">I66-G66</f>
        <v>293</v>
      </c>
      <c r="N66" s="1" t="s">
        <v>417</v>
      </c>
      <c r="O66" s="4">
        <v>5.1100000000000003</v>
      </c>
      <c r="R66" s="1">
        <f t="shared" si="41"/>
        <v>1</v>
      </c>
      <c r="S66" s="1">
        <f t="shared" si="42"/>
        <v>1</v>
      </c>
      <c r="T66" s="1" t="s">
        <v>442</v>
      </c>
      <c r="Y66" s="57"/>
      <c r="Z66" s="4">
        <v>86</v>
      </c>
      <c r="AA66" s="57"/>
      <c r="AB66" s="1">
        <v>0</v>
      </c>
      <c r="AC66" s="98">
        <v>0</v>
      </c>
      <c r="AD66" s="172">
        <v>60</v>
      </c>
      <c r="AE66" s="1" t="s">
        <v>434</v>
      </c>
      <c r="AH66" s="4">
        <v>2.5</v>
      </c>
      <c r="AI66" s="4">
        <v>0.35</v>
      </c>
      <c r="AL66" s="1">
        <v>0</v>
      </c>
    </row>
    <row r="67" spans="1:38" s="1" customFormat="1" x14ac:dyDescent="0.25">
      <c r="A67" s="236" t="s">
        <v>331</v>
      </c>
      <c r="B67" s="1">
        <v>1</v>
      </c>
      <c r="C67" s="1" t="s">
        <v>418</v>
      </c>
      <c r="D67" s="67">
        <v>39017</v>
      </c>
      <c r="E67" s="174">
        <f t="shared" si="38"/>
        <v>2567</v>
      </c>
      <c r="G67" s="13">
        <v>41494</v>
      </c>
      <c r="H67" s="13">
        <f t="shared" si="43"/>
        <v>41291</v>
      </c>
      <c r="I67" s="13">
        <v>41584</v>
      </c>
      <c r="J67" s="13"/>
      <c r="K67" s="1">
        <f t="shared" si="44"/>
        <v>2477</v>
      </c>
      <c r="L67" s="1">
        <f t="shared" si="45"/>
        <v>203</v>
      </c>
      <c r="M67" s="1">
        <f t="shared" si="46"/>
        <v>90</v>
      </c>
      <c r="N67" s="1" t="s">
        <v>417</v>
      </c>
      <c r="O67" s="4">
        <v>5.01</v>
      </c>
      <c r="S67" s="1">
        <f t="shared" si="42"/>
        <v>1</v>
      </c>
      <c r="T67" s="1" t="s">
        <v>442</v>
      </c>
      <c r="Y67" s="57"/>
      <c r="Z67" s="4">
        <v>84</v>
      </c>
      <c r="AA67" s="57"/>
      <c r="AB67" s="1">
        <v>0</v>
      </c>
      <c r="AC67" s="98">
        <v>0</v>
      </c>
      <c r="AD67" s="172">
        <v>60</v>
      </c>
      <c r="AE67" s="1" t="s">
        <v>434</v>
      </c>
      <c r="AH67" s="4">
        <v>2.5</v>
      </c>
      <c r="AI67" s="4">
        <v>0.35</v>
      </c>
      <c r="AL67" s="1">
        <v>0</v>
      </c>
    </row>
    <row r="68" spans="1:38" s="1" customFormat="1" x14ac:dyDescent="0.25">
      <c r="A68" s="236" t="s">
        <v>331</v>
      </c>
      <c r="B68" s="1">
        <v>1</v>
      </c>
      <c r="C68" s="1" t="s">
        <v>418</v>
      </c>
      <c r="D68" s="67">
        <v>39017</v>
      </c>
      <c r="E68" s="174">
        <f t="shared" si="38"/>
        <v>2567</v>
      </c>
      <c r="G68" s="13">
        <v>41496</v>
      </c>
      <c r="H68" s="13">
        <f t="shared" si="43"/>
        <v>41494</v>
      </c>
      <c r="I68" s="13">
        <v>41584</v>
      </c>
      <c r="J68" s="13"/>
      <c r="K68" s="1">
        <f t="shared" si="44"/>
        <v>2479</v>
      </c>
      <c r="L68" s="1">
        <f t="shared" si="45"/>
        <v>2</v>
      </c>
      <c r="M68" s="1">
        <f t="shared" si="46"/>
        <v>88</v>
      </c>
      <c r="N68" s="1" t="s">
        <v>417</v>
      </c>
      <c r="O68" s="4">
        <v>5.01</v>
      </c>
      <c r="T68" s="1" t="s">
        <v>442</v>
      </c>
      <c r="Y68" s="57"/>
      <c r="Z68" s="4">
        <v>74</v>
      </c>
      <c r="AA68" s="57"/>
      <c r="AB68" s="1">
        <v>20</v>
      </c>
      <c r="AC68" s="98">
        <v>0</v>
      </c>
      <c r="AD68" s="172">
        <v>60</v>
      </c>
      <c r="AE68" s="1" t="s">
        <v>434</v>
      </c>
      <c r="AH68" s="4">
        <v>2.5</v>
      </c>
      <c r="AI68" s="4">
        <v>0.35</v>
      </c>
      <c r="AL68" s="1">
        <v>0</v>
      </c>
    </row>
    <row r="69" spans="1:38" s="1" customFormat="1" x14ac:dyDescent="0.25">
      <c r="A69" s="236" t="s">
        <v>331</v>
      </c>
      <c r="B69" s="1">
        <v>1</v>
      </c>
      <c r="C69" s="1" t="s">
        <v>418</v>
      </c>
      <c r="D69" s="67">
        <v>39017</v>
      </c>
      <c r="E69" s="174">
        <f t="shared" si="38"/>
        <v>2567</v>
      </c>
      <c r="G69" s="13">
        <v>41569</v>
      </c>
      <c r="H69" s="13">
        <f t="shared" si="43"/>
        <v>41496</v>
      </c>
      <c r="I69" s="13">
        <v>41584</v>
      </c>
      <c r="J69" s="13"/>
      <c r="K69" s="1">
        <f t="shared" si="44"/>
        <v>2552</v>
      </c>
      <c r="L69" s="1">
        <f t="shared" si="45"/>
        <v>73</v>
      </c>
      <c r="M69" s="1">
        <f t="shared" si="46"/>
        <v>15</v>
      </c>
      <c r="N69" s="1" t="s">
        <v>434</v>
      </c>
      <c r="O69" s="4">
        <v>4.45</v>
      </c>
      <c r="T69" s="1" t="s">
        <v>442</v>
      </c>
      <c r="U69" s="1">
        <v>0</v>
      </c>
      <c r="V69" s="1">
        <v>0</v>
      </c>
      <c r="W69" s="1">
        <v>0</v>
      </c>
      <c r="X69" s="1">
        <v>0</v>
      </c>
      <c r="Y69" s="57"/>
      <c r="Z69" s="4">
        <v>75</v>
      </c>
      <c r="AA69" s="57"/>
      <c r="AB69" s="1">
        <v>20</v>
      </c>
      <c r="AC69" s="98">
        <v>0</v>
      </c>
      <c r="AD69" s="172">
        <v>60</v>
      </c>
      <c r="AE69" s="1" t="s">
        <v>434</v>
      </c>
      <c r="AH69" s="4">
        <v>2.5</v>
      </c>
      <c r="AI69" s="4">
        <v>0.35</v>
      </c>
      <c r="AL69" s="1">
        <v>0</v>
      </c>
    </row>
    <row r="70" spans="1:38" s="1" customFormat="1" x14ac:dyDescent="0.25">
      <c r="A70" s="236" t="s">
        <v>331</v>
      </c>
      <c r="B70" s="1">
        <v>1</v>
      </c>
      <c r="C70" s="1" t="s">
        <v>418</v>
      </c>
      <c r="D70" s="67">
        <v>39017</v>
      </c>
      <c r="E70" s="174">
        <f t="shared" si="38"/>
        <v>2567</v>
      </c>
      <c r="G70" s="13">
        <v>41584</v>
      </c>
      <c r="H70" s="13">
        <f t="shared" si="43"/>
        <v>41569</v>
      </c>
      <c r="I70" s="13">
        <v>41584</v>
      </c>
      <c r="J70" s="13"/>
      <c r="K70" s="1">
        <f t="shared" si="44"/>
        <v>2567</v>
      </c>
      <c r="L70" s="1">
        <f t="shared" si="45"/>
        <v>15</v>
      </c>
      <c r="M70" s="1">
        <f t="shared" si="46"/>
        <v>0</v>
      </c>
      <c r="N70" s="1" t="s">
        <v>434</v>
      </c>
      <c r="O70" s="4">
        <v>4.4400000000000004</v>
      </c>
      <c r="Y70" s="57"/>
      <c r="Z70" s="4">
        <v>62</v>
      </c>
      <c r="AA70" s="57"/>
      <c r="AB70" s="1">
        <v>0</v>
      </c>
      <c r="AC70" s="98">
        <v>0</v>
      </c>
      <c r="AD70" s="172">
        <v>60</v>
      </c>
      <c r="AE70" s="1" t="s">
        <v>434</v>
      </c>
      <c r="AH70" s="4">
        <v>2.5</v>
      </c>
      <c r="AI70" s="4">
        <v>0.35</v>
      </c>
      <c r="AL70" s="1">
        <v>0</v>
      </c>
    </row>
    <row r="71" spans="1:38" s="226" customFormat="1" x14ac:dyDescent="0.25"/>
    <row r="72" spans="1:38" s="226" customFormat="1" x14ac:dyDescent="0.25"/>
    <row r="73" spans="1:38" s="226" customFormat="1" x14ac:dyDescent="0.25"/>
    <row r="74" spans="1:38" s="226" customFormat="1" x14ac:dyDescent="0.25"/>
    <row r="75" spans="1:38" s="226" customFormat="1" x14ac:dyDescent="0.25"/>
    <row r="76" spans="1:38" s="226" customFormat="1" x14ac:dyDescent="0.25"/>
    <row r="77" spans="1:38" s="226" customFormat="1" x14ac:dyDescent="0.25"/>
    <row r="78" spans="1:38" s="226" customFormat="1" x14ac:dyDescent="0.25"/>
    <row r="79" spans="1:38" s="226" customFormat="1" x14ac:dyDescent="0.25"/>
    <row r="80" spans="1:38" s="226" customFormat="1" x14ac:dyDescent="0.25"/>
    <row r="81" s="226" customFormat="1" x14ac:dyDescent="0.25"/>
    <row r="82" s="226" customFormat="1" x14ac:dyDescent="0.25"/>
    <row r="83" s="226" customFormat="1" x14ac:dyDescent="0.25"/>
    <row r="84" s="226" customFormat="1" x14ac:dyDescent="0.25"/>
    <row r="85" s="226" customFormat="1" x14ac:dyDescent="0.25"/>
    <row r="86" s="226" customFormat="1" x14ac:dyDescent="0.25"/>
    <row r="87" s="226" customFormat="1" x14ac:dyDescent="0.25"/>
    <row r="88" s="226" customFormat="1" x14ac:dyDescent="0.25"/>
    <row r="89" s="226" customFormat="1" x14ac:dyDescent="0.25"/>
    <row r="90" s="226" customFormat="1" x14ac:dyDescent="0.25"/>
    <row r="91" s="226" customFormat="1" x14ac:dyDescent="0.25"/>
    <row r="92" s="226" customFormat="1" x14ac:dyDescent="0.25"/>
    <row r="93" s="226" customFormat="1" x14ac:dyDescent="0.25"/>
    <row r="94" s="226" customFormat="1" x14ac:dyDescent="0.25"/>
    <row r="95" s="226" customFormat="1" x14ac:dyDescent="0.25"/>
    <row r="96" s="226" customFormat="1" x14ac:dyDescent="0.25"/>
    <row r="97" s="226" customFormat="1" x14ac:dyDescent="0.25"/>
    <row r="98" s="226" customFormat="1" x14ac:dyDescent="0.25"/>
    <row r="99" s="226" customFormat="1" x14ac:dyDescent="0.25"/>
    <row r="100" s="226" customFormat="1" x14ac:dyDescent="0.25"/>
    <row r="101" s="226" customFormat="1" x14ac:dyDescent="0.25"/>
    <row r="102" s="226" customFormat="1" x14ac:dyDescent="0.25"/>
    <row r="103" s="226" customFormat="1" x14ac:dyDescent="0.25"/>
    <row r="104" s="226" customFormat="1" x14ac:dyDescent="0.25"/>
    <row r="105" s="226" customFormat="1" x14ac:dyDescent="0.25"/>
    <row r="106" s="226" customFormat="1" x14ac:dyDescent="0.25"/>
    <row r="107" s="226" customFormat="1" x14ac:dyDescent="0.25"/>
    <row r="108" s="226" customFormat="1" x14ac:dyDescent="0.25"/>
    <row r="109" s="226" customFormat="1" x14ac:dyDescent="0.25"/>
    <row r="110" s="226" customFormat="1" x14ac:dyDescent="0.25"/>
    <row r="111" s="226" customFormat="1" x14ac:dyDescent="0.25"/>
    <row r="112" s="226" customFormat="1" x14ac:dyDescent="0.25"/>
    <row r="113" s="226" customFormat="1" x14ac:dyDescent="0.25"/>
    <row r="114" s="226" customFormat="1" x14ac:dyDescent="0.25"/>
    <row r="115" s="226" customFormat="1" x14ac:dyDescent="0.25"/>
    <row r="116" s="226" customFormat="1" x14ac:dyDescent="0.25"/>
    <row r="117" s="226" customFormat="1" x14ac:dyDescent="0.25"/>
    <row r="118" s="226" customFormat="1" x14ac:dyDescent="0.25"/>
    <row r="119" s="226" customFormat="1" x14ac:dyDescent="0.25"/>
    <row r="120" s="226" customFormat="1" x14ac:dyDescent="0.25"/>
    <row r="121" s="226" customFormat="1" x14ac:dyDescent="0.25"/>
    <row r="122" s="226" customFormat="1" x14ac:dyDescent="0.25"/>
    <row r="123" s="226" customFormat="1" x14ac:dyDescent="0.25"/>
    <row r="124" s="226" customFormat="1" x14ac:dyDescent="0.25"/>
    <row r="125" s="226" customFormat="1" x14ac:dyDescent="0.25"/>
    <row r="126" s="226" customFormat="1" x14ac:dyDescent="0.25"/>
    <row r="127" s="226" customFormat="1" x14ac:dyDescent="0.25"/>
    <row r="128" s="226" customFormat="1" x14ac:dyDescent="0.25"/>
    <row r="129" s="226" customFormat="1" x14ac:dyDescent="0.25"/>
    <row r="130" s="226" customFormat="1" x14ac:dyDescent="0.25"/>
    <row r="131" s="226" customFormat="1" x14ac:dyDescent="0.25"/>
    <row r="132" s="226" customFormat="1" x14ac:dyDescent="0.25"/>
    <row r="133" s="226" customFormat="1" x14ac:dyDescent="0.25"/>
    <row r="134" s="226" customFormat="1" x14ac:dyDescent="0.25"/>
    <row r="135" s="226" customFormat="1" x14ac:dyDescent="0.25"/>
    <row r="136" s="226" customFormat="1" x14ac:dyDescent="0.25"/>
    <row r="137" s="226" customFormat="1" x14ac:dyDescent="0.25"/>
    <row r="138" s="226" customFormat="1" x14ac:dyDescent="0.25"/>
    <row r="139" s="226" customFormat="1" x14ac:dyDescent="0.25"/>
    <row r="140" s="226" customFormat="1" x14ac:dyDescent="0.25"/>
    <row r="141" s="226" customFormat="1" x14ac:dyDescent="0.25"/>
    <row r="142" s="226" customFormat="1" x14ac:dyDescent="0.25"/>
    <row r="143" s="226" customFormat="1" x14ac:dyDescent="0.25"/>
    <row r="144" s="226" customFormat="1" x14ac:dyDescent="0.25"/>
    <row r="145" s="226" customFormat="1" x14ac:dyDescent="0.25"/>
    <row r="146" s="226" customFormat="1" x14ac:dyDescent="0.25"/>
    <row r="147" s="226" customFormat="1" x14ac:dyDescent="0.25"/>
    <row r="148" s="226" customFormat="1" x14ac:dyDescent="0.25"/>
    <row r="149" s="226" customFormat="1" x14ac:dyDescent="0.25"/>
    <row r="150" s="226" customFormat="1" x14ac:dyDescent="0.25"/>
    <row r="151" s="226" customFormat="1" x14ac:dyDescent="0.25"/>
    <row r="152" s="226" customFormat="1" x14ac:dyDescent="0.25"/>
    <row r="153" s="226" customFormat="1" x14ac:dyDescent="0.25"/>
    <row r="154" s="226" customFormat="1" x14ac:dyDescent="0.25"/>
    <row r="155" s="226" customFormat="1" x14ac:dyDescent="0.25"/>
    <row r="156" s="226" customFormat="1" x14ac:dyDescent="0.25"/>
    <row r="157" s="226" customFormat="1" x14ac:dyDescent="0.25"/>
    <row r="158" s="226" customFormat="1" x14ac:dyDescent="0.25"/>
    <row r="159" s="226" customFormat="1" x14ac:dyDescent="0.25"/>
    <row r="160" s="226" customFormat="1" x14ac:dyDescent="0.25"/>
    <row r="161" s="226" customFormat="1" x14ac:dyDescent="0.25"/>
    <row r="162" s="226" customFormat="1" x14ac:dyDescent="0.25"/>
    <row r="163" s="226" customFormat="1" x14ac:dyDescent="0.25"/>
    <row r="164" s="226" customFormat="1" x14ac:dyDescent="0.25"/>
    <row r="165" s="226" customFormat="1" x14ac:dyDescent="0.25"/>
    <row r="166" s="226" customFormat="1" x14ac:dyDescent="0.25"/>
    <row r="167" s="226" customFormat="1" x14ac:dyDescent="0.25"/>
    <row r="168" s="226" customFormat="1" x14ac:dyDescent="0.25"/>
    <row r="169" s="226" customFormat="1" x14ac:dyDescent="0.25"/>
    <row r="170" s="226" customFormat="1" x14ac:dyDescent="0.25"/>
    <row r="171" s="226" customFormat="1" x14ac:dyDescent="0.25"/>
    <row r="172" s="226" customFormat="1" x14ac:dyDescent="0.25"/>
    <row r="173" s="226" customFormat="1" x14ac:dyDescent="0.25"/>
    <row r="174" s="226" customFormat="1" x14ac:dyDescent="0.25"/>
    <row r="175" s="226" customFormat="1" x14ac:dyDescent="0.25"/>
    <row r="176" s="226" customFormat="1" x14ac:dyDescent="0.25"/>
    <row r="177" s="226" customFormat="1" x14ac:dyDescent="0.25"/>
    <row r="178" s="226" customFormat="1" x14ac:dyDescent="0.25"/>
    <row r="179" s="226" customFormat="1" x14ac:dyDescent="0.25"/>
    <row r="180" s="226" customFormat="1" x14ac:dyDescent="0.25"/>
    <row r="181" s="226" customFormat="1" x14ac:dyDescent="0.25"/>
    <row r="182" s="226" customFormat="1" x14ac:dyDescent="0.25"/>
    <row r="183" s="226" customFormat="1" x14ac:dyDescent="0.25"/>
    <row r="184" s="226" customFormat="1" x14ac:dyDescent="0.25"/>
    <row r="185" s="226" customFormat="1" x14ac:dyDescent="0.25"/>
    <row r="186" s="226" customFormat="1" x14ac:dyDescent="0.25"/>
    <row r="187" s="226" customForma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1"/>
    </sheetView>
  </sheetViews>
  <sheetFormatPr baseColWidth="10" defaultColWidth="9.1796875" defaultRowHeight="12.5" x14ac:dyDescent="0.25"/>
  <cols>
    <col min="2" max="2" width="13.26953125" customWidth="1"/>
  </cols>
  <sheetData>
    <row r="1" spans="1:2" ht="13" x14ac:dyDescent="0.3">
      <c r="A1" s="97" t="s">
        <v>378</v>
      </c>
      <c r="B1" s="97" t="s">
        <v>380</v>
      </c>
    </row>
    <row r="2" spans="1:2" x14ac:dyDescent="0.25">
      <c r="A2" s="105">
        <v>0</v>
      </c>
      <c r="B2" s="95">
        <v>1</v>
      </c>
    </row>
    <row r="3" spans="1:2" x14ac:dyDescent="0.25">
      <c r="A3" s="105">
        <v>155.18181818181819</v>
      </c>
      <c r="B3" s="95">
        <v>3</v>
      </c>
    </row>
    <row r="4" spans="1:2" x14ac:dyDescent="0.25">
      <c r="A4" s="105">
        <v>310.36363636363637</v>
      </c>
      <c r="B4" s="95">
        <v>13</v>
      </c>
    </row>
    <row r="5" spans="1:2" x14ac:dyDescent="0.25">
      <c r="A5" s="105">
        <v>465.54545454545456</v>
      </c>
      <c r="B5" s="95">
        <v>10</v>
      </c>
    </row>
    <row r="6" spans="1:2" x14ac:dyDescent="0.25">
      <c r="A6" s="105">
        <v>620.72727272727275</v>
      </c>
      <c r="B6" s="95">
        <v>15</v>
      </c>
    </row>
    <row r="7" spans="1:2" x14ac:dyDescent="0.25">
      <c r="A7" s="105">
        <v>775.90909090909099</v>
      </c>
      <c r="B7" s="95">
        <v>12</v>
      </c>
    </row>
    <row r="8" spans="1:2" x14ac:dyDescent="0.25">
      <c r="A8" s="105">
        <v>931.09090909090912</v>
      </c>
      <c r="B8" s="95">
        <v>19</v>
      </c>
    </row>
    <row r="9" spans="1:2" x14ac:dyDescent="0.25">
      <c r="A9" s="105">
        <v>1086.2727272727273</v>
      </c>
      <c r="B9" s="95">
        <v>29</v>
      </c>
    </row>
    <row r="10" spans="1:2" x14ac:dyDescent="0.25">
      <c r="A10" s="105">
        <v>1241.4545454545455</v>
      </c>
      <c r="B10" s="95">
        <v>20</v>
      </c>
    </row>
    <row r="11" spans="1:2" x14ac:dyDescent="0.25">
      <c r="A11" s="105">
        <v>1396.6363636363637</v>
      </c>
      <c r="B11" s="95">
        <v>33</v>
      </c>
    </row>
    <row r="12" spans="1:2" x14ac:dyDescent="0.25">
      <c r="A12" s="105">
        <v>1551.818181818182</v>
      </c>
      <c r="B12" s="95">
        <v>37</v>
      </c>
    </row>
    <row r="13" spans="1:2" x14ac:dyDescent="0.25">
      <c r="A13" s="105">
        <v>1707</v>
      </c>
      <c r="B13" s="95">
        <v>41</v>
      </c>
    </row>
    <row r="14" spans="1:2" x14ac:dyDescent="0.25">
      <c r="A14" s="105">
        <v>1862.1818181818182</v>
      </c>
      <c r="B14" s="95">
        <v>45</v>
      </c>
    </row>
    <row r="15" spans="1:2" x14ac:dyDescent="0.25">
      <c r="A15" s="105">
        <v>2017.3636363636365</v>
      </c>
      <c r="B15" s="95">
        <v>43</v>
      </c>
    </row>
    <row r="16" spans="1:2" x14ac:dyDescent="0.25">
      <c r="A16" s="105">
        <v>2172.5454545454545</v>
      </c>
      <c r="B16" s="95">
        <v>44</v>
      </c>
    </row>
    <row r="17" spans="1:2" x14ac:dyDescent="0.25">
      <c r="A17" s="105">
        <v>2327.727272727273</v>
      </c>
      <c r="B17" s="95">
        <v>42</v>
      </c>
    </row>
    <row r="18" spans="1:2" x14ac:dyDescent="0.25">
      <c r="A18" s="105">
        <v>2482.909090909091</v>
      </c>
      <c r="B18" s="95">
        <v>41</v>
      </c>
    </row>
    <row r="19" spans="1:2" x14ac:dyDescent="0.25">
      <c r="A19" s="105">
        <v>2638.090909090909</v>
      </c>
      <c r="B19" s="95">
        <v>33</v>
      </c>
    </row>
    <row r="20" spans="1:2" x14ac:dyDescent="0.25">
      <c r="A20" s="105">
        <v>2793.2727272727275</v>
      </c>
      <c r="B20" s="95">
        <v>22</v>
      </c>
    </row>
    <row r="21" spans="1:2" x14ac:dyDescent="0.25">
      <c r="A21" s="105">
        <v>2948.4545454545455</v>
      </c>
      <c r="B21" s="95">
        <v>11</v>
      </c>
    </row>
    <row r="22" spans="1:2" x14ac:dyDescent="0.25">
      <c r="A22" s="105">
        <v>3103.636363636364</v>
      </c>
      <c r="B22" s="95">
        <v>5</v>
      </c>
    </row>
    <row r="23" spans="1:2" x14ac:dyDescent="0.25">
      <c r="A23" s="105">
        <v>3258.818181818182</v>
      </c>
      <c r="B23" s="95">
        <v>2</v>
      </c>
    </row>
    <row r="24" spans="1:2" ht="13" thickBot="1" x14ac:dyDescent="0.3">
      <c r="A24" s="96" t="s">
        <v>379</v>
      </c>
      <c r="B24" s="96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527"/>
  <sheetViews>
    <sheetView topLeftCell="A360" zoomScaleNormal="100" workbookViewId="0">
      <selection activeCell="F434" sqref="F434"/>
    </sheetView>
  </sheetViews>
  <sheetFormatPr baseColWidth="10" defaultColWidth="9.1796875" defaultRowHeight="12.5" x14ac:dyDescent="0.25"/>
  <cols>
    <col min="1" max="1" width="6.453125" customWidth="1"/>
    <col min="2" max="2" width="14.1796875" customWidth="1"/>
    <col min="4" max="4" width="8.1796875" customWidth="1"/>
    <col min="5" max="5" width="16.81640625" customWidth="1"/>
    <col min="6" max="6" width="34.7265625" customWidth="1"/>
    <col min="7" max="7" width="12.1796875" customWidth="1"/>
    <col min="8" max="11" width="11.54296875" customWidth="1"/>
    <col min="17" max="19" width="9.1796875" style="1"/>
    <col min="20" max="21" width="9.1796875" style="128"/>
    <col min="22" max="31" width="9.1796875" style="1"/>
    <col min="32" max="32" width="9.1796875" style="115"/>
    <col min="33" max="33" width="13.7265625" style="115" customWidth="1"/>
  </cols>
  <sheetData>
    <row r="1" spans="1:36" s="24" customFormat="1" ht="65" x14ac:dyDescent="0.25">
      <c r="A1"/>
      <c r="B1" s="84" t="s">
        <v>0</v>
      </c>
      <c r="C1" s="85" t="s">
        <v>3</v>
      </c>
      <c r="D1" s="85" t="s">
        <v>4</v>
      </c>
      <c r="E1" s="86" t="s">
        <v>6</v>
      </c>
      <c r="F1" s="86" t="s">
        <v>388</v>
      </c>
      <c r="G1" s="33" t="s">
        <v>9</v>
      </c>
      <c r="H1" s="33" t="s">
        <v>8</v>
      </c>
      <c r="I1" s="33" t="s">
        <v>386</v>
      </c>
      <c r="J1" s="33" t="s">
        <v>385</v>
      </c>
      <c r="K1" s="33" t="s">
        <v>377</v>
      </c>
      <c r="L1" s="33" t="s">
        <v>11</v>
      </c>
      <c r="M1" s="33" t="s">
        <v>401</v>
      </c>
      <c r="N1" s="33" t="s">
        <v>402</v>
      </c>
      <c r="O1" s="33" t="s">
        <v>403</v>
      </c>
      <c r="P1" s="33" t="s">
        <v>404</v>
      </c>
      <c r="Q1" s="33" t="s">
        <v>396</v>
      </c>
      <c r="R1" s="33" t="s">
        <v>397</v>
      </c>
      <c r="S1" s="33" t="s">
        <v>398</v>
      </c>
      <c r="T1" s="122" t="s">
        <v>394</v>
      </c>
      <c r="U1" s="122" t="s">
        <v>393</v>
      </c>
      <c r="V1" s="33" t="s">
        <v>17</v>
      </c>
      <c r="W1" s="33" t="s">
        <v>399</v>
      </c>
      <c r="X1" s="33" t="s">
        <v>19</v>
      </c>
      <c r="Y1" s="33" t="s">
        <v>20</v>
      </c>
      <c r="Z1" s="33" t="s">
        <v>21</v>
      </c>
      <c r="AA1" s="33" t="s">
        <v>22</v>
      </c>
      <c r="AB1" s="33" t="s">
        <v>23</v>
      </c>
      <c r="AC1" s="33" t="s">
        <v>24</v>
      </c>
      <c r="AD1" s="33" t="s">
        <v>15</v>
      </c>
      <c r="AE1" s="33" t="s">
        <v>400</v>
      </c>
      <c r="AF1" s="136"/>
      <c r="AG1" s="110" t="s">
        <v>18</v>
      </c>
      <c r="AI1" s="104">
        <v>1713</v>
      </c>
      <c r="AJ1">
        <v>-2133</v>
      </c>
    </row>
    <row r="2" spans="1:36" s="55" customFormat="1" ht="13" hidden="1" x14ac:dyDescent="0.3">
      <c r="A2" s="24"/>
      <c r="B2" s="83" t="s">
        <v>201</v>
      </c>
      <c r="C2" s="83">
        <v>2</v>
      </c>
      <c r="D2" s="87"/>
      <c r="E2" s="78">
        <v>38946</v>
      </c>
      <c r="F2" s="104">
        <f>H2-E2</f>
        <v>2421</v>
      </c>
      <c r="G2" s="22">
        <v>40659</v>
      </c>
      <c r="H2" s="80">
        <v>41367</v>
      </c>
      <c r="I2" s="104">
        <f t="shared" ref="I2:I65" si="0">G2-E2</f>
        <v>1713</v>
      </c>
      <c r="J2" s="19">
        <f t="shared" ref="J2:J33" si="1">H2-G2</f>
        <v>708</v>
      </c>
      <c r="K2" s="19" t="s">
        <v>69</v>
      </c>
      <c r="L2" s="19">
        <v>5.19</v>
      </c>
      <c r="M2" s="19">
        <f>IF($J2&gt;540,1,0)</f>
        <v>1</v>
      </c>
      <c r="N2" s="19">
        <f>IF($J2&gt;360,1,0)</f>
        <v>1</v>
      </c>
      <c r="O2" s="19">
        <f>IF($J2&gt;180,1,0)</f>
        <v>1</v>
      </c>
      <c r="P2" s="19">
        <f>IF($J2&gt;90,1,0)</f>
        <v>1</v>
      </c>
      <c r="Q2" s="19">
        <v>0</v>
      </c>
      <c r="R2" s="19">
        <f>33+19</f>
        <v>52</v>
      </c>
      <c r="S2" s="19">
        <v>0</v>
      </c>
      <c r="T2" s="104">
        <v>0</v>
      </c>
      <c r="U2" s="104">
        <v>0</v>
      </c>
      <c r="V2" s="19">
        <v>60</v>
      </c>
      <c r="W2" s="19">
        <v>1</v>
      </c>
      <c r="X2" s="19">
        <v>0</v>
      </c>
      <c r="Y2" s="19">
        <v>0</v>
      </c>
      <c r="Z2" s="19">
        <v>2.5</v>
      </c>
      <c r="AA2" s="19">
        <v>0.6</v>
      </c>
      <c r="AB2" s="19">
        <v>0</v>
      </c>
      <c r="AC2" s="19">
        <v>0</v>
      </c>
      <c r="AD2" s="19">
        <v>0</v>
      </c>
      <c r="AE2" s="19" t="s">
        <v>47</v>
      </c>
      <c r="AF2" s="111" t="s">
        <v>42</v>
      </c>
      <c r="AG2" s="111">
        <v>1</v>
      </c>
      <c r="AI2" s="104">
        <v>1783</v>
      </c>
      <c r="AJ2">
        <v>-1930</v>
      </c>
    </row>
    <row r="3" spans="1:36" ht="13" hidden="1" x14ac:dyDescent="0.3">
      <c r="A3" s="55"/>
      <c r="B3" s="19" t="s">
        <v>201</v>
      </c>
      <c r="C3" s="19">
        <v>2</v>
      </c>
      <c r="D3" s="77"/>
      <c r="E3" s="78">
        <v>38946</v>
      </c>
      <c r="F3" s="104">
        <f t="shared" ref="F3:F66" si="2">H3-E3</f>
        <v>2421</v>
      </c>
      <c r="G3" s="80">
        <v>40729</v>
      </c>
      <c r="H3" s="80">
        <v>41367</v>
      </c>
      <c r="I3" s="104">
        <f t="shared" si="0"/>
        <v>1783</v>
      </c>
      <c r="J3" s="19">
        <f t="shared" si="1"/>
        <v>638</v>
      </c>
      <c r="K3" s="19" t="s">
        <v>69</v>
      </c>
      <c r="L3" s="21">
        <v>5.18</v>
      </c>
      <c r="M3" s="19">
        <f t="shared" ref="M3:M66" si="3">IF($J3&gt;540,1,0)</f>
        <v>1</v>
      </c>
      <c r="N3" s="19">
        <f t="shared" ref="N3:N66" si="4">IF($J3&gt;360,1,0)</f>
        <v>1</v>
      </c>
      <c r="O3" s="19">
        <f t="shared" ref="O3:O66" si="5">IF($J3&gt;180,1,0)</f>
        <v>1</v>
      </c>
      <c r="P3" s="19">
        <f t="shared" ref="P3:P66" si="6">IF($J3&gt;90,1,0)</f>
        <v>1</v>
      </c>
      <c r="Q3" s="12">
        <v>0</v>
      </c>
      <c r="R3" s="21">
        <f>36+23</f>
        <v>59</v>
      </c>
      <c r="S3" s="12">
        <v>0</v>
      </c>
      <c r="T3" s="123">
        <v>0</v>
      </c>
      <c r="U3" s="123">
        <v>1</v>
      </c>
      <c r="V3" s="19">
        <v>60</v>
      </c>
      <c r="W3" s="19">
        <v>1</v>
      </c>
      <c r="X3" s="19">
        <v>0</v>
      </c>
      <c r="Y3" s="19">
        <v>0</v>
      </c>
      <c r="Z3" s="19">
        <v>2.5</v>
      </c>
      <c r="AA3" s="19">
        <v>0.6</v>
      </c>
      <c r="AB3" s="12">
        <v>0</v>
      </c>
      <c r="AC3" s="12">
        <v>0</v>
      </c>
      <c r="AD3" s="12">
        <v>0</v>
      </c>
      <c r="AE3" s="19" t="s">
        <v>47</v>
      </c>
      <c r="AF3" s="112" t="s">
        <v>46</v>
      </c>
      <c r="AG3" s="111">
        <v>1</v>
      </c>
      <c r="AI3" s="104">
        <v>1895</v>
      </c>
      <c r="AJ3">
        <v>0</v>
      </c>
    </row>
    <row r="4" spans="1:36" hidden="1" x14ac:dyDescent="0.25">
      <c r="B4" s="24" t="s">
        <v>201</v>
      </c>
      <c r="C4" s="24">
        <v>2</v>
      </c>
      <c r="E4" s="27">
        <v>38946</v>
      </c>
      <c r="F4" s="104">
        <f t="shared" si="2"/>
        <v>2421</v>
      </c>
      <c r="G4" s="80">
        <v>40841</v>
      </c>
      <c r="H4" s="80">
        <v>41367</v>
      </c>
      <c r="I4" s="104">
        <f t="shared" si="0"/>
        <v>1895</v>
      </c>
      <c r="J4" s="19">
        <f t="shared" si="1"/>
        <v>526</v>
      </c>
      <c r="K4" s="19" t="s">
        <v>69</v>
      </c>
      <c r="L4" s="21">
        <v>5.16</v>
      </c>
      <c r="M4" s="19">
        <f t="shared" si="3"/>
        <v>0</v>
      </c>
      <c r="N4" s="19">
        <f t="shared" si="4"/>
        <v>1</v>
      </c>
      <c r="O4" s="19">
        <f t="shared" si="5"/>
        <v>1</v>
      </c>
      <c r="P4" s="19">
        <f t="shared" si="6"/>
        <v>1</v>
      </c>
      <c r="Q4" s="12">
        <v>0</v>
      </c>
      <c r="R4" s="21">
        <f>35+21</f>
        <v>56</v>
      </c>
      <c r="S4" s="12">
        <v>0</v>
      </c>
      <c r="T4" s="104">
        <v>0</v>
      </c>
      <c r="U4" s="104">
        <v>0</v>
      </c>
      <c r="V4" s="19">
        <v>60</v>
      </c>
      <c r="W4" s="19">
        <v>1</v>
      </c>
      <c r="X4" s="19">
        <v>0</v>
      </c>
      <c r="Y4" s="19">
        <v>0</v>
      </c>
      <c r="Z4" s="19">
        <v>2.5</v>
      </c>
      <c r="AA4" s="19">
        <v>0.6</v>
      </c>
      <c r="AB4" s="12">
        <v>0</v>
      </c>
      <c r="AC4" s="12">
        <v>0</v>
      </c>
      <c r="AD4" s="12">
        <v>0</v>
      </c>
      <c r="AE4" s="19" t="s">
        <v>47</v>
      </c>
      <c r="AF4" s="111" t="s">
        <v>42</v>
      </c>
      <c r="AG4" s="111">
        <v>1</v>
      </c>
      <c r="AI4" s="104">
        <v>2098</v>
      </c>
      <c r="AJ4">
        <v>63</v>
      </c>
    </row>
    <row r="5" spans="1:36" hidden="1" x14ac:dyDescent="0.25">
      <c r="B5" s="24" t="s">
        <v>201</v>
      </c>
      <c r="C5" s="24">
        <v>2</v>
      </c>
      <c r="E5" s="27">
        <v>38946</v>
      </c>
      <c r="F5" s="104">
        <f t="shared" si="2"/>
        <v>2421</v>
      </c>
      <c r="G5" s="80">
        <v>41044</v>
      </c>
      <c r="H5" s="80">
        <v>41367</v>
      </c>
      <c r="I5" s="104">
        <f t="shared" si="0"/>
        <v>2098</v>
      </c>
      <c r="J5" s="19">
        <f t="shared" si="1"/>
        <v>323</v>
      </c>
      <c r="K5" s="19" t="s">
        <v>69</v>
      </c>
      <c r="L5" s="21">
        <v>5.13</v>
      </c>
      <c r="M5" s="19">
        <f t="shared" si="3"/>
        <v>0</v>
      </c>
      <c r="N5" s="19">
        <f t="shared" si="4"/>
        <v>0</v>
      </c>
      <c r="O5" s="19">
        <f t="shared" si="5"/>
        <v>1</v>
      </c>
      <c r="P5" s="19">
        <f t="shared" si="6"/>
        <v>1</v>
      </c>
      <c r="Q5" s="12">
        <v>0</v>
      </c>
      <c r="R5" s="21">
        <f>36+16</f>
        <v>52</v>
      </c>
      <c r="S5" s="12">
        <v>0</v>
      </c>
      <c r="T5" s="123">
        <v>1</v>
      </c>
      <c r="U5" s="123">
        <v>1</v>
      </c>
      <c r="V5" s="19">
        <v>60</v>
      </c>
      <c r="W5" s="19">
        <v>1</v>
      </c>
      <c r="X5" s="19">
        <v>0</v>
      </c>
      <c r="Y5" s="19">
        <v>0</v>
      </c>
      <c r="Z5" s="19">
        <v>2.5</v>
      </c>
      <c r="AA5" s="19">
        <v>0.6</v>
      </c>
      <c r="AB5" s="12">
        <v>0</v>
      </c>
      <c r="AC5" s="12">
        <v>0</v>
      </c>
      <c r="AD5" s="12">
        <v>0</v>
      </c>
      <c r="AE5" s="19" t="s">
        <v>47</v>
      </c>
      <c r="AF5" s="137" t="s">
        <v>207</v>
      </c>
      <c r="AG5" s="111">
        <v>1</v>
      </c>
      <c r="AI5" s="104">
        <v>2197</v>
      </c>
      <c r="AJ5">
        <v>106</v>
      </c>
    </row>
    <row r="6" spans="1:36" hidden="1" x14ac:dyDescent="0.25">
      <c r="B6" s="24" t="s">
        <v>201</v>
      </c>
      <c r="C6" s="24">
        <v>2</v>
      </c>
      <c r="E6" s="27">
        <v>38946</v>
      </c>
      <c r="F6" s="104">
        <f t="shared" si="2"/>
        <v>2421</v>
      </c>
      <c r="G6" s="80">
        <v>41143</v>
      </c>
      <c r="H6" s="80">
        <v>41367</v>
      </c>
      <c r="I6" s="104">
        <f t="shared" si="0"/>
        <v>2197</v>
      </c>
      <c r="J6" s="19">
        <f t="shared" si="1"/>
        <v>224</v>
      </c>
      <c r="K6" s="19" t="s">
        <v>69</v>
      </c>
      <c r="L6" s="21">
        <v>5.12</v>
      </c>
      <c r="M6" s="19">
        <f t="shared" si="3"/>
        <v>0</v>
      </c>
      <c r="N6" s="19">
        <f t="shared" si="4"/>
        <v>0</v>
      </c>
      <c r="O6" s="19">
        <f t="shared" si="5"/>
        <v>1</v>
      </c>
      <c r="P6" s="19">
        <f t="shared" si="6"/>
        <v>1</v>
      </c>
      <c r="Q6" s="12">
        <v>0</v>
      </c>
      <c r="R6" s="21">
        <f>38+15</f>
        <v>53</v>
      </c>
      <c r="S6" s="12">
        <v>0</v>
      </c>
      <c r="T6" s="104">
        <v>0</v>
      </c>
      <c r="U6" s="104">
        <v>0</v>
      </c>
      <c r="V6" s="19">
        <v>60</v>
      </c>
      <c r="W6" s="19">
        <v>1</v>
      </c>
      <c r="X6" s="19">
        <v>0</v>
      </c>
      <c r="Y6" s="19">
        <v>0</v>
      </c>
      <c r="Z6" s="19">
        <v>2.5</v>
      </c>
      <c r="AA6" s="19">
        <v>0.6</v>
      </c>
      <c r="AB6" s="12">
        <v>0</v>
      </c>
      <c r="AC6" s="12">
        <v>0</v>
      </c>
      <c r="AD6" s="12">
        <v>0</v>
      </c>
      <c r="AE6" s="19" t="s">
        <v>47</v>
      </c>
      <c r="AF6" s="111" t="s">
        <v>42</v>
      </c>
      <c r="AG6" s="111">
        <v>1</v>
      </c>
      <c r="AI6" s="104">
        <v>2314</v>
      </c>
      <c r="AJ6">
        <v>151</v>
      </c>
    </row>
    <row r="7" spans="1:36" hidden="1" x14ac:dyDescent="0.25">
      <c r="B7" s="24" t="s">
        <v>201</v>
      </c>
      <c r="C7" s="24">
        <v>2</v>
      </c>
      <c r="E7" s="27">
        <v>38946</v>
      </c>
      <c r="F7" s="104">
        <f t="shared" si="2"/>
        <v>2421</v>
      </c>
      <c r="G7" s="80">
        <v>41260</v>
      </c>
      <c r="H7" s="80">
        <v>41367</v>
      </c>
      <c r="I7" s="104">
        <f t="shared" si="0"/>
        <v>2314</v>
      </c>
      <c r="J7" s="19">
        <f t="shared" si="1"/>
        <v>107</v>
      </c>
      <c r="K7" s="19" t="s">
        <v>69</v>
      </c>
      <c r="L7" s="21">
        <v>5.09</v>
      </c>
      <c r="M7" s="19">
        <f t="shared" si="3"/>
        <v>0</v>
      </c>
      <c r="N7" s="19">
        <f t="shared" si="4"/>
        <v>0</v>
      </c>
      <c r="O7" s="19">
        <f t="shared" si="5"/>
        <v>0</v>
      </c>
      <c r="P7" s="19">
        <f t="shared" si="6"/>
        <v>1</v>
      </c>
      <c r="Q7" s="12">
        <v>0</v>
      </c>
      <c r="R7" s="21">
        <v>48</v>
      </c>
      <c r="S7" s="12">
        <v>0</v>
      </c>
      <c r="T7" s="123">
        <v>0</v>
      </c>
      <c r="U7" s="123">
        <v>1</v>
      </c>
      <c r="V7" s="19">
        <v>60</v>
      </c>
      <c r="W7" s="21">
        <v>0</v>
      </c>
      <c r="X7" s="12">
        <v>0</v>
      </c>
      <c r="Y7" s="12">
        <v>0</v>
      </c>
      <c r="Z7" s="19">
        <v>2.5</v>
      </c>
      <c r="AA7" s="19">
        <v>0.6</v>
      </c>
      <c r="AB7" s="12">
        <v>0</v>
      </c>
      <c r="AC7" s="12">
        <v>0</v>
      </c>
      <c r="AD7" s="12">
        <v>0</v>
      </c>
      <c r="AE7" s="21" t="s">
        <v>208</v>
      </c>
      <c r="AF7" s="112" t="s">
        <v>46</v>
      </c>
      <c r="AG7" s="112" t="s">
        <v>43</v>
      </c>
      <c r="AI7" s="104">
        <v>2413</v>
      </c>
      <c r="AJ7">
        <v>204</v>
      </c>
    </row>
    <row r="8" spans="1:36" hidden="1" x14ac:dyDescent="0.25">
      <c r="B8" s="24" t="s">
        <v>201</v>
      </c>
      <c r="C8" s="24">
        <v>2</v>
      </c>
      <c r="E8" s="27">
        <v>38946</v>
      </c>
      <c r="F8" s="104">
        <f t="shared" si="2"/>
        <v>2421</v>
      </c>
      <c r="G8" s="78">
        <v>41359</v>
      </c>
      <c r="H8" s="80">
        <v>41367</v>
      </c>
      <c r="I8" s="104">
        <f t="shared" si="0"/>
        <v>2413</v>
      </c>
      <c r="J8" s="19">
        <f t="shared" si="1"/>
        <v>8</v>
      </c>
      <c r="K8" s="19" t="s">
        <v>69</v>
      </c>
      <c r="L8" s="21">
        <v>5.04</v>
      </c>
      <c r="M8" s="19">
        <f t="shared" si="3"/>
        <v>0</v>
      </c>
      <c r="N8" s="19">
        <f t="shared" si="4"/>
        <v>0</v>
      </c>
      <c r="O8" s="19">
        <f t="shared" si="5"/>
        <v>0</v>
      </c>
      <c r="P8" s="19">
        <f t="shared" si="6"/>
        <v>0</v>
      </c>
      <c r="Q8" s="12">
        <v>0</v>
      </c>
      <c r="R8" s="21">
        <v>47</v>
      </c>
      <c r="S8" s="12">
        <v>0</v>
      </c>
      <c r="T8" s="123">
        <v>0</v>
      </c>
      <c r="U8" s="123">
        <v>1</v>
      </c>
      <c r="V8" s="19">
        <v>60</v>
      </c>
      <c r="W8" s="21">
        <v>0</v>
      </c>
      <c r="X8" s="12">
        <v>0</v>
      </c>
      <c r="Y8" s="12">
        <v>0</v>
      </c>
      <c r="Z8" s="19">
        <v>2.5</v>
      </c>
      <c r="AA8" s="19">
        <v>0.6</v>
      </c>
      <c r="AB8" s="12">
        <v>0</v>
      </c>
      <c r="AC8" s="12">
        <v>0</v>
      </c>
      <c r="AD8" s="12">
        <v>0</v>
      </c>
      <c r="AE8" s="21" t="s">
        <v>208</v>
      </c>
      <c r="AF8" s="112" t="s">
        <v>46</v>
      </c>
      <c r="AG8" s="112" t="s">
        <v>43</v>
      </c>
      <c r="AI8" s="104">
        <v>2421</v>
      </c>
      <c r="AJ8">
        <v>210</v>
      </c>
    </row>
    <row r="9" spans="1:36" hidden="1" x14ac:dyDescent="0.25">
      <c r="B9" s="24" t="s">
        <v>201</v>
      </c>
      <c r="C9" s="24">
        <v>2</v>
      </c>
      <c r="E9" s="27">
        <v>38946</v>
      </c>
      <c r="F9" s="104">
        <f t="shared" si="2"/>
        <v>2421</v>
      </c>
      <c r="G9" s="80">
        <v>41367</v>
      </c>
      <c r="H9" s="80">
        <v>41367</v>
      </c>
      <c r="I9" s="104">
        <f t="shared" si="0"/>
        <v>2421</v>
      </c>
      <c r="J9" s="19">
        <f t="shared" si="1"/>
        <v>0</v>
      </c>
      <c r="K9" s="19" t="s">
        <v>69</v>
      </c>
      <c r="L9" s="19">
        <v>5.04</v>
      </c>
      <c r="M9" s="19">
        <f t="shared" si="3"/>
        <v>0</v>
      </c>
      <c r="N9" s="19">
        <f t="shared" si="4"/>
        <v>0</v>
      </c>
      <c r="O9" s="19">
        <f t="shared" si="5"/>
        <v>0</v>
      </c>
      <c r="P9" s="19">
        <f t="shared" si="6"/>
        <v>0</v>
      </c>
      <c r="Q9" s="12">
        <v>0</v>
      </c>
      <c r="R9" s="19">
        <v>60</v>
      </c>
      <c r="S9" s="12">
        <v>0</v>
      </c>
      <c r="T9" s="123">
        <v>0</v>
      </c>
      <c r="U9" s="123">
        <v>1</v>
      </c>
      <c r="V9" s="19">
        <v>60</v>
      </c>
      <c r="W9" s="21">
        <v>0</v>
      </c>
      <c r="X9" s="21">
        <v>0</v>
      </c>
      <c r="Y9" s="21">
        <v>0</v>
      </c>
      <c r="Z9" s="19">
        <v>2.5</v>
      </c>
      <c r="AA9" s="19">
        <v>0.6</v>
      </c>
      <c r="AB9" s="12">
        <v>0</v>
      </c>
      <c r="AC9" s="12">
        <v>0</v>
      </c>
      <c r="AD9" s="12">
        <v>0</v>
      </c>
      <c r="AE9" s="21" t="s">
        <v>208</v>
      </c>
      <c r="AF9" s="112" t="s">
        <v>46</v>
      </c>
      <c r="AG9" s="112" t="s">
        <v>43</v>
      </c>
      <c r="AI9" s="104">
        <v>1418</v>
      </c>
      <c r="AJ9">
        <v>219</v>
      </c>
    </row>
    <row r="10" spans="1:36" x14ac:dyDescent="0.25">
      <c r="B10" s="4" t="s">
        <v>1</v>
      </c>
      <c r="C10" s="4">
        <v>3</v>
      </c>
      <c r="D10" s="4" t="s">
        <v>5</v>
      </c>
      <c r="E10" s="53">
        <v>38772</v>
      </c>
      <c r="F10" s="104">
        <f t="shared" si="2"/>
        <v>2384</v>
      </c>
      <c r="G10" s="10">
        <v>40190</v>
      </c>
      <c r="H10" s="10">
        <v>41156</v>
      </c>
      <c r="I10" s="104">
        <f t="shared" si="0"/>
        <v>1418</v>
      </c>
      <c r="J10" s="19">
        <f t="shared" si="1"/>
        <v>966</v>
      </c>
      <c r="K10" s="19" t="s">
        <v>65</v>
      </c>
      <c r="L10" s="12">
        <v>5.22</v>
      </c>
      <c r="M10" s="19">
        <f t="shared" si="3"/>
        <v>1</v>
      </c>
      <c r="N10" s="19">
        <f t="shared" si="4"/>
        <v>1</v>
      </c>
      <c r="O10" s="19">
        <f t="shared" si="5"/>
        <v>1</v>
      </c>
      <c r="P10" s="19">
        <f t="shared" si="6"/>
        <v>1</v>
      </c>
      <c r="Q10" s="12">
        <v>19</v>
      </c>
      <c r="R10" s="12">
        <v>98</v>
      </c>
      <c r="S10" s="12">
        <v>98</v>
      </c>
      <c r="T10" s="124">
        <v>0</v>
      </c>
      <c r="U10" s="124">
        <v>0</v>
      </c>
      <c r="V10" s="12">
        <v>60</v>
      </c>
      <c r="W10" s="12">
        <v>0</v>
      </c>
      <c r="X10" s="12">
        <v>2</v>
      </c>
      <c r="Y10" s="12">
        <v>0.35</v>
      </c>
      <c r="Z10" s="12">
        <v>2.5</v>
      </c>
      <c r="AA10" s="12">
        <v>0.35</v>
      </c>
      <c r="AB10" s="12">
        <v>2</v>
      </c>
      <c r="AC10" s="12">
        <v>0.35</v>
      </c>
      <c r="AD10" s="12" t="s">
        <v>16</v>
      </c>
      <c r="AE10" s="12">
        <v>60</v>
      </c>
      <c r="AF10" s="113"/>
      <c r="AG10" s="113">
        <v>120</v>
      </c>
      <c r="AI10" s="104">
        <v>1481</v>
      </c>
      <c r="AJ10">
        <v>228</v>
      </c>
    </row>
    <row r="11" spans="1:36" x14ac:dyDescent="0.25">
      <c r="B11" s="4" t="s">
        <v>1</v>
      </c>
      <c r="C11" s="4">
        <v>3</v>
      </c>
      <c r="D11" s="4" t="s">
        <v>5</v>
      </c>
      <c r="E11" s="53">
        <v>38772</v>
      </c>
      <c r="F11" s="104">
        <f t="shared" si="2"/>
        <v>2384</v>
      </c>
      <c r="G11" s="10">
        <v>40253</v>
      </c>
      <c r="H11" s="10">
        <v>41156</v>
      </c>
      <c r="I11" s="104">
        <f t="shared" si="0"/>
        <v>1481</v>
      </c>
      <c r="J11" s="19">
        <f t="shared" si="1"/>
        <v>903</v>
      </c>
      <c r="K11" s="19" t="s">
        <v>65</v>
      </c>
      <c r="L11" s="12">
        <v>5.21</v>
      </c>
      <c r="M11" s="19">
        <f t="shared" si="3"/>
        <v>1</v>
      </c>
      <c r="N11" s="19">
        <f t="shared" si="4"/>
        <v>1</v>
      </c>
      <c r="O11" s="19">
        <f t="shared" si="5"/>
        <v>1</v>
      </c>
      <c r="P11" s="19">
        <f t="shared" si="6"/>
        <v>1</v>
      </c>
      <c r="Q11" s="12">
        <v>19</v>
      </c>
      <c r="R11" s="12">
        <v>98</v>
      </c>
      <c r="S11" s="12">
        <v>98</v>
      </c>
      <c r="T11" s="124">
        <v>0</v>
      </c>
      <c r="U11" s="124">
        <v>0</v>
      </c>
      <c r="V11" s="12">
        <v>60</v>
      </c>
      <c r="W11" s="12">
        <v>0</v>
      </c>
      <c r="X11" s="12">
        <v>2</v>
      </c>
      <c r="Y11" s="12">
        <v>0.35</v>
      </c>
      <c r="Z11" s="12">
        <v>2.5</v>
      </c>
      <c r="AA11" s="12">
        <v>0.35</v>
      </c>
      <c r="AB11" s="12">
        <v>2</v>
      </c>
      <c r="AC11" s="12">
        <v>0.35</v>
      </c>
      <c r="AD11" s="12" t="s">
        <v>16</v>
      </c>
      <c r="AE11" s="12">
        <v>60</v>
      </c>
      <c r="AF11" s="113"/>
      <c r="AG11" s="113">
        <v>120</v>
      </c>
      <c r="AI11" s="104">
        <v>1579</v>
      </c>
      <c r="AJ11">
        <v>228</v>
      </c>
    </row>
    <row r="12" spans="1:36" x14ac:dyDescent="0.25">
      <c r="B12" s="4" t="s">
        <v>1</v>
      </c>
      <c r="C12" s="4">
        <v>3</v>
      </c>
      <c r="D12" s="4" t="s">
        <v>5</v>
      </c>
      <c r="E12" s="53">
        <v>38772</v>
      </c>
      <c r="F12" s="104">
        <f t="shared" si="2"/>
        <v>2384</v>
      </c>
      <c r="G12" s="10">
        <v>40351</v>
      </c>
      <c r="H12" s="10">
        <v>41156</v>
      </c>
      <c r="I12" s="104">
        <f t="shared" si="0"/>
        <v>1579</v>
      </c>
      <c r="J12" s="19">
        <f t="shared" si="1"/>
        <v>805</v>
      </c>
      <c r="K12" s="19" t="s">
        <v>65</v>
      </c>
      <c r="L12" s="12">
        <v>5.19</v>
      </c>
      <c r="M12" s="19">
        <f t="shared" si="3"/>
        <v>1</v>
      </c>
      <c r="N12" s="19">
        <f t="shared" si="4"/>
        <v>1</v>
      </c>
      <c r="O12" s="19">
        <f t="shared" si="5"/>
        <v>1</v>
      </c>
      <c r="P12" s="19">
        <f t="shared" si="6"/>
        <v>1</v>
      </c>
      <c r="Q12" s="12">
        <v>11</v>
      </c>
      <c r="R12" s="12">
        <v>99</v>
      </c>
      <c r="S12" s="12">
        <v>99</v>
      </c>
      <c r="T12" s="124">
        <v>0</v>
      </c>
      <c r="U12" s="124">
        <v>0</v>
      </c>
      <c r="V12" s="12">
        <v>60</v>
      </c>
      <c r="W12" s="12">
        <v>0</v>
      </c>
      <c r="X12" s="12">
        <v>2</v>
      </c>
      <c r="Y12" s="12">
        <v>0.35</v>
      </c>
      <c r="Z12" s="12">
        <v>2.5</v>
      </c>
      <c r="AA12" s="12">
        <v>0.35</v>
      </c>
      <c r="AB12" s="12">
        <v>2</v>
      </c>
      <c r="AC12" s="12">
        <v>0.35</v>
      </c>
      <c r="AD12" s="12" t="s">
        <v>16</v>
      </c>
      <c r="AE12" s="12">
        <v>60</v>
      </c>
      <c r="AF12" s="113"/>
      <c r="AG12" s="113">
        <v>120</v>
      </c>
      <c r="AI12" s="104">
        <v>1978</v>
      </c>
      <c r="AJ12">
        <v>232</v>
      </c>
    </row>
    <row r="13" spans="1:36" x14ac:dyDescent="0.25">
      <c r="B13" s="4" t="s">
        <v>1</v>
      </c>
      <c r="C13" s="4">
        <v>3</v>
      </c>
      <c r="D13" s="4" t="s">
        <v>5</v>
      </c>
      <c r="E13" s="53">
        <v>38772</v>
      </c>
      <c r="F13" s="104">
        <f t="shared" si="2"/>
        <v>2384</v>
      </c>
      <c r="G13" s="10">
        <v>40750</v>
      </c>
      <c r="H13" s="10">
        <v>41156</v>
      </c>
      <c r="I13" s="104">
        <f t="shared" si="0"/>
        <v>1978</v>
      </c>
      <c r="J13" s="19">
        <f t="shared" si="1"/>
        <v>406</v>
      </c>
      <c r="K13" s="19" t="s">
        <v>65</v>
      </c>
      <c r="L13" s="12">
        <v>5.1100000000000003</v>
      </c>
      <c r="M13" s="19">
        <f t="shared" si="3"/>
        <v>0</v>
      </c>
      <c r="N13" s="19">
        <f t="shared" si="4"/>
        <v>1</v>
      </c>
      <c r="O13" s="19">
        <f t="shared" si="5"/>
        <v>1</v>
      </c>
      <c r="P13" s="19">
        <f t="shared" si="6"/>
        <v>1</v>
      </c>
      <c r="Q13" s="12">
        <v>11</v>
      </c>
      <c r="R13" s="12">
        <v>98</v>
      </c>
      <c r="S13" s="12">
        <v>98</v>
      </c>
      <c r="T13" s="124">
        <v>0</v>
      </c>
      <c r="U13" s="124">
        <v>0</v>
      </c>
      <c r="V13" s="12">
        <v>60</v>
      </c>
      <c r="W13" s="12">
        <v>0</v>
      </c>
      <c r="X13" s="12">
        <v>2</v>
      </c>
      <c r="Y13" s="12">
        <v>0.35</v>
      </c>
      <c r="Z13" s="12">
        <v>2.5</v>
      </c>
      <c r="AA13" s="12">
        <v>0.5</v>
      </c>
      <c r="AB13" s="12">
        <v>2</v>
      </c>
      <c r="AC13" s="12">
        <v>0.35</v>
      </c>
      <c r="AD13" s="12" t="s">
        <v>16</v>
      </c>
      <c r="AE13" s="12">
        <v>60</v>
      </c>
      <c r="AF13" s="113"/>
      <c r="AG13" s="113">
        <v>120</v>
      </c>
      <c r="AI13" s="104">
        <v>2188</v>
      </c>
      <c r="AJ13">
        <v>242</v>
      </c>
    </row>
    <row r="14" spans="1:36" x14ac:dyDescent="0.25">
      <c r="B14" s="4" t="s">
        <v>1</v>
      </c>
      <c r="C14" s="4">
        <v>3</v>
      </c>
      <c r="D14" s="4" t="s">
        <v>5</v>
      </c>
      <c r="E14" s="53">
        <v>38772</v>
      </c>
      <c r="F14" s="104">
        <f t="shared" si="2"/>
        <v>2384</v>
      </c>
      <c r="G14" s="10">
        <v>40960</v>
      </c>
      <c r="H14" s="10">
        <v>41156</v>
      </c>
      <c r="I14" s="104">
        <f t="shared" si="0"/>
        <v>2188</v>
      </c>
      <c r="J14" s="19">
        <f t="shared" si="1"/>
        <v>196</v>
      </c>
      <c r="K14" s="19" t="s">
        <v>65</v>
      </c>
      <c r="L14" s="12">
        <v>5.07</v>
      </c>
      <c r="M14" s="19">
        <f t="shared" si="3"/>
        <v>0</v>
      </c>
      <c r="N14" s="19">
        <f t="shared" si="4"/>
        <v>0</v>
      </c>
      <c r="O14" s="19">
        <f t="shared" si="5"/>
        <v>1</v>
      </c>
      <c r="P14" s="19">
        <f t="shared" si="6"/>
        <v>1</v>
      </c>
      <c r="Q14" s="12">
        <v>10</v>
      </c>
      <c r="R14" s="12">
        <v>96</v>
      </c>
      <c r="S14" s="12">
        <v>96</v>
      </c>
      <c r="T14" s="124">
        <v>0</v>
      </c>
      <c r="U14" s="124">
        <v>0</v>
      </c>
      <c r="V14" s="12">
        <v>60</v>
      </c>
      <c r="W14" s="12">
        <v>0</v>
      </c>
      <c r="X14" s="12">
        <v>2</v>
      </c>
      <c r="Y14" s="12">
        <v>0.35</v>
      </c>
      <c r="Z14" s="12">
        <v>2.5</v>
      </c>
      <c r="AA14" s="12">
        <v>0.35</v>
      </c>
      <c r="AB14" s="12">
        <v>2</v>
      </c>
      <c r="AC14" s="12">
        <v>0.35</v>
      </c>
      <c r="AD14" s="12" t="s">
        <v>16</v>
      </c>
      <c r="AE14" s="12">
        <v>60</v>
      </c>
      <c r="AF14" s="113"/>
      <c r="AG14" s="113">
        <v>120</v>
      </c>
      <c r="AI14" s="104">
        <v>2384</v>
      </c>
      <c r="AJ14">
        <v>244</v>
      </c>
    </row>
    <row r="15" spans="1:36" x14ac:dyDescent="0.25">
      <c r="B15" s="4" t="s">
        <v>1</v>
      </c>
      <c r="C15" s="4">
        <v>3</v>
      </c>
      <c r="D15" s="4" t="s">
        <v>5</v>
      </c>
      <c r="E15" s="53">
        <v>38772</v>
      </c>
      <c r="F15" s="104">
        <f t="shared" si="2"/>
        <v>2384</v>
      </c>
      <c r="G15" s="10">
        <v>41156</v>
      </c>
      <c r="H15" s="10">
        <v>41156</v>
      </c>
      <c r="I15" s="104">
        <f t="shared" si="0"/>
        <v>2384</v>
      </c>
      <c r="J15" s="19">
        <f t="shared" si="1"/>
        <v>0</v>
      </c>
      <c r="K15" s="19" t="s">
        <v>65</v>
      </c>
      <c r="L15" s="12">
        <v>4.6900000000000004</v>
      </c>
      <c r="M15" s="19">
        <f t="shared" si="3"/>
        <v>0</v>
      </c>
      <c r="N15" s="19">
        <f t="shared" si="4"/>
        <v>0</v>
      </c>
      <c r="O15" s="19">
        <f t="shared" si="5"/>
        <v>0</v>
      </c>
      <c r="P15" s="19">
        <f t="shared" si="6"/>
        <v>0</v>
      </c>
      <c r="Q15" s="12">
        <v>19</v>
      </c>
      <c r="R15" s="12">
        <v>98</v>
      </c>
      <c r="S15" s="12">
        <v>98</v>
      </c>
      <c r="T15" s="124">
        <v>0</v>
      </c>
      <c r="U15" s="124">
        <v>0</v>
      </c>
      <c r="V15" s="12">
        <v>60</v>
      </c>
      <c r="W15" s="12">
        <v>0</v>
      </c>
      <c r="X15" s="12">
        <v>2</v>
      </c>
      <c r="Y15" s="12">
        <v>0.35</v>
      </c>
      <c r="Z15" s="12">
        <v>2.5</v>
      </c>
      <c r="AA15" s="12">
        <v>0.35</v>
      </c>
      <c r="AB15" s="12">
        <v>2</v>
      </c>
      <c r="AC15" s="12">
        <v>0.35</v>
      </c>
      <c r="AD15" s="12" t="s">
        <v>16</v>
      </c>
      <c r="AE15" s="12">
        <v>60</v>
      </c>
      <c r="AF15" s="113"/>
      <c r="AG15" s="113">
        <v>120</v>
      </c>
      <c r="AI15" s="104">
        <v>2105</v>
      </c>
      <c r="AJ15">
        <v>245</v>
      </c>
    </row>
    <row r="16" spans="1:36" x14ac:dyDescent="0.25">
      <c r="B16" s="24" t="s">
        <v>209</v>
      </c>
      <c r="C16" s="24">
        <v>2</v>
      </c>
      <c r="E16" s="27">
        <v>38687</v>
      </c>
      <c r="F16" s="104">
        <f t="shared" si="2"/>
        <v>3414</v>
      </c>
      <c r="G16" s="22">
        <v>40792</v>
      </c>
      <c r="H16" s="80">
        <v>42101</v>
      </c>
      <c r="I16" s="104">
        <f t="shared" si="0"/>
        <v>2105</v>
      </c>
      <c r="J16" s="19">
        <f t="shared" si="1"/>
        <v>1309</v>
      </c>
      <c r="K16" s="19" t="s">
        <v>65</v>
      </c>
      <c r="L16" s="19">
        <v>5.21</v>
      </c>
      <c r="M16" s="19">
        <f t="shared" si="3"/>
        <v>1</v>
      </c>
      <c r="N16" s="19">
        <f t="shared" si="4"/>
        <v>1</v>
      </c>
      <c r="O16" s="19">
        <f t="shared" si="5"/>
        <v>1</v>
      </c>
      <c r="P16" s="19">
        <f t="shared" si="6"/>
        <v>1</v>
      </c>
      <c r="Q16" s="19">
        <v>0</v>
      </c>
      <c r="R16" s="19">
        <v>0</v>
      </c>
      <c r="S16" s="19">
        <v>0</v>
      </c>
      <c r="T16" s="104">
        <v>0</v>
      </c>
      <c r="U16" s="104">
        <v>2</v>
      </c>
      <c r="V16" s="19">
        <v>30</v>
      </c>
      <c r="W16" s="19">
        <v>0</v>
      </c>
      <c r="X16" s="19">
        <v>0</v>
      </c>
      <c r="Y16" s="19">
        <v>0</v>
      </c>
      <c r="Z16" s="19">
        <v>2</v>
      </c>
      <c r="AA16" s="19">
        <v>0.35</v>
      </c>
      <c r="AB16" s="19">
        <v>0</v>
      </c>
      <c r="AC16" s="19">
        <v>0</v>
      </c>
      <c r="AD16" s="19">
        <v>0</v>
      </c>
      <c r="AE16" s="19">
        <v>30</v>
      </c>
      <c r="AF16" s="111" t="s">
        <v>77</v>
      </c>
      <c r="AG16" s="111"/>
      <c r="AI16" s="104">
        <v>2190</v>
      </c>
      <c r="AJ16">
        <v>257</v>
      </c>
    </row>
    <row r="17" spans="2:36" x14ac:dyDescent="0.25">
      <c r="B17" s="24" t="s">
        <v>209</v>
      </c>
      <c r="C17" s="24">
        <v>2</v>
      </c>
      <c r="E17" s="27">
        <v>38687</v>
      </c>
      <c r="F17" s="104">
        <f t="shared" si="2"/>
        <v>3414</v>
      </c>
      <c r="G17" s="80">
        <v>40877</v>
      </c>
      <c r="H17" s="25">
        <v>42101</v>
      </c>
      <c r="I17" s="104">
        <f t="shared" si="0"/>
        <v>2190</v>
      </c>
      <c r="J17" s="19">
        <f t="shared" si="1"/>
        <v>1224</v>
      </c>
      <c r="K17" s="19" t="s">
        <v>65</v>
      </c>
      <c r="L17" s="21">
        <v>5.18</v>
      </c>
      <c r="M17" s="19">
        <f t="shared" si="3"/>
        <v>1</v>
      </c>
      <c r="N17" s="19">
        <f t="shared" si="4"/>
        <v>1</v>
      </c>
      <c r="O17" s="19">
        <f t="shared" si="5"/>
        <v>1</v>
      </c>
      <c r="P17" s="19">
        <f t="shared" si="6"/>
        <v>1</v>
      </c>
      <c r="Q17" s="12">
        <v>0</v>
      </c>
      <c r="R17" s="21">
        <v>0</v>
      </c>
      <c r="S17" s="12">
        <v>0</v>
      </c>
      <c r="T17" s="123">
        <v>0</v>
      </c>
      <c r="U17" s="123">
        <v>0</v>
      </c>
      <c r="V17" s="19">
        <v>30</v>
      </c>
      <c r="W17" s="19">
        <v>0</v>
      </c>
      <c r="X17" s="19">
        <v>0</v>
      </c>
      <c r="Y17" s="19">
        <v>0</v>
      </c>
      <c r="Z17" s="19">
        <v>2</v>
      </c>
      <c r="AA17" s="19">
        <v>0.35</v>
      </c>
      <c r="AB17" s="12">
        <v>0</v>
      </c>
      <c r="AC17" s="12">
        <v>0</v>
      </c>
      <c r="AD17" s="12">
        <v>0</v>
      </c>
      <c r="AE17" s="19">
        <v>30</v>
      </c>
      <c r="AF17" s="112" t="s">
        <v>42</v>
      </c>
      <c r="AG17" s="111"/>
      <c r="AI17" s="104">
        <v>2287</v>
      </c>
      <c r="AJ17">
        <v>259</v>
      </c>
    </row>
    <row r="18" spans="2:36" x14ac:dyDescent="0.25">
      <c r="B18" s="24" t="s">
        <v>209</v>
      </c>
      <c r="C18" s="24">
        <v>2</v>
      </c>
      <c r="E18" s="27">
        <v>38687</v>
      </c>
      <c r="F18" s="104">
        <f t="shared" si="2"/>
        <v>3414</v>
      </c>
      <c r="G18" s="80">
        <v>40974</v>
      </c>
      <c r="H18" s="25">
        <v>42101</v>
      </c>
      <c r="I18" s="104">
        <f t="shared" si="0"/>
        <v>2287</v>
      </c>
      <c r="J18" s="19">
        <f t="shared" si="1"/>
        <v>1127</v>
      </c>
      <c r="K18" s="19" t="s">
        <v>65</v>
      </c>
      <c r="L18" s="21">
        <v>5.16</v>
      </c>
      <c r="M18" s="19">
        <f t="shared" si="3"/>
        <v>1</v>
      </c>
      <c r="N18" s="19">
        <f t="shared" si="4"/>
        <v>1</v>
      </c>
      <c r="O18" s="19">
        <f t="shared" si="5"/>
        <v>1</v>
      </c>
      <c r="P18" s="19">
        <f t="shared" si="6"/>
        <v>1</v>
      </c>
      <c r="Q18" s="12">
        <v>0</v>
      </c>
      <c r="R18" s="21">
        <v>0</v>
      </c>
      <c r="S18" s="12">
        <v>0</v>
      </c>
      <c r="T18" s="123">
        <v>0</v>
      </c>
      <c r="U18" s="123">
        <v>0</v>
      </c>
      <c r="V18" s="19">
        <v>30</v>
      </c>
      <c r="W18" s="19">
        <v>0</v>
      </c>
      <c r="X18" s="19">
        <v>0</v>
      </c>
      <c r="Y18" s="19">
        <v>0</v>
      </c>
      <c r="Z18" s="19">
        <v>2</v>
      </c>
      <c r="AA18" s="19">
        <v>0.35</v>
      </c>
      <c r="AB18" s="12">
        <v>0</v>
      </c>
      <c r="AC18" s="12">
        <v>0</v>
      </c>
      <c r="AD18" s="12">
        <v>0</v>
      </c>
      <c r="AE18" s="19">
        <v>30</v>
      </c>
      <c r="AF18" s="112" t="s">
        <v>42</v>
      </c>
      <c r="AG18" s="111"/>
      <c r="AI18" s="104">
        <v>2483</v>
      </c>
      <c r="AJ18">
        <v>288</v>
      </c>
    </row>
    <row r="19" spans="2:36" x14ac:dyDescent="0.25">
      <c r="B19" s="24" t="s">
        <v>209</v>
      </c>
      <c r="C19" s="24">
        <v>2</v>
      </c>
      <c r="E19" s="27">
        <v>38687</v>
      </c>
      <c r="F19" s="104">
        <f t="shared" si="2"/>
        <v>3414</v>
      </c>
      <c r="G19" s="25">
        <v>41170</v>
      </c>
      <c r="H19" s="25">
        <v>42101</v>
      </c>
      <c r="I19" s="104">
        <f t="shared" si="0"/>
        <v>2483</v>
      </c>
      <c r="J19" s="19">
        <f t="shared" si="1"/>
        <v>931</v>
      </c>
      <c r="K19" s="19" t="s">
        <v>65</v>
      </c>
      <c r="L19" s="4">
        <v>5.15</v>
      </c>
      <c r="M19" s="19">
        <f t="shared" si="3"/>
        <v>1</v>
      </c>
      <c r="N19" s="19">
        <f t="shared" si="4"/>
        <v>1</v>
      </c>
      <c r="O19" s="19">
        <f t="shared" si="5"/>
        <v>1</v>
      </c>
      <c r="P19" s="19">
        <f t="shared" si="6"/>
        <v>1</v>
      </c>
      <c r="Q19" s="1">
        <v>0</v>
      </c>
      <c r="R19" s="4">
        <v>0</v>
      </c>
      <c r="S19" s="1">
        <v>0</v>
      </c>
      <c r="T19" s="125">
        <v>0</v>
      </c>
      <c r="U19" s="125">
        <v>0</v>
      </c>
      <c r="V19" s="24">
        <v>30</v>
      </c>
      <c r="W19" s="24">
        <v>0</v>
      </c>
      <c r="X19" s="24">
        <v>0</v>
      </c>
      <c r="Y19" s="24">
        <v>0</v>
      </c>
      <c r="Z19" s="24">
        <v>2</v>
      </c>
      <c r="AA19" s="24">
        <v>0.35</v>
      </c>
      <c r="AB19" s="24">
        <v>0</v>
      </c>
      <c r="AE19" s="24">
        <v>30</v>
      </c>
      <c r="AF19" s="118" t="s">
        <v>42</v>
      </c>
      <c r="AG19" s="114"/>
      <c r="AI19" s="104">
        <v>2686</v>
      </c>
      <c r="AJ19">
        <v>302</v>
      </c>
    </row>
    <row r="20" spans="2:36" x14ac:dyDescent="0.25">
      <c r="B20" s="24" t="s">
        <v>209</v>
      </c>
      <c r="C20" s="24">
        <v>2</v>
      </c>
      <c r="E20" s="27">
        <v>38687</v>
      </c>
      <c r="F20" s="104">
        <f t="shared" si="2"/>
        <v>3414</v>
      </c>
      <c r="G20" s="25">
        <v>41373</v>
      </c>
      <c r="H20" s="25">
        <v>42101</v>
      </c>
      <c r="I20" s="104">
        <f t="shared" si="0"/>
        <v>2686</v>
      </c>
      <c r="J20" s="19">
        <f t="shared" si="1"/>
        <v>728</v>
      </c>
      <c r="K20" s="19" t="s">
        <v>65</v>
      </c>
      <c r="L20" s="4">
        <v>5.14</v>
      </c>
      <c r="M20" s="19">
        <f t="shared" si="3"/>
        <v>1</v>
      </c>
      <c r="N20" s="19">
        <f t="shared" si="4"/>
        <v>1</v>
      </c>
      <c r="O20" s="19">
        <f t="shared" si="5"/>
        <v>1</v>
      </c>
      <c r="P20" s="19">
        <f t="shared" si="6"/>
        <v>1</v>
      </c>
      <c r="Q20" s="1">
        <v>0</v>
      </c>
      <c r="R20" s="4">
        <v>0</v>
      </c>
      <c r="S20" s="1">
        <v>0</v>
      </c>
      <c r="T20" s="125">
        <v>0</v>
      </c>
      <c r="U20" s="125">
        <v>0</v>
      </c>
      <c r="V20" s="24">
        <v>30</v>
      </c>
      <c r="W20" s="24">
        <v>0</v>
      </c>
      <c r="X20" s="24">
        <v>0</v>
      </c>
      <c r="Y20" s="24">
        <v>0</v>
      </c>
      <c r="Z20" s="24">
        <v>2</v>
      </c>
      <c r="AA20" s="24">
        <v>0.35</v>
      </c>
      <c r="AB20" s="24">
        <v>0</v>
      </c>
      <c r="AC20" s="24">
        <v>0</v>
      </c>
      <c r="AD20" s="24">
        <v>0</v>
      </c>
      <c r="AE20" s="24">
        <v>30</v>
      </c>
      <c r="AF20" s="118" t="s">
        <v>42</v>
      </c>
      <c r="AG20" s="114"/>
      <c r="AI20" s="104">
        <v>2791</v>
      </c>
      <c r="AJ20">
        <v>333</v>
      </c>
    </row>
    <row r="21" spans="2:36" x14ac:dyDescent="0.25">
      <c r="B21" s="24" t="s">
        <v>209</v>
      </c>
      <c r="C21" s="24">
        <v>2</v>
      </c>
      <c r="E21" s="27">
        <v>38687</v>
      </c>
      <c r="F21" s="104">
        <f t="shared" si="2"/>
        <v>3414</v>
      </c>
      <c r="G21" s="25">
        <v>41478</v>
      </c>
      <c r="H21" s="25">
        <v>42101</v>
      </c>
      <c r="I21" s="104">
        <f t="shared" si="0"/>
        <v>2791</v>
      </c>
      <c r="J21" s="19">
        <f t="shared" si="1"/>
        <v>623</v>
      </c>
      <c r="K21" s="19" t="s">
        <v>65</v>
      </c>
      <c r="L21" s="4">
        <v>5.14</v>
      </c>
      <c r="M21" s="19">
        <f t="shared" si="3"/>
        <v>1</v>
      </c>
      <c r="N21" s="19">
        <f t="shared" si="4"/>
        <v>1</v>
      </c>
      <c r="O21" s="19">
        <f t="shared" si="5"/>
        <v>1</v>
      </c>
      <c r="P21" s="19">
        <f t="shared" si="6"/>
        <v>1</v>
      </c>
      <c r="Q21" s="1">
        <v>0</v>
      </c>
      <c r="R21" s="4">
        <v>0</v>
      </c>
      <c r="S21" s="1">
        <v>0</v>
      </c>
      <c r="T21" s="125">
        <v>0</v>
      </c>
      <c r="U21" s="125">
        <v>0</v>
      </c>
      <c r="V21" s="24">
        <v>30</v>
      </c>
      <c r="W21" s="24">
        <v>0</v>
      </c>
      <c r="X21" s="24">
        <v>0</v>
      </c>
      <c r="Y21" s="24">
        <v>0</v>
      </c>
      <c r="Z21" s="24">
        <v>2</v>
      </c>
      <c r="AA21" s="24">
        <v>0.35</v>
      </c>
      <c r="AB21" s="90">
        <v>0</v>
      </c>
      <c r="AC21" s="90">
        <v>0</v>
      </c>
      <c r="AD21" s="90">
        <v>0</v>
      </c>
      <c r="AE21" s="24">
        <v>30</v>
      </c>
      <c r="AF21" s="118" t="s">
        <v>42</v>
      </c>
      <c r="AG21" s="114"/>
      <c r="AI21" s="104">
        <v>2937</v>
      </c>
      <c r="AJ21">
        <v>344</v>
      </c>
    </row>
    <row r="22" spans="2:36" x14ac:dyDescent="0.25">
      <c r="B22" s="24" t="s">
        <v>209</v>
      </c>
      <c r="C22" s="24">
        <v>2</v>
      </c>
      <c r="E22" s="27">
        <v>38687</v>
      </c>
      <c r="F22" s="104">
        <f t="shared" si="2"/>
        <v>3414</v>
      </c>
      <c r="G22" s="25">
        <v>41624</v>
      </c>
      <c r="H22" s="25">
        <v>42101</v>
      </c>
      <c r="I22" s="104">
        <f t="shared" si="0"/>
        <v>2937</v>
      </c>
      <c r="J22" s="19">
        <f t="shared" si="1"/>
        <v>477</v>
      </c>
      <c r="K22" s="19" t="s">
        <v>65</v>
      </c>
      <c r="L22" s="4">
        <v>5.1100000000000003</v>
      </c>
      <c r="M22" s="19">
        <f t="shared" si="3"/>
        <v>0</v>
      </c>
      <c r="N22" s="19">
        <f t="shared" si="4"/>
        <v>1</v>
      </c>
      <c r="O22" s="19">
        <f t="shared" si="5"/>
        <v>1</v>
      </c>
      <c r="P22" s="19">
        <f t="shared" si="6"/>
        <v>1</v>
      </c>
      <c r="Q22" s="1">
        <v>0</v>
      </c>
      <c r="R22" s="4">
        <v>0</v>
      </c>
      <c r="S22" s="1">
        <v>0</v>
      </c>
      <c r="T22" s="125">
        <v>0</v>
      </c>
      <c r="U22" s="125">
        <v>0</v>
      </c>
      <c r="V22" s="24">
        <v>30</v>
      </c>
      <c r="W22" s="24">
        <v>0</v>
      </c>
      <c r="X22" s="24">
        <v>0</v>
      </c>
      <c r="Y22" s="24">
        <v>0</v>
      </c>
      <c r="Z22" s="24">
        <v>2</v>
      </c>
      <c r="AA22" s="24">
        <v>0.35</v>
      </c>
      <c r="AB22" s="90">
        <v>0</v>
      </c>
      <c r="AC22" s="90">
        <v>0</v>
      </c>
      <c r="AD22" s="90">
        <v>0</v>
      </c>
      <c r="AE22" s="24">
        <v>30</v>
      </c>
      <c r="AF22" s="118" t="s">
        <v>42</v>
      </c>
      <c r="AG22" s="114"/>
      <c r="AI22" s="104">
        <v>3049</v>
      </c>
      <c r="AJ22">
        <v>403</v>
      </c>
    </row>
    <row r="23" spans="2:36" x14ac:dyDescent="0.25">
      <c r="B23" s="24" t="s">
        <v>209</v>
      </c>
      <c r="C23" s="24">
        <v>2</v>
      </c>
      <c r="E23" s="27">
        <v>38687</v>
      </c>
      <c r="F23" s="104">
        <f t="shared" si="2"/>
        <v>3414</v>
      </c>
      <c r="G23" s="27">
        <v>41736</v>
      </c>
      <c r="H23" s="25">
        <v>42101</v>
      </c>
      <c r="I23" s="104">
        <f t="shared" si="0"/>
        <v>3049</v>
      </c>
      <c r="J23" s="19">
        <f t="shared" si="1"/>
        <v>365</v>
      </c>
      <c r="K23" s="19" t="s">
        <v>65</v>
      </c>
      <c r="L23" s="24">
        <v>5.05</v>
      </c>
      <c r="M23" s="19">
        <f t="shared" si="3"/>
        <v>0</v>
      </c>
      <c r="N23" s="19">
        <f t="shared" si="4"/>
        <v>1</v>
      </c>
      <c r="O23" s="19">
        <f t="shared" si="5"/>
        <v>1</v>
      </c>
      <c r="P23" s="19">
        <f t="shared" si="6"/>
        <v>1</v>
      </c>
      <c r="Q23" s="1">
        <v>0</v>
      </c>
      <c r="R23" s="24">
        <v>0</v>
      </c>
      <c r="S23" s="1">
        <v>0</v>
      </c>
      <c r="T23" s="125">
        <v>0</v>
      </c>
      <c r="U23" s="125">
        <v>0</v>
      </c>
      <c r="V23" s="24">
        <v>30</v>
      </c>
      <c r="W23" s="90">
        <v>0</v>
      </c>
      <c r="X23" s="90">
        <v>0</v>
      </c>
      <c r="Y23" s="90">
        <v>0</v>
      </c>
      <c r="Z23" s="24">
        <v>2</v>
      </c>
      <c r="AA23" s="24">
        <v>0.35</v>
      </c>
      <c r="AB23" s="90">
        <v>0</v>
      </c>
      <c r="AC23" s="90">
        <v>0</v>
      </c>
      <c r="AD23" s="90">
        <v>0</v>
      </c>
      <c r="AE23" s="24">
        <v>30</v>
      </c>
      <c r="AF23" s="118" t="s">
        <v>42</v>
      </c>
      <c r="AI23" s="104">
        <v>3116</v>
      </c>
      <c r="AJ23">
        <v>407</v>
      </c>
    </row>
    <row r="24" spans="2:36" x14ac:dyDescent="0.25">
      <c r="B24" s="24" t="s">
        <v>209</v>
      </c>
      <c r="C24" s="24">
        <v>2</v>
      </c>
      <c r="E24" s="27">
        <v>38687</v>
      </c>
      <c r="F24" s="104">
        <f t="shared" si="2"/>
        <v>3414</v>
      </c>
      <c r="G24" s="25">
        <v>41803</v>
      </c>
      <c r="H24" s="25">
        <v>42101</v>
      </c>
      <c r="I24" s="104">
        <f t="shared" si="0"/>
        <v>3116</v>
      </c>
      <c r="J24" s="19">
        <f t="shared" si="1"/>
        <v>298</v>
      </c>
      <c r="K24" s="19" t="s">
        <v>65</v>
      </c>
      <c r="L24" s="4">
        <v>5</v>
      </c>
      <c r="M24" s="19">
        <f t="shared" si="3"/>
        <v>0</v>
      </c>
      <c r="N24" s="19">
        <f t="shared" si="4"/>
        <v>0</v>
      </c>
      <c r="O24" s="19">
        <f t="shared" si="5"/>
        <v>1</v>
      </c>
      <c r="P24" s="19">
        <f t="shared" si="6"/>
        <v>1</v>
      </c>
      <c r="Q24" s="1">
        <v>0</v>
      </c>
      <c r="R24" s="4">
        <v>0</v>
      </c>
      <c r="S24" s="1">
        <v>0</v>
      </c>
      <c r="T24" s="125">
        <v>0</v>
      </c>
      <c r="U24" s="125">
        <v>0</v>
      </c>
      <c r="V24" s="24">
        <v>30</v>
      </c>
      <c r="W24" s="24">
        <v>0</v>
      </c>
      <c r="X24" s="24">
        <v>0</v>
      </c>
      <c r="Y24" s="24">
        <v>0</v>
      </c>
      <c r="Z24" s="24">
        <v>2</v>
      </c>
      <c r="AA24" s="24">
        <v>0.35</v>
      </c>
      <c r="AB24" s="90">
        <v>0</v>
      </c>
      <c r="AC24" s="90">
        <v>0</v>
      </c>
      <c r="AD24" s="90">
        <v>0</v>
      </c>
      <c r="AE24" s="24">
        <v>30</v>
      </c>
      <c r="AF24" s="118" t="s">
        <v>42</v>
      </c>
      <c r="AG24" s="114"/>
      <c r="AI24" s="104">
        <v>3183</v>
      </c>
      <c r="AJ24">
        <v>411</v>
      </c>
    </row>
    <row r="25" spans="2:36" x14ac:dyDescent="0.25">
      <c r="B25" s="24" t="s">
        <v>209</v>
      </c>
      <c r="C25" s="24">
        <v>2</v>
      </c>
      <c r="E25" s="27">
        <v>38687</v>
      </c>
      <c r="F25" s="104">
        <f t="shared" si="2"/>
        <v>3414</v>
      </c>
      <c r="G25" s="25">
        <v>41870</v>
      </c>
      <c r="H25" s="25">
        <v>42101</v>
      </c>
      <c r="I25" s="104">
        <f t="shared" si="0"/>
        <v>3183</v>
      </c>
      <c r="J25" s="19">
        <f t="shared" si="1"/>
        <v>231</v>
      </c>
      <c r="K25" s="19" t="s">
        <v>65</v>
      </c>
      <c r="L25" s="4">
        <v>4.88</v>
      </c>
      <c r="M25" s="19">
        <f t="shared" si="3"/>
        <v>0</v>
      </c>
      <c r="N25" s="19">
        <f t="shared" si="4"/>
        <v>0</v>
      </c>
      <c r="O25" s="19">
        <f t="shared" si="5"/>
        <v>1</v>
      </c>
      <c r="P25" s="19">
        <f t="shared" si="6"/>
        <v>1</v>
      </c>
      <c r="Q25" s="1">
        <v>0</v>
      </c>
      <c r="R25" s="4">
        <v>0</v>
      </c>
      <c r="S25" s="1">
        <v>0</v>
      </c>
      <c r="T25" s="125">
        <v>0</v>
      </c>
      <c r="U25" s="125">
        <v>0</v>
      </c>
      <c r="V25" s="24">
        <v>30</v>
      </c>
      <c r="W25" s="24">
        <v>0</v>
      </c>
      <c r="X25" s="24">
        <v>0</v>
      </c>
      <c r="Y25" s="24">
        <v>0</v>
      </c>
      <c r="Z25" s="24">
        <v>2</v>
      </c>
      <c r="AA25" s="24">
        <v>0.35</v>
      </c>
      <c r="AB25" s="90">
        <v>0</v>
      </c>
      <c r="AC25" s="90">
        <v>0</v>
      </c>
      <c r="AD25" s="90">
        <v>0</v>
      </c>
      <c r="AE25" s="24">
        <v>30</v>
      </c>
      <c r="AF25" s="118" t="s">
        <v>42</v>
      </c>
      <c r="AG25" s="114"/>
      <c r="AI25" s="104">
        <v>3281</v>
      </c>
      <c r="AJ25">
        <v>426</v>
      </c>
    </row>
    <row r="26" spans="2:36" x14ac:dyDescent="0.25">
      <c r="B26" s="24" t="s">
        <v>209</v>
      </c>
      <c r="C26" s="24">
        <v>2</v>
      </c>
      <c r="E26" s="27">
        <v>38687</v>
      </c>
      <c r="F26" s="104">
        <f t="shared" si="2"/>
        <v>3414</v>
      </c>
      <c r="G26" s="89">
        <v>41968</v>
      </c>
      <c r="H26" s="25">
        <v>42101</v>
      </c>
      <c r="I26" s="104">
        <f t="shared" si="0"/>
        <v>3281</v>
      </c>
      <c r="J26" s="19">
        <f t="shared" si="1"/>
        <v>133</v>
      </c>
      <c r="K26" s="19" t="s">
        <v>65</v>
      </c>
      <c r="L26" s="92">
        <v>4.6900000000000004</v>
      </c>
      <c r="M26" s="19">
        <f t="shared" si="3"/>
        <v>0</v>
      </c>
      <c r="N26" s="19">
        <f t="shared" si="4"/>
        <v>0</v>
      </c>
      <c r="O26" s="19">
        <f t="shared" si="5"/>
        <v>0</v>
      </c>
      <c r="P26" s="19">
        <f t="shared" si="6"/>
        <v>1</v>
      </c>
      <c r="Q26" s="82">
        <v>0</v>
      </c>
      <c r="R26" s="92">
        <v>0</v>
      </c>
      <c r="S26" s="82">
        <v>0</v>
      </c>
      <c r="T26" s="126">
        <v>0</v>
      </c>
      <c r="U26" s="126">
        <v>1</v>
      </c>
      <c r="V26" s="83">
        <v>30</v>
      </c>
      <c r="W26" s="83">
        <v>0</v>
      </c>
      <c r="X26" s="83">
        <v>0</v>
      </c>
      <c r="Y26" s="83">
        <v>0</v>
      </c>
      <c r="Z26" s="83">
        <v>2</v>
      </c>
      <c r="AA26" s="83">
        <v>0.35</v>
      </c>
      <c r="AB26" s="90">
        <v>0</v>
      </c>
      <c r="AC26" s="90">
        <v>0</v>
      </c>
      <c r="AD26" s="90">
        <v>0</v>
      </c>
      <c r="AE26" s="83">
        <v>30</v>
      </c>
      <c r="AF26" s="119" t="s">
        <v>46</v>
      </c>
      <c r="AG26" s="116"/>
      <c r="AI26" s="104">
        <v>3414</v>
      </c>
      <c r="AJ26">
        <v>427</v>
      </c>
    </row>
    <row r="27" spans="2:36" x14ac:dyDescent="0.25">
      <c r="B27" s="24" t="s">
        <v>209</v>
      </c>
      <c r="C27" s="24">
        <v>2</v>
      </c>
      <c r="E27" s="27">
        <v>38687</v>
      </c>
      <c r="F27" s="104">
        <f t="shared" si="2"/>
        <v>3414</v>
      </c>
      <c r="G27" s="89">
        <v>42101</v>
      </c>
      <c r="H27" s="89">
        <v>42101</v>
      </c>
      <c r="I27" s="104">
        <f t="shared" si="0"/>
        <v>3414</v>
      </c>
      <c r="J27" s="19">
        <f t="shared" si="1"/>
        <v>0</v>
      </c>
      <c r="K27" s="19" t="s">
        <v>65</v>
      </c>
      <c r="L27" s="92">
        <v>4.4800000000000004</v>
      </c>
      <c r="M27" s="19">
        <f t="shared" si="3"/>
        <v>0</v>
      </c>
      <c r="N27" s="19">
        <f t="shared" si="4"/>
        <v>0</v>
      </c>
      <c r="O27" s="19">
        <f t="shared" si="5"/>
        <v>0</v>
      </c>
      <c r="P27" s="19">
        <f t="shared" si="6"/>
        <v>0</v>
      </c>
      <c r="Q27" s="98">
        <v>0</v>
      </c>
      <c r="R27" s="92">
        <v>0</v>
      </c>
      <c r="S27" s="98">
        <v>0</v>
      </c>
      <c r="T27" s="126">
        <v>0</v>
      </c>
      <c r="U27" s="126">
        <v>2</v>
      </c>
      <c r="V27" s="92">
        <v>30</v>
      </c>
      <c r="W27" s="90">
        <v>0</v>
      </c>
      <c r="X27" s="90">
        <v>0</v>
      </c>
      <c r="Y27" s="90">
        <v>0</v>
      </c>
      <c r="Z27" s="83">
        <v>2</v>
      </c>
      <c r="AA27" s="83">
        <v>0.35</v>
      </c>
      <c r="AB27" s="90">
        <v>0</v>
      </c>
      <c r="AC27" s="90">
        <v>0</v>
      </c>
      <c r="AD27" s="90">
        <v>0</v>
      </c>
      <c r="AE27" s="92">
        <v>30</v>
      </c>
      <c r="AF27" s="119" t="s">
        <v>77</v>
      </c>
      <c r="AG27" s="117"/>
      <c r="AI27" s="104">
        <v>1383</v>
      </c>
      <c r="AJ27">
        <v>427</v>
      </c>
    </row>
    <row r="28" spans="2:36" x14ac:dyDescent="0.25">
      <c r="B28" s="24" t="s">
        <v>287</v>
      </c>
      <c r="C28" s="24">
        <v>2</v>
      </c>
      <c r="E28" s="27">
        <v>38730</v>
      </c>
      <c r="F28" s="104">
        <f t="shared" si="2"/>
        <v>2012</v>
      </c>
      <c r="G28" s="25">
        <v>40113</v>
      </c>
      <c r="H28" s="27">
        <f>G32</f>
        <v>40742</v>
      </c>
      <c r="I28" s="104">
        <f t="shared" si="0"/>
        <v>1383</v>
      </c>
      <c r="J28" s="19">
        <f t="shared" si="1"/>
        <v>629</v>
      </c>
      <c r="K28" s="19" t="s">
        <v>65</v>
      </c>
      <c r="L28" s="24">
        <v>5.27</v>
      </c>
      <c r="M28" s="19">
        <f t="shared" si="3"/>
        <v>1</v>
      </c>
      <c r="N28" s="19">
        <f t="shared" si="4"/>
        <v>1</v>
      </c>
      <c r="O28" s="19">
        <f t="shared" si="5"/>
        <v>1</v>
      </c>
      <c r="P28" s="19">
        <f t="shared" si="6"/>
        <v>1</v>
      </c>
      <c r="Q28" s="24">
        <v>0</v>
      </c>
      <c r="R28" s="24">
        <v>46</v>
      </c>
      <c r="S28" s="24">
        <v>0</v>
      </c>
      <c r="T28" s="127">
        <v>0</v>
      </c>
      <c r="U28" s="127">
        <v>1</v>
      </c>
      <c r="V28" s="24">
        <v>60</v>
      </c>
      <c r="W28" s="24">
        <v>0</v>
      </c>
      <c r="X28" s="24">
        <v>2</v>
      </c>
      <c r="Y28" s="24">
        <v>0.35</v>
      </c>
      <c r="Z28" s="24">
        <v>4</v>
      </c>
      <c r="AA28" s="24">
        <v>0.5</v>
      </c>
      <c r="AB28" s="24">
        <v>0</v>
      </c>
      <c r="AC28" s="24">
        <v>0</v>
      </c>
      <c r="AD28" s="24">
        <v>0</v>
      </c>
      <c r="AE28" s="24" t="s">
        <v>47</v>
      </c>
      <c r="AF28" s="138" t="s">
        <v>46</v>
      </c>
      <c r="AG28" s="114" t="s">
        <v>290</v>
      </c>
      <c r="AI28" s="104">
        <v>1565</v>
      </c>
      <c r="AJ28">
        <v>439</v>
      </c>
    </row>
    <row r="29" spans="2:36" x14ac:dyDescent="0.25">
      <c r="B29" s="24" t="s">
        <v>287</v>
      </c>
      <c r="C29" s="24">
        <v>2</v>
      </c>
      <c r="E29" s="27">
        <v>38730</v>
      </c>
      <c r="F29" s="104">
        <f t="shared" si="2"/>
        <v>2012</v>
      </c>
      <c r="G29" s="25">
        <v>40295</v>
      </c>
      <c r="H29" s="27">
        <v>40742</v>
      </c>
      <c r="I29" s="104">
        <f t="shared" si="0"/>
        <v>1565</v>
      </c>
      <c r="J29" s="19">
        <f t="shared" si="1"/>
        <v>447</v>
      </c>
      <c r="K29" s="19" t="s">
        <v>65</v>
      </c>
      <c r="L29" s="4">
        <v>5.18</v>
      </c>
      <c r="M29" s="19">
        <f t="shared" si="3"/>
        <v>0</v>
      </c>
      <c r="N29" s="19">
        <f t="shared" si="4"/>
        <v>1</v>
      </c>
      <c r="O29" s="19">
        <f t="shared" si="5"/>
        <v>1</v>
      </c>
      <c r="P29" s="19">
        <f t="shared" si="6"/>
        <v>1</v>
      </c>
      <c r="Q29" s="24">
        <v>0</v>
      </c>
      <c r="R29" s="4">
        <v>13</v>
      </c>
      <c r="S29" s="98">
        <v>0</v>
      </c>
      <c r="T29" s="125">
        <v>3</v>
      </c>
      <c r="U29" s="125">
        <v>48</v>
      </c>
      <c r="V29" s="24">
        <v>60</v>
      </c>
      <c r="W29" s="24">
        <v>1</v>
      </c>
      <c r="X29" s="24">
        <v>0</v>
      </c>
      <c r="Y29" s="24">
        <v>0</v>
      </c>
      <c r="Z29" s="24">
        <v>4</v>
      </c>
      <c r="AA29" s="24">
        <v>0.5</v>
      </c>
      <c r="AB29" s="24">
        <v>0</v>
      </c>
      <c r="AC29" s="24">
        <v>0</v>
      </c>
      <c r="AD29" s="24">
        <v>0</v>
      </c>
      <c r="AE29" s="24" t="s">
        <v>47</v>
      </c>
      <c r="AF29" s="139" t="s">
        <v>288</v>
      </c>
      <c r="AG29" s="114">
        <v>1</v>
      </c>
      <c r="AI29" s="104">
        <v>1908</v>
      </c>
      <c r="AJ29">
        <v>441</v>
      </c>
    </row>
    <row r="30" spans="2:36" x14ac:dyDescent="0.25">
      <c r="B30" s="24" t="s">
        <v>287</v>
      </c>
      <c r="C30" s="24">
        <v>2</v>
      </c>
      <c r="E30" s="27">
        <v>38730</v>
      </c>
      <c r="F30" s="104">
        <f t="shared" si="2"/>
        <v>2012</v>
      </c>
      <c r="G30" s="25">
        <v>40638</v>
      </c>
      <c r="H30" s="27">
        <v>40742</v>
      </c>
      <c r="I30" s="104">
        <f t="shared" si="0"/>
        <v>1908</v>
      </c>
      <c r="J30" s="19">
        <f t="shared" si="1"/>
        <v>104</v>
      </c>
      <c r="K30" s="19" t="s">
        <v>65</v>
      </c>
      <c r="L30" s="4">
        <v>4.95</v>
      </c>
      <c r="M30" s="19">
        <f t="shared" si="3"/>
        <v>0</v>
      </c>
      <c r="N30" s="19">
        <f t="shared" si="4"/>
        <v>0</v>
      </c>
      <c r="O30" s="19">
        <f t="shared" si="5"/>
        <v>0</v>
      </c>
      <c r="P30" s="19">
        <f t="shared" si="6"/>
        <v>1</v>
      </c>
      <c r="Q30" s="24">
        <v>0</v>
      </c>
      <c r="R30" s="4">
        <v>90</v>
      </c>
      <c r="S30" s="98">
        <v>0</v>
      </c>
      <c r="T30" s="125">
        <v>4</v>
      </c>
      <c r="U30" s="125">
        <v>4</v>
      </c>
      <c r="V30" s="24">
        <v>60</v>
      </c>
      <c r="W30" s="4">
        <v>0</v>
      </c>
      <c r="X30" s="24">
        <v>0</v>
      </c>
      <c r="Y30" s="24">
        <v>0</v>
      </c>
      <c r="Z30" s="4">
        <v>4.5</v>
      </c>
      <c r="AA30" s="4">
        <v>0.35</v>
      </c>
      <c r="AB30" s="24">
        <v>0</v>
      </c>
      <c r="AC30" s="24">
        <v>0</v>
      </c>
      <c r="AD30" s="24">
        <v>0</v>
      </c>
      <c r="AE30" s="4">
        <v>60</v>
      </c>
      <c r="AF30" s="140" t="s">
        <v>289</v>
      </c>
      <c r="AG30" s="118" t="s">
        <v>292</v>
      </c>
      <c r="AI30" s="104">
        <v>2006</v>
      </c>
      <c r="AJ30">
        <v>469</v>
      </c>
    </row>
    <row r="31" spans="2:36" x14ac:dyDescent="0.25">
      <c r="B31" s="24" t="s">
        <v>287</v>
      </c>
      <c r="C31" s="24">
        <v>2</v>
      </c>
      <c r="E31" s="27">
        <v>38730</v>
      </c>
      <c r="F31" s="104">
        <f t="shared" si="2"/>
        <v>2012</v>
      </c>
      <c r="G31" s="89">
        <v>40736</v>
      </c>
      <c r="H31" s="88">
        <v>40742</v>
      </c>
      <c r="I31" s="104">
        <f t="shared" si="0"/>
        <v>2006</v>
      </c>
      <c r="J31" s="19">
        <f t="shared" si="1"/>
        <v>6</v>
      </c>
      <c r="K31" s="19" t="s">
        <v>65</v>
      </c>
      <c r="L31" s="92">
        <v>4.58</v>
      </c>
      <c r="M31" s="19">
        <f t="shared" si="3"/>
        <v>0</v>
      </c>
      <c r="N31" s="19">
        <f t="shared" si="4"/>
        <v>0</v>
      </c>
      <c r="O31" s="19">
        <f t="shared" si="5"/>
        <v>0</v>
      </c>
      <c r="P31" s="19">
        <f t="shared" si="6"/>
        <v>0</v>
      </c>
      <c r="Q31" s="24">
        <v>0</v>
      </c>
      <c r="R31" s="92">
        <v>81</v>
      </c>
      <c r="S31" s="98">
        <v>0</v>
      </c>
      <c r="T31" s="126">
        <v>0</v>
      </c>
      <c r="U31" s="126">
        <v>2</v>
      </c>
      <c r="V31" s="24">
        <v>60</v>
      </c>
      <c r="W31" s="92">
        <v>0</v>
      </c>
      <c r="X31" s="83">
        <v>0</v>
      </c>
      <c r="Y31" s="83">
        <v>0</v>
      </c>
      <c r="Z31" s="92">
        <v>4.5</v>
      </c>
      <c r="AA31" s="92">
        <v>0.35</v>
      </c>
      <c r="AB31" s="83">
        <v>0</v>
      </c>
      <c r="AC31" s="83">
        <v>0</v>
      </c>
      <c r="AD31" s="83">
        <v>0</v>
      </c>
      <c r="AE31" s="92">
        <v>60</v>
      </c>
      <c r="AF31" s="119" t="s">
        <v>77</v>
      </c>
      <c r="AG31" s="119" t="s">
        <v>292</v>
      </c>
      <c r="AI31" s="104">
        <v>2012</v>
      </c>
      <c r="AJ31">
        <v>476</v>
      </c>
    </row>
    <row r="32" spans="2:36" x14ac:dyDescent="0.25">
      <c r="B32" s="24" t="s">
        <v>287</v>
      </c>
      <c r="C32" s="24">
        <v>2</v>
      </c>
      <c r="E32" s="27">
        <v>38730</v>
      </c>
      <c r="F32" s="104">
        <f t="shared" si="2"/>
        <v>2012</v>
      </c>
      <c r="G32" s="89">
        <v>40742</v>
      </c>
      <c r="H32" s="88">
        <v>40742</v>
      </c>
      <c r="I32" s="104">
        <f t="shared" si="0"/>
        <v>2012</v>
      </c>
      <c r="J32" s="19">
        <f t="shared" si="1"/>
        <v>0</v>
      </c>
      <c r="K32" s="19" t="s">
        <v>65</v>
      </c>
      <c r="L32" s="92">
        <v>4.51</v>
      </c>
      <c r="M32" s="19">
        <f t="shared" si="3"/>
        <v>0</v>
      </c>
      <c r="N32" s="19">
        <f t="shared" si="4"/>
        <v>0</v>
      </c>
      <c r="O32" s="19">
        <f t="shared" si="5"/>
        <v>0</v>
      </c>
      <c r="P32" s="19">
        <f t="shared" si="6"/>
        <v>0</v>
      </c>
      <c r="Q32" s="24">
        <v>0</v>
      </c>
      <c r="R32" s="92">
        <v>70</v>
      </c>
      <c r="S32" s="98">
        <v>0</v>
      </c>
      <c r="T32" s="126">
        <v>0</v>
      </c>
      <c r="U32" s="126">
        <v>3</v>
      </c>
      <c r="V32" s="24">
        <v>60</v>
      </c>
      <c r="W32" s="92">
        <v>0</v>
      </c>
      <c r="X32" s="90">
        <v>0</v>
      </c>
      <c r="Y32" s="90">
        <v>0</v>
      </c>
      <c r="Z32" s="92">
        <v>4.5</v>
      </c>
      <c r="AA32" s="92">
        <v>0.35</v>
      </c>
      <c r="AB32" s="90">
        <v>0</v>
      </c>
      <c r="AC32" s="90">
        <v>0</v>
      </c>
      <c r="AD32" s="90">
        <v>0</v>
      </c>
      <c r="AE32" s="92">
        <v>60</v>
      </c>
      <c r="AF32" s="119" t="s">
        <v>261</v>
      </c>
      <c r="AG32" s="119" t="s">
        <v>292</v>
      </c>
      <c r="AI32" s="104">
        <v>1365</v>
      </c>
      <c r="AJ32">
        <v>476</v>
      </c>
    </row>
    <row r="33" spans="2:36" x14ac:dyDescent="0.25">
      <c r="B33" s="4" t="s">
        <v>107</v>
      </c>
      <c r="C33" s="4">
        <v>2</v>
      </c>
      <c r="E33" s="13">
        <v>38832</v>
      </c>
      <c r="F33" s="104">
        <f t="shared" si="2"/>
        <v>2631</v>
      </c>
      <c r="G33" s="13">
        <v>40197</v>
      </c>
      <c r="H33" s="25">
        <v>41463</v>
      </c>
      <c r="I33" s="104">
        <f t="shared" si="0"/>
        <v>1365</v>
      </c>
      <c r="J33" s="19">
        <f t="shared" si="1"/>
        <v>1266</v>
      </c>
      <c r="K33" s="19" t="s">
        <v>65</v>
      </c>
      <c r="L33" s="4">
        <v>5.63</v>
      </c>
      <c r="M33" s="19">
        <f t="shared" si="3"/>
        <v>1</v>
      </c>
      <c r="N33" s="19">
        <f t="shared" si="4"/>
        <v>1</v>
      </c>
      <c r="O33" s="19">
        <f t="shared" si="5"/>
        <v>1</v>
      </c>
      <c r="P33" s="19">
        <f t="shared" si="6"/>
        <v>1</v>
      </c>
      <c r="Q33" s="4">
        <v>58</v>
      </c>
      <c r="R33" s="4">
        <v>0</v>
      </c>
      <c r="S33" s="98">
        <v>0</v>
      </c>
      <c r="T33" s="125">
        <v>0</v>
      </c>
      <c r="U33" s="125">
        <v>0</v>
      </c>
      <c r="V33" s="24">
        <v>60</v>
      </c>
      <c r="W33" s="4">
        <v>0</v>
      </c>
      <c r="X33" s="4">
        <v>2.5</v>
      </c>
      <c r="Y33" s="4">
        <v>0.5</v>
      </c>
      <c r="Z33" s="4">
        <v>2.5</v>
      </c>
      <c r="AA33" s="4">
        <v>0.5</v>
      </c>
      <c r="AB33" s="90">
        <v>0</v>
      </c>
      <c r="AC33" s="90">
        <v>0</v>
      </c>
      <c r="AD33" s="90">
        <v>0</v>
      </c>
      <c r="AE33" s="4" t="s">
        <v>47</v>
      </c>
      <c r="AF33" s="118" t="s">
        <v>42</v>
      </c>
      <c r="AG33" s="118" t="s">
        <v>43</v>
      </c>
      <c r="AI33" s="104">
        <v>1365</v>
      </c>
      <c r="AJ33">
        <v>484</v>
      </c>
    </row>
    <row r="34" spans="2:36" x14ac:dyDescent="0.25">
      <c r="B34" s="24" t="s">
        <v>107</v>
      </c>
      <c r="C34" s="24">
        <v>2</v>
      </c>
      <c r="E34" s="27">
        <v>38832</v>
      </c>
      <c r="F34" s="104">
        <f t="shared" si="2"/>
        <v>2631</v>
      </c>
      <c r="G34" s="25">
        <v>40197</v>
      </c>
      <c r="H34" s="25">
        <v>41463</v>
      </c>
      <c r="I34" s="104">
        <f t="shared" si="0"/>
        <v>1365</v>
      </c>
      <c r="J34" s="19">
        <f t="shared" ref="J34:J65" si="7">H34-G34</f>
        <v>1266</v>
      </c>
      <c r="K34" s="19" t="s">
        <v>65</v>
      </c>
      <c r="L34" s="4">
        <v>5.63</v>
      </c>
      <c r="M34" s="19">
        <f t="shared" si="3"/>
        <v>1</v>
      </c>
      <c r="N34" s="19">
        <f t="shared" si="4"/>
        <v>1</v>
      </c>
      <c r="O34" s="19">
        <f t="shared" si="5"/>
        <v>1</v>
      </c>
      <c r="P34" s="19">
        <f t="shared" si="6"/>
        <v>1</v>
      </c>
      <c r="Q34" s="4">
        <v>58</v>
      </c>
      <c r="R34" s="4">
        <v>0</v>
      </c>
      <c r="S34" s="98">
        <v>0</v>
      </c>
      <c r="T34" s="127">
        <v>0</v>
      </c>
      <c r="U34" s="127">
        <v>0</v>
      </c>
      <c r="V34" s="24">
        <v>60</v>
      </c>
      <c r="W34" s="4">
        <v>0</v>
      </c>
      <c r="X34" s="4">
        <v>2.5</v>
      </c>
      <c r="Y34" s="4">
        <v>0.5</v>
      </c>
      <c r="Z34" s="4">
        <v>2.5</v>
      </c>
      <c r="AA34" s="4">
        <v>0.5</v>
      </c>
      <c r="AB34" s="24">
        <v>0</v>
      </c>
      <c r="AC34" s="24">
        <v>0</v>
      </c>
      <c r="AD34" s="90">
        <v>0</v>
      </c>
      <c r="AE34" s="4" t="s">
        <v>47</v>
      </c>
      <c r="AF34" s="138" t="s">
        <v>42</v>
      </c>
      <c r="AG34" s="118" t="s">
        <v>285</v>
      </c>
      <c r="AI34" s="104">
        <v>1820</v>
      </c>
      <c r="AJ34">
        <v>501</v>
      </c>
    </row>
    <row r="35" spans="2:36" x14ac:dyDescent="0.25">
      <c r="B35" s="4" t="s">
        <v>107</v>
      </c>
      <c r="C35" s="4">
        <v>2</v>
      </c>
      <c r="E35" s="13">
        <v>38832</v>
      </c>
      <c r="F35" s="104">
        <f t="shared" si="2"/>
        <v>2631</v>
      </c>
      <c r="G35" s="13">
        <v>40652</v>
      </c>
      <c r="H35" s="25">
        <v>41463</v>
      </c>
      <c r="I35" s="104">
        <f t="shared" si="0"/>
        <v>1820</v>
      </c>
      <c r="J35" s="19">
        <f t="shared" si="7"/>
        <v>811</v>
      </c>
      <c r="K35" s="19" t="s">
        <v>65</v>
      </c>
      <c r="L35" s="4">
        <v>5.18</v>
      </c>
      <c r="M35" s="19">
        <f t="shared" si="3"/>
        <v>1</v>
      </c>
      <c r="N35" s="19">
        <f t="shared" si="4"/>
        <v>1</v>
      </c>
      <c r="O35" s="19">
        <f t="shared" si="5"/>
        <v>1</v>
      </c>
      <c r="P35" s="19">
        <f t="shared" si="6"/>
        <v>1</v>
      </c>
      <c r="Q35" s="4">
        <v>63</v>
      </c>
      <c r="R35" s="4">
        <v>0</v>
      </c>
      <c r="S35" s="98">
        <v>0</v>
      </c>
      <c r="T35" s="128">
        <v>0</v>
      </c>
      <c r="U35" s="128">
        <v>0</v>
      </c>
      <c r="V35" s="24">
        <v>60</v>
      </c>
      <c r="W35" s="4">
        <v>0</v>
      </c>
      <c r="X35" s="4">
        <v>2.5</v>
      </c>
      <c r="Y35" s="4">
        <v>0.5</v>
      </c>
      <c r="Z35" s="4">
        <v>2.5</v>
      </c>
      <c r="AA35" s="4">
        <v>0.5</v>
      </c>
      <c r="AB35" s="24">
        <v>0</v>
      </c>
      <c r="AC35" s="24">
        <v>0</v>
      </c>
      <c r="AD35" s="90">
        <v>0</v>
      </c>
      <c r="AE35" s="4" t="s">
        <v>47</v>
      </c>
      <c r="AG35" s="118" t="s">
        <v>43</v>
      </c>
      <c r="AI35" s="104">
        <v>1820</v>
      </c>
      <c r="AJ35">
        <v>501</v>
      </c>
    </row>
    <row r="36" spans="2:36" x14ac:dyDescent="0.25">
      <c r="B36" s="24" t="s">
        <v>107</v>
      </c>
      <c r="C36" s="24">
        <v>2</v>
      </c>
      <c r="E36" s="27">
        <v>38832</v>
      </c>
      <c r="F36" s="104">
        <f t="shared" si="2"/>
        <v>2631</v>
      </c>
      <c r="G36" s="25">
        <v>40652</v>
      </c>
      <c r="H36" s="25">
        <v>41463</v>
      </c>
      <c r="I36" s="104">
        <f t="shared" si="0"/>
        <v>1820</v>
      </c>
      <c r="J36" s="19">
        <f t="shared" si="7"/>
        <v>811</v>
      </c>
      <c r="K36" s="19" t="s">
        <v>65</v>
      </c>
      <c r="L36" s="4">
        <v>5.18</v>
      </c>
      <c r="M36" s="19">
        <f t="shared" si="3"/>
        <v>1</v>
      </c>
      <c r="N36" s="19">
        <f t="shared" si="4"/>
        <v>1</v>
      </c>
      <c r="O36" s="19">
        <f t="shared" si="5"/>
        <v>1</v>
      </c>
      <c r="P36" s="19">
        <f t="shared" si="6"/>
        <v>1</v>
      </c>
      <c r="Q36" s="4">
        <v>63</v>
      </c>
      <c r="R36" s="4">
        <v>0</v>
      </c>
      <c r="S36" s="98">
        <v>0</v>
      </c>
      <c r="T36" s="127">
        <v>0</v>
      </c>
      <c r="U36" s="127">
        <v>0</v>
      </c>
      <c r="V36" s="24">
        <v>60</v>
      </c>
      <c r="W36" s="4">
        <v>0</v>
      </c>
      <c r="X36" s="4">
        <v>2.5</v>
      </c>
      <c r="Y36" s="4">
        <v>0.5</v>
      </c>
      <c r="Z36" s="4">
        <v>2.5</v>
      </c>
      <c r="AA36" s="4">
        <v>0.5</v>
      </c>
      <c r="AB36" s="24">
        <v>0</v>
      </c>
      <c r="AC36" s="24">
        <v>0</v>
      </c>
      <c r="AD36" s="90">
        <v>0</v>
      </c>
      <c r="AE36" s="4" t="s">
        <v>47</v>
      </c>
      <c r="AF36" s="138" t="s">
        <v>42</v>
      </c>
      <c r="AG36" s="118" t="s">
        <v>285</v>
      </c>
      <c r="AI36" s="104">
        <v>2030</v>
      </c>
      <c r="AJ36">
        <v>516</v>
      </c>
    </row>
    <row r="37" spans="2:36" x14ac:dyDescent="0.25">
      <c r="B37" s="4" t="s">
        <v>107</v>
      </c>
      <c r="C37" s="4">
        <v>2</v>
      </c>
      <c r="E37" s="13">
        <v>38832</v>
      </c>
      <c r="F37" s="104">
        <f t="shared" si="2"/>
        <v>2631</v>
      </c>
      <c r="G37" s="13">
        <v>40862</v>
      </c>
      <c r="H37" s="25">
        <v>41463</v>
      </c>
      <c r="I37" s="104">
        <f t="shared" si="0"/>
        <v>2030</v>
      </c>
      <c r="J37" s="19">
        <f t="shared" si="7"/>
        <v>601</v>
      </c>
      <c r="K37" s="19" t="s">
        <v>65</v>
      </c>
      <c r="L37" s="4">
        <v>5.16</v>
      </c>
      <c r="M37" s="19">
        <f t="shared" si="3"/>
        <v>1</v>
      </c>
      <c r="N37" s="19">
        <f t="shared" si="4"/>
        <v>1</v>
      </c>
      <c r="O37" s="19">
        <f t="shared" si="5"/>
        <v>1</v>
      </c>
      <c r="P37" s="19">
        <f t="shared" si="6"/>
        <v>1</v>
      </c>
      <c r="Q37" s="4">
        <v>64</v>
      </c>
      <c r="R37" s="4">
        <v>0</v>
      </c>
      <c r="S37" s="98">
        <v>0</v>
      </c>
      <c r="T37" s="128">
        <v>0</v>
      </c>
      <c r="U37" s="128">
        <v>0</v>
      </c>
      <c r="V37" s="24">
        <v>60</v>
      </c>
      <c r="W37" s="4">
        <v>0</v>
      </c>
      <c r="X37" s="4">
        <v>2.5</v>
      </c>
      <c r="Y37" s="4">
        <v>0.5</v>
      </c>
      <c r="Z37" s="4">
        <v>2.5</v>
      </c>
      <c r="AA37" s="4">
        <v>0.5</v>
      </c>
      <c r="AB37" s="24">
        <v>0</v>
      </c>
      <c r="AC37" s="24">
        <v>0</v>
      </c>
      <c r="AD37" s="90">
        <v>0</v>
      </c>
      <c r="AE37" s="4" t="s">
        <v>47</v>
      </c>
      <c r="AG37" s="118" t="s">
        <v>43</v>
      </c>
      <c r="AI37" s="104">
        <v>2219</v>
      </c>
      <c r="AJ37">
        <v>525</v>
      </c>
    </row>
    <row r="38" spans="2:36" x14ac:dyDescent="0.25">
      <c r="B38" s="4" t="s">
        <v>107</v>
      </c>
      <c r="C38" s="4">
        <v>2</v>
      </c>
      <c r="E38" s="13">
        <v>38832</v>
      </c>
      <c r="F38" s="104">
        <f t="shared" si="2"/>
        <v>2631</v>
      </c>
      <c r="G38" s="13">
        <v>41051</v>
      </c>
      <c r="H38" s="25">
        <v>41463</v>
      </c>
      <c r="I38" s="104">
        <f t="shared" si="0"/>
        <v>2219</v>
      </c>
      <c r="J38" s="19">
        <f t="shared" si="7"/>
        <v>412</v>
      </c>
      <c r="K38" s="19" t="s">
        <v>65</v>
      </c>
      <c r="L38" s="4">
        <v>5.15</v>
      </c>
      <c r="M38" s="19">
        <f t="shared" si="3"/>
        <v>0</v>
      </c>
      <c r="N38" s="19">
        <f t="shared" si="4"/>
        <v>1</v>
      </c>
      <c r="O38" s="19">
        <f t="shared" si="5"/>
        <v>1</v>
      </c>
      <c r="P38" s="19">
        <f t="shared" si="6"/>
        <v>1</v>
      </c>
      <c r="Q38" s="4">
        <v>62</v>
      </c>
      <c r="R38" s="4">
        <v>0</v>
      </c>
      <c r="S38" s="98">
        <v>0</v>
      </c>
      <c r="T38" s="128">
        <v>0</v>
      </c>
      <c r="U38" s="128">
        <v>0</v>
      </c>
      <c r="V38" s="24">
        <v>60</v>
      </c>
      <c r="W38" s="4">
        <v>0</v>
      </c>
      <c r="X38" s="4">
        <v>2.5</v>
      </c>
      <c r="Y38" s="4">
        <v>0.5</v>
      </c>
      <c r="Z38" s="4">
        <v>2.5</v>
      </c>
      <c r="AA38" s="4">
        <v>0.5</v>
      </c>
      <c r="AB38" s="24">
        <v>0</v>
      </c>
      <c r="AC38" s="24">
        <v>0</v>
      </c>
      <c r="AD38" s="90">
        <v>0</v>
      </c>
      <c r="AE38" s="4" t="s">
        <v>47</v>
      </c>
      <c r="AF38" s="141"/>
      <c r="AG38" s="118" t="s">
        <v>43</v>
      </c>
      <c r="AI38" s="104">
        <v>2408</v>
      </c>
      <c r="AJ38">
        <v>536</v>
      </c>
    </row>
    <row r="39" spans="2:36" x14ac:dyDescent="0.25">
      <c r="B39" s="4" t="s">
        <v>107</v>
      </c>
      <c r="C39" s="4">
        <v>2</v>
      </c>
      <c r="E39" s="13">
        <v>38832</v>
      </c>
      <c r="F39" s="104">
        <f t="shared" si="2"/>
        <v>2631</v>
      </c>
      <c r="G39" s="13">
        <v>41240</v>
      </c>
      <c r="H39" s="25">
        <v>41463</v>
      </c>
      <c r="I39" s="104">
        <f t="shared" si="0"/>
        <v>2408</v>
      </c>
      <c r="J39" s="19">
        <f t="shared" si="7"/>
        <v>223</v>
      </c>
      <c r="K39" s="19" t="s">
        <v>65</v>
      </c>
      <c r="L39" s="4">
        <v>5.12</v>
      </c>
      <c r="M39" s="19">
        <f t="shared" si="3"/>
        <v>0</v>
      </c>
      <c r="N39" s="19">
        <f t="shared" si="4"/>
        <v>0</v>
      </c>
      <c r="O39" s="19">
        <f t="shared" si="5"/>
        <v>1</v>
      </c>
      <c r="P39" s="19">
        <f t="shared" si="6"/>
        <v>1</v>
      </c>
      <c r="Q39" s="4">
        <v>64</v>
      </c>
      <c r="R39" s="4">
        <v>0</v>
      </c>
      <c r="S39" s="98">
        <v>0</v>
      </c>
      <c r="T39" s="128">
        <v>0</v>
      </c>
      <c r="U39" s="128">
        <v>0</v>
      </c>
      <c r="V39" s="24">
        <v>60</v>
      </c>
      <c r="W39" s="4">
        <v>0</v>
      </c>
      <c r="X39" s="4">
        <v>2</v>
      </c>
      <c r="Y39" s="4">
        <v>0.5</v>
      </c>
      <c r="Z39" s="4">
        <v>2</v>
      </c>
      <c r="AA39" s="4">
        <v>0.5</v>
      </c>
      <c r="AB39" s="24">
        <v>0</v>
      </c>
      <c r="AC39" s="24">
        <v>0</v>
      </c>
      <c r="AD39" s="90">
        <v>0</v>
      </c>
      <c r="AE39" s="4" t="s">
        <v>47</v>
      </c>
      <c r="AG39" s="118" t="s">
        <v>43</v>
      </c>
      <c r="AI39" s="104">
        <v>2562</v>
      </c>
      <c r="AJ39">
        <v>553</v>
      </c>
    </row>
    <row r="40" spans="2:36" x14ac:dyDescent="0.25">
      <c r="B40" s="4" t="s">
        <v>107</v>
      </c>
      <c r="C40" s="4">
        <v>2</v>
      </c>
      <c r="E40" s="13">
        <v>38832</v>
      </c>
      <c r="F40" s="104">
        <f t="shared" si="2"/>
        <v>2631</v>
      </c>
      <c r="G40" s="25">
        <v>41394</v>
      </c>
      <c r="H40" s="25">
        <v>41463</v>
      </c>
      <c r="I40" s="104">
        <f t="shared" si="0"/>
        <v>2562</v>
      </c>
      <c r="J40" s="19">
        <f t="shared" si="7"/>
        <v>69</v>
      </c>
      <c r="K40" s="19" t="s">
        <v>65</v>
      </c>
      <c r="L40" s="4">
        <v>4.95</v>
      </c>
      <c r="M40" s="19">
        <f t="shared" si="3"/>
        <v>0</v>
      </c>
      <c r="N40" s="19">
        <f t="shared" si="4"/>
        <v>0</v>
      </c>
      <c r="O40" s="19">
        <f t="shared" si="5"/>
        <v>0</v>
      </c>
      <c r="P40" s="19">
        <f t="shared" si="6"/>
        <v>0</v>
      </c>
      <c r="Q40" s="4">
        <v>57</v>
      </c>
      <c r="R40" s="4">
        <v>0</v>
      </c>
      <c r="S40" s="98">
        <v>0</v>
      </c>
      <c r="T40" s="128">
        <v>0</v>
      </c>
      <c r="U40" s="128">
        <v>0</v>
      </c>
      <c r="V40" s="24">
        <v>60</v>
      </c>
      <c r="W40" s="4">
        <v>0</v>
      </c>
      <c r="X40" s="4">
        <v>2</v>
      </c>
      <c r="Y40" s="4">
        <v>0.5</v>
      </c>
      <c r="Z40" s="4">
        <v>2</v>
      </c>
      <c r="AA40" s="4">
        <v>0.5</v>
      </c>
      <c r="AB40" s="24">
        <v>0</v>
      </c>
      <c r="AC40" s="24">
        <v>0</v>
      </c>
      <c r="AD40" s="90">
        <v>0</v>
      </c>
      <c r="AE40" s="4" t="s">
        <v>47</v>
      </c>
      <c r="AG40" s="118" t="s">
        <v>43</v>
      </c>
      <c r="AI40" s="104">
        <v>2619</v>
      </c>
      <c r="AJ40">
        <v>568</v>
      </c>
    </row>
    <row r="41" spans="2:36" x14ac:dyDescent="0.25">
      <c r="B41" s="4" t="s">
        <v>107</v>
      </c>
      <c r="C41" s="4">
        <v>2</v>
      </c>
      <c r="E41" s="13">
        <v>38832</v>
      </c>
      <c r="F41" s="104">
        <f t="shared" si="2"/>
        <v>2631</v>
      </c>
      <c r="G41" s="25">
        <v>41451</v>
      </c>
      <c r="H41" s="25">
        <v>41463</v>
      </c>
      <c r="I41" s="104">
        <f t="shared" si="0"/>
        <v>2619</v>
      </c>
      <c r="J41" s="19">
        <f t="shared" si="7"/>
        <v>12</v>
      </c>
      <c r="K41" s="19" t="s">
        <v>65</v>
      </c>
      <c r="L41" s="4">
        <v>4.87</v>
      </c>
      <c r="M41" s="19">
        <f t="shared" si="3"/>
        <v>0</v>
      </c>
      <c r="N41" s="19">
        <f t="shared" si="4"/>
        <v>0</v>
      </c>
      <c r="O41" s="19">
        <f t="shared" si="5"/>
        <v>0</v>
      </c>
      <c r="P41" s="19">
        <f t="shared" si="6"/>
        <v>0</v>
      </c>
      <c r="Q41" s="4">
        <v>60</v>
      </c>
      <c r="R41" s="4">
        <v>0</v>
      </c>
      <c r="S41" s="98">
        <v>0</v>
      </c>
      <c r="T41" s="128">
        <v>0</v>
      </c>
      <c r="U41" s="128">
        <v>0</v>
      </c>
      <c r="V41" s="24">
        <v>60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24">
        <v>0</v>
      </c>
      <c r="AC41" s="24">
        <v>0</v>
      </c>
      <c r="AD41" s="90">
        <v>0</v>
      </c>
      <c r="AE41" s="4" t="s">
        <v>47</v>
      </c>
      <c r="AI41" s="104">
        <v>2631</v>
      </c>
      <c r="AJ41">
        <v>573</v>
      </c>
    </row>
    <row r="42" spans="2:36" x14ac:dyDescent="0.25">
      <c r="B42" s="24" t="s">
        <v>107</v>
      </c>
      <c r="C42" s="24">
        <v>2</v>
      </c>
      <c r="E42" s="27">
        <v>38832</v>
      </c>
      <c r="F42" s="104">
        <f t="shared" si="2"/>
        <v>2631</v>
      </c>
      <c r="G42" s="25">
        <v>41463</v>
      </c>
      <c r="H42" s="25">
        <v>41463</v>
      </c>
      <c r="I42" s="104">
        <f t="shared" si="0"/>
        <v>2631</v>
      </c>
      <c r="J42" s="19">
        <f t="shared" si="7"/>
        <v>0</v>
      </c>
      <c r="K42" s="19" t="s">
        <v>65</v>
      </c>
      <c r="L42" s="4">
        <v>4.84</v>
      </c>
      <c r="M42" s="19">
        <f t="shared" si="3"/>
        <v>0</v>
      </c>
      <c r="N42" s="19">
        <f t="shared" si="4"/>
        <v>0</v>
      </c>
      <c r="O42" s="19">
        <f t="shared" si="5"/>
        <v>0</v>
      </c>
      <c r="P42" s="19">
        <f t="shared" si="6"/>
        <v>0</v>
      </c>
      <c r="Q42" s="4">
        <v>60</v>
      </c>
      <c r="R42" s="4">
        <v>0</v>
      </c>
      <c r="S42" s="98">
        <v>0</v>
      </c>
      <c r="T42" s="125">
        <v>0</v>
      </c>
      <c r="U42" s="125">
        <v>0</v>
      </c>
      <c r="V42" s="24">
        <v>60</v>
      </c>
      <c r="W42" s="4">
        <v>0</v>
      </c>
      <c r="X42" s="4">
        <v>2</v>
      </c>
      <c r="Y42" s="4">
        <v>0.5</v>
      </c>
      <c r="Z42" s="4">
        <v>2</v>
      </c>
      <c r="AA42" s="4">
        <v>0.5</v>
      </c>
      <c r="AB42" s="24">
        <v>0</v>
      </c>
      <c r="AC42" s="24">
        <v>0</v>
      </c>
      <c r="AD42" s="90">
        <v>0</v>
      </c>
      <c r="AE42" s="4" t="s">
        <v>81</v>
      </c>
      <c r="AF42" s="118" t="s">
        <v>42</v>
      </c>
      <c r="AG42" s="118" t="s">
        <v>69</v>
      </c>
      <c r="AI42" s="104">
        <v>1323</v>
      </c>
      <c r="AJ42">
        <v>581</v>
      </c>
    </row>
    <row r="43" spans="2:36" x14ac:dyDescent="0.25">
      <c r="B43" s="24" t="s">
        <v>76</v>
      </c>
      <c r="C43" s="24">
        <v>2</v>
      </c>
      <c r="E43" s="27">
        <v>38790</v>
      </c>
      <c r="F43" s="104">
        <f t="shared" si="2"/>
        <v>2647</v>
      </c>
      <c r="G43" s="25">
        <v>40113</v>
      </c>
      <c r="H43" s="27">
        <v>41437</v>
      </c>
      <c r="I43" s="104">
        <f t="shared" si="0"/>
        <v>1323</v>
      </c>
      <c r="J43" s="19">
        <f t="shared" si="7"/>
        <v>1324</v>
      </c>
      <c r="K43" s="19" t="s">
        <v>65</v>
      </c>
      <c r="L43" s="24">
        <v>5.9</v>
      </c>
      <c r="M43" s="19">
        <f t="shared" si="3"/>
        <v>1</v>
      </c>
      <c r="N43" s="19">
        <f t="shared" si="4"/>
        <v>1</v>
      </c>
      <c r="O43" s="19">
        <f t="shared" si="5"/>
        <v>1</v>
      </c>
      <c r="P43" s="19">
        <f t="shared" si="6"/>
        <v>1</v>
      </c>
      <c r="Q43" s="24">
        <v>0</v>
      </c>
      <c r="R43" s="24">
        <v>0</v>
      </c>
      <c r="S43" s="24">
        <v>0</v>
      </c>
      <c r="T43" s="127">
        <v>0</v>
      </c>
      <c r="U43" s="127">
        <v>0</v>
      </c>
      <c r="V43" s="24">
        <v>50</v>
      </c>
      <c r="W43" s="24">
        <v>0</v>
      </c>
      <c r="X43" s="24">
        <v>2.5</v>
      </c>
      <c r="Y43" s="24">
        <v>0.5</v>
      </c>
      <c r="Z43" s="24">
        <v>2.5</v>
      </c>
      <c r="AA43" s="24">
        <v>0.5</v>
      </c>
      <c r="AB43" s="24">
        <v>0</v>
      </c>
      <c r="AC43" s="24">
        <v>0</v>
      </c>
      <c r="AD43" s="24">
        <v>0</v>
      </c>
      <c r="AE43" s="24" t="s">
        <v>67</v>
      </c>
      <c r="AF43" s="138" t="s">
        <v>42</v>
      </c>
      <c r="AG43" s="114" t="s">
        <v>285</v>
      </c>
      <c r="AI43" s="104">
        <v>1505</v>
      </c>
      <c r="AJ43">
        <v>592</v>
      </c>
    </row>
    <row r="44" spans="2:36" x14ac:dyDescent="0.25">
      <c r="B44" s="24" t="s">
        <v>76</v>
      </c>
      <c r="C44" s="24">
        <v>2</v>
      </c>
      <c r="E44" s="27">
        <v>38790</v>
      </c>
      <c r="F44" s="104">
        <f t="shared" si="2"/>
        <v>2647</v>
      </c>
      <c r="G44" s="25">
        <v>40295</v>
      </c>
      <c r="H44" s="27">
        <v>41437</v>
      </c>
      <c r="I44" s="104">
        <f t="shared" si="0"/>
        <v>1505</v>
      </c>
      <c r="J44" s="19">
        <f t="shared" si="7"/>
        <v>1142</v>
      </c>
      <c r="K44" s="19" t="s">
        <v>65</v>
      </c>
      <c r="L44" s="4">
        <v>5.8</v>
      </c>
      <c r="M44" s="19">
        <f t="shared" si="3"/>
        <v>1</v>
      </c>
      <c r="N44" s="19">
        <f t="shared" si="4"/>
        <v>1</v>
      </c>
      <c r="O44" s="19">
        <f t="shared" si="5"/>
        <v>1</v>
      </c>
      <c r="P44" s="19">
        <f t="shared" si="6"/>
        <v>1</v>
      </c>
      <c r="S44" s="98">
        <v>0</v>
      </c>
      <c r="T44" s="127">
        <v>0</v>
      </c>
      <c r="U44" s="127">
        <v>0</v>
      </c>
      <c r="V44" s="24">
        <v>50</v>
      </c>
      <c r="W44" s="24">
        <v>0</v>
      </c>
      <c r="X44" s="24">
        <v>2.5</v>
      </c>
      <c r="Y44" s="24">
        <v>0.5</v>
      </c>
      <c r="Z44" s="24">
        <v>2.5</v>
      </c>
      <c r="AA44" s="24">
        <v>0.5</v>
      </c>
      <c r="AB44" s="24">
        <v>0</v>
      </c>
      <c r="AC44" s="24">
        <v>0</v>
      </c>
      <c r="AD44" s="24">
        <v>0</v>
      </c>
      <c r="AE44" s="24" t="s">
        <v>67</v>
      </c>
      <c r="AF44" s="138" t="s">
        <v>42</v>
      </c>
      <c r="AG44" s="114" t="s">
        <v>285</v>
      </c>
      <c r="AI44" s="104">
        <v>1697</v>
      </c>
      <c r="AJ44">
        <v>602</v>
      </c>
    </row>
    <row r="45" spans="2:36" x14ac:dyDescent="0.25">
      <c r="B45" s="24" t="s">
        <v>76</v>
      </c>
      <c r="C45" s="24">
        <v>2</v>
      </c>
      <c r="E45" s="27">
        <v>38790</v>
      </c>
      <c r="F45" s="104">
        <f t="shared" si="2"/>
        <v>2647</v>
      </c>
      <c r="G45" s="25">
        <v>40487</v>
      </c>
      <c r="H45" s="27">
        <v>41437</v>
      </c>
      <c r="I45" s="104">
        <f t="shared" si="0"/>
        <v>1697</v>
      </c>
      <c r="J45" s="19">
        <f t="shared" si="7"/>
        <v>950</v>
      </c>
      <c r="K45" s="19" t="s">
        <v>65</v>
      </c>
      <c r="L45" s="4">
        <v>5.27</v>
      </c>
      <c r="M45" s="19">
        <f t="shared" si="3"/>
        <v>1</v>
      </c>
      <c r="N45" s="19">
        <f t="shared" si="4"/>
        <v>1</v>
      </c>
      <c r="O45" s="19">
        <f t="shared" si="5"/>
        <v>1</v>
      </c>
      <c r="P45" s="19">
        <f t="shared" si="6"/>
        <v>1</v>
      </c>
      <c r="S45" s="98">
        <v>0</v>
      </c>
      <c r="T45" s="125">
        <v>1</v>
      </c>
      <c r="U45" s="125">
        <v>3</v>
      </c>
      <c r="V45" s="24">
        <v>50</v>
      </c>
      <c r="W45" s="24">
        <v>0</v>
      </c>
      <c r="X45" s="24">
        <v>2.5</v>
      </c>
      <c r="Y45" s="24">
        <v>0.5</v>
      </c>
      <c r="Z45" s="24">
        <v>2.5</v>
      </c>
      <c r="AA45" s="24">
        <v>0.5</v>
      </c>
      <c r="AB45" s="24">
        <v>0</v>
      </c>
      <c r="AC45" s="24">
        <v>0</v>
      </c>
      <c r="AD45" s="24">
        <v>0</v>
      </c>
      <c r="AE45" s="24" t="s">
        <v>67</v>
      </c>
      <c r="AF45" s="140" t="s">
        <v>293</v>
      </c>
      <c r="AG45" s="114" t="s">
        <v>285</v>
      </c>
      <c r="AI45" s="104">
        <v>1704</v>
      </c>
      <c r="AJ45">
        <v>643</v>
      </c>
    </row>
    <row r="46" spans="2:36" x14ac:dyDescent="0.25">
      <c r="B46" s="24" t="s">
        <v>76</v>
      </c>
      <c r="C46" s="24">
        <v>2</v>
      </c>
      <c r="E46" s="27">
        <v>38790</v>
      </c>
      <c r="F46" s="104">
        <f t="shared" si="2"/>
        <v>2647</v>
      </c>
      <c r="G46" s="25">
        <v>40494</v>
      </c>
      <c r="H46" s="27">
        <v>41437</v>
      </c>
      <c r="I46" s="104">
        <f t="shared" si="0"/>
        <v>1704</v>
      </c>
      <c r="J46" s="19">
        <f t="shared" si="7"/>
        <v>943</v>
      </c>
      <c r="K46" s="19" t="s">
        <v>65</v>
      </c>
      <c r="L46" s="4">
        <v>5.24</v>
      </c>
      <c r="M46" s="19">
        <f t="shared" si="3"/>
        <v>1</v>
      </c>
      <c r="N46" s="19">
        <f t="shared" si="4"/>
        <v>1</v>
      </c>
      <c r="O46" s="19">
        <f t="shared" si="5"/>
        <v>1</v>
      </c>
      <c r="P46" s="19">
        <f t="shared" si="6"/>
        <v>1</v>
      </c>
      <c r="S46" s="98">
        <v>0</v>
      </c>
      <c r="T46" s="125">
        <v>0</v>
      </c>
      <c r="U46" s="125">
        <v>0</v>
      </c>
      <c r="V46" s="24">
        <v>50</v>
      </c>
      <c r="W46" s="24">
        <v>0</v>
      </c>
      <c r="X46" s="24">
        <v>2.5</v>
      </c>
      <c r="Y46" s="24">
        <v>0.5</v>
      </c>
      <c r="Z46" s="24">
        <v>2.5</v>
      </c>
      <c r="AA46" s="24">
        <v>0.5</v>
      </c>
      <c r="AB46" s="24">
        <v>0</v>
      </c>
      <c r="AC46" s="24">
        <v>0</v>
      </c>
      <c r="AD46" s="24">
        <v>0</v>
      </c>
      <c r="AE46" s="24" t="s">
        <v>67</v>
      </c>
      <c r="AF46" s="118" t="s">
        <v>42</v>
      </c>
      <c r="AG46" s="114" t="s">
        <v>285</v>
      </c>
      <c r="AI46" s="104">
        <v>1883</v>
      </c>
      <c r="AJ46">
        <v>658</v>
      </c>
    </row>
    <row r="47" spans="2:36" x14ac:dyDescent="0.25">
      <c r="B47" s="4" t="s">
        <v>76</v>
      </c>
      <c r="C47" s="4">
        <v>2</v>
      </c>
      <c r="E47" s="13">
        <v>38790</v>
      </c>
      <c r="F47" s="104">
        <f t="shared" si="2"/>
        <v>2647</v>
      </c>
      <c r="G47" s="13">
        <v>40673</v>
      </c>
      <c r="H47" s="27">
        <v>41437</v>
      </c>
      <c r="I47" s="104">
        <f t="shared" si="0"/>
        <v>1883</v>
      </c>
      <c r="J47" s="19">
        <f t="shared" si="7"/>
        <v>764</v>
      </c>
      <c r="K47" s="19" t="s">
        <v>65</v>
      </c>
      <c r="L47" s="4">
        <v>5.17</v>
      </c>
      <c r="M47" s="19">
        <f t="shared" si="3"/>
        <v>1</v>
      </c>
      <c r="N47" s="19">
        <f t="shared" si="4"/>
        <v>1</v>
      </c>
      <c r="O47" s="19">
        <f t="shared" si="5"/>
        <v>1</v>
      </c>
      <c r="P47" s="19">
        <f t="shared" si="6"/>
        <v>1</v>
      </c>
      <c r="Q47" s="4">
        <v>0</v>
      </c>
      <c r="R47" s="4">
        <v>0</v>
      </c>
      <c r="S47" s="98">
        <v>0</v>
      </c>
      <c r="T47" s="125">
        <v>0</v>
      </c>
      <c r="U47" s="125">
        <v>0</v>
      </c>
      <c r="V47" s="24">
        <v>50</v>
      </c>
      <c r="W47" s="4">
        <v>0</v>
      </c>
      <c r="X47" s="4">
        <v>2.5</v>
      </c>
      <c r="Y47" s="4">
        <v>0.5</v>
      </c>
      <c r="Z47" s="4">
        <v>2.5</v>
      </c>
      <c r="AA47" s="4">
        <v>0.5</v>
      </c>
      <c r="AB47" s="24">
        <v>0</v>
      </c>
      <c r="AC47" s="24">
        <v>0</v>
      </c>
      <c r="AD47" s="24">
        <v>0</v>
      </c>
      <c r="AE47" s="4" t="s">
        <v>67</v>
      </c>
      <c r="AF47" s="118" t="s">
        <v>42</v>
      </c>
      <c r="AG47" s="118" t="s">
        <v>43</v>
      </c>
      <c r="AI47" s="104">
        <v>1920</v>
      </c>
      <c r="AJ47">
        <v>666</v>
      </c>
    </row>
    <row r="48" spans="2:36" x14ac:dyDescent="0.25">
      <c r="B48" s="24" t="s">
        <v>76</v>
      </c>
      <c r="C48" s="24">
        <v>2</v>
      </c>
      <c r="E48" s="27">
        <v>38790</v>
      </c>
      <c r="F48" s="104">
        <f t="shared" si="2"/>
        <v>2647</v>
      </c>
      <c r="G48" s="25">
        <v>40710</v>
      </c>
      <c r="H48" s="27">
        <v>41437</v>
      </c>
      <c r="I48" s="104">
        <f t="shared" si="0"/>
        <v>1920</v>
      </c>
      <c r="J48" s="19">
        <f t="shared" si="7"/>
        <v>727</v>
      </c>
      <c r="K48" s="19" t="s">
        <v>65</v>
      </c>
      <c r="L48" s="4">
        <v>5.17</v>
      </c>
      <c r="M48" s="19">
        <f t="shared" si="3"/>
        <v>1</v>
      </c>
      <c r="N48" s="19">
        <f t="shared" si="4"/>
        <v>1</v>
      </c>
      <c r="O48" s="19">
        <f t="shared" si="5"/>
        <v>1</v>
      </c>
      <c r="P48" s="19">
        <f t="shared" si="6"/>
        <v>1</v>
      </c>
      <c r="S48" s="98">
        <v>0</v>
      </c>
      <c r="T48" s="125">
        <v>5</v>
      </c>
      <c r="U48" s="125">
        <v>13</v>
      </c>
      <c r="V48" s="24">
        <v>50</v>
      </c>
      <c r="W48" s="24">
        <v>0</v>
      </c>
      <c r="X48" s="24">
        <v>2.5</v>
      </c>
      <c r="Y48" s="24">
        <v>0.5</v>
      </c>
      <c r="Z48" s="24">
        <v>2.5</v>
      </c>
      <c r="AA48" s="24">
        <v>0.5</v>
      </c>
      <c r="AB48" s="24">
        <v>0</v>
      </c>
      <c r="AC48" s="24">
        <v>0</v>
      </c>
      <c r="AD48" s="24">
        <v>0</v>
      </c>
      <c r="AE48" s="24" t="s">
        <v>67</v>
      </c>
      <c r="AF48" s="139" t="s">
        <v>294</v>
      </c>
      <c r="AG48" s="114" t="s">
        <v>285</v>
      </c>
      <c r="AI48" s="104">
        <v>2023</v>
      </c>
      <c r="AJ48">
        <v>675</v>
      </c>
    </row>
    <row r="49" spans="2:36" x14ac:dyDescent="0.25">
      <c r="B49" s="4" t="s">
        <v>76</v>
      </c>
      <c r="C49" s="4">
        <v>2</v>
      </c>
      <c r="E49" s="13">
        <v>38790</v>
      </c>
      <c r="F49" s="104">
        <f t="shared" si="2"/>
        <v>2647</v>
      </c>
      <c r="G49" s="13">
        <v>40813</v>
      </c>
      <c r="H49" s="27">
        <v>41437</v>
      </c>
      <c r="I49" s="104">
        <f t="shared" si="0"/>
        <v>2023</v>
      </c>
      <c r="J49" s="19">
        <f t="shared" si="7"/>
        <v>624</v>
      </c>
      <c r="K49" s="19" t="s">
        <v>65</v>
      </c>
      <c r="L49" s="4">
        <v>5.15</v>
      </c>
      <c r="M49" s="19">
        <f t="shared" si="3"/>
        <v>1</v>
      </c>
      <c r="N49" s="19">
        <f t="shared" si="4"/>
        <v>1</v>
      </c>
      <c r="O49" s="19">
        <f t="shared" si="5"/>
        <v>1</v>
      </c>
      <c r="P49" s="19">
        <f t="shared" si="6"/>
        <v>1</v>
      </c>
      <c r="Q49" s="4">
        <v>5</v>
      </c>
      <c r="R49" s="4">
        <v>0</v>
      </c>
      <c r="S49" s="98">
        <v>0</v>
      </c>
      <c r="T49" s="125">
        <v>0</v>
      </c>
      <c r="U49" s="125">
        <v>0</v>
      </c>
      <c r="V49" s="24">
        <v>50</v>
      </c>
      <c r="W49" s="4">
        <v>0</v>
      </c>
      <c r="X49" s="4">
        <v>2.5</v>
      </c>
      <c r="Y49" s="4">
        <v>0.5</v>
      </c>
      <c r="Z49" s="4">
        <v>2.5</v>
      </c>
      <c r="AA49" s="4">
        <v>0.5</v>
      </c>
      <c r="AB49" s="24">
        <v>0</v>
      </c>
      <c r="AC49" s="24">
        <v>0</v>
      </c>
      <c r="AD49" s="24">
        <v>0</v>
      </c>
      <c r="AE49" s="4" t="s">
        <v>67</v>
      </c>
      <c r="AF49" s="118" t="s">
        <v>77</v>
      </c>
      <c r="AG49" s="118" t="s">
        <v>43</v>
      </c>
      <c r="AI49" s="104">
        <v>2107</v>
      </c>
      <c r="AJ49">
        <v>687</v>
      </c>
    </row>
    <row r="50" spans="2:36" x14ac:dyDescent="0.25">
      <c r="B50" s="4" t="s">
        <v>76</v>
      </c>
      <c r="C50" s="4">
        <v>2</v>
      </c>
      <c r="E50" s="13">
        <v>38790</v>
      </c>
      <c r="F50" s="104">
        <f t="shared" si="2"/>
        <v>2647</v>
      </c>
      <c r="G50" s="13">
        <v>40897</v>
      </c>
      <c r="H50" s="27">
        <v>41437</v>
      </c>
      <c r="I50" s="104">
        <f t="shared" si="0"/>
        <v>2107</v>
      </c>
      <c r="J50" s="19">
        <f t="shared" si="7"/>
        <v>540</v>
      </c>
      <c r="K50" s="19" t="s">
        <v>65</v>
      </c>
      <c r="L50" s="4">
        <v>5.15</v>
      </c>
      <c r="M50" s="19">
        <f t="shared" si="3"/>
        <v>0</v>
      </c>
      <c r="N50" s="19">
        <f t="shared" si="4"/>
        <v>1</v>
      </c>
      <c r="O50" s="19">
        <f t="shared" si="5"/>
        <v>1</v>
      </c>
      <c r="P50" s="19">
        <f t="shared" si="6"/>
        <v>1</v>
      </c>
      <c r="Q50" s="4">
        <v>1</v>
      </c>
      <c r="R50" s="4">
        <v>0</v>
      </c>
      <c r="S50" s="98">
        <v>0</v>
      </c>
      <c r="T50" s="125">
        <v>0</v>
      </c>
      <c r="U50" s="125">
        <v>0</v>
      </c>
      <c r="V50" s="24">
        <v>50</v>
      </c>
      <c r="W50" s="4">
        <v>0</v>
      </c>
      <c r="X50" s="4">
        <v>2.5</v>
      </c>
      <c r="Y50" s="4">
        <v>0.5</v>
      </c>
      <c r="Z50" s="4">
        <v>2.5</v>
      </c>
      <c r="AA50" s="4">
        <v>0.5</v>
      </c>
      <c r="AB50" s="24">
        <v>0</v>
      </c>
      <c r="AC50" s="24">
        <v>0</v>
      </c>
      <c r="AD50" s="24">
        <v>0</v>
      </c>
      <c r="AE50" s="4" t="s">
        <v>67</v>
      </c>
      <c r="AF50" s="118" t="s">
        <v>42</v>
      </c>
      <c r="AG50" s="118" t="s">
        <v>43</v>
      </c>
      <c r="AI50" s="104">
        <v>2233</v>
      </c>
      <c r="AJ50">
        <v>687</v>
      </c>
    </row>
    <row r="51" spans="2:36" x14ac:dyDescent="0.25">
      <c r="B51" s="4" t="s">
        <v>76</v>
      </c>
      <c r="C51" s="4">
        <v>2</v>
      </c>
      <c r="E51" s="13">
        <v>38790</v>
      </c>
      <c r="F51" s="104">
        <f t="shared" si="2"/>
        <v>2647</v>
      </c>
      <c r="G51" s="13">
        <v>41023</v>
      </c>
      <c r="H51" s="27">
        <v>41437</v>
      </c>
      <c r="I51" s="104">
        <f t="shared" si="0"/>
        <v>2233</v>
      </c>
      <c r="J51" s="19">
        <f t="shared" si="7"/>
        <v>414</v>
      </c>
      <c r="K51" s="19" t="s">
        <v>65</v>
      </c>
      <c r="L51" s="4">
        <v>5.14</v>
      </c>
      <c r="M51" s="19">
        <f t="shared" si="3"/>
        <v>0</v>
      </c>
      <c r="N51" s="19">
        <f t="shared" si="4"/>
        <v>1</v>
      </c>
      <c r="O51" s="19">
        <f t="shared" si="5"/>
        <v>1</v>
      </c>
      <c r="P51" s="19">
        <f t="shared" si="6"/>
        <v>1</v>
      </c>
      <c r="Q51" s="4">
        <v>42</v>
      </c>
      <c r="R51" s="4">
        <v>0</v>
      </c>
      <c r="S51" s="98">
        <v>0</v>
      </c>
      <c r="T51" s="128">
        <v>0</v>
      </c>
      <c r="U51" s="128">
        <v>0</v>
      </c>
      <c r="V51" s="24">
        <v>50</v>
      </c>
      <c r="W51" s="4">
        <v>0</v>
      </c>
      <c r="X51" s="4">
        <v>2.5</v>
      </c>
      <c r="Y51" s="4">
        <v>0.5</v>
      </c>
      <c r="Z51" s="4">
        <v>2.5</v>
      </c>
      <c r="AA51" s="4">
        <v>0.5</v>
      </c>
      <c r="AB51" s="24">
        <v>0</v>
      </c>
      <c r="AC51" s="24">
        <v>0</v>
      </c>
      <c r="AD51" s="24">
        <v>0</v>
      </c>
      <c r="AE51" s="4" t="s">
        <v>67</v>
      </c>
      <c r="AF51" s="141"/>
      <c r="AG51" s="118" t="s">
        <v>43</v>
      </c>
      <c r="AI51" s="104">
        <v>2284</v>
      </c>
      <c r="AJ51">
        <v>694</v>
      </c>
    </row>
    <row r="52" spans="2:36" x14ac:dyDescent="0.25">
      <c r="B52" s="24" t="s">
        <v>76</v>
      </c>
      <c r="C52" s="24">
        <v>2</v>
      </c>
      <c r="E52" s="27">
        <v>38790</v>
      </c>
      <c r="F52" s="104">
        <f t="shared" si="2"/>
        <v>2647</v>
      </c>
      <c r="G52" s="25">
        <v>41074</v>
      </c>
      <c r="H52" s="27">
        <v>41437</v>
      </c>
      <c r="I52" s="104">
        <f t="shared" si="0"/>
        <v>2284</v>
      </c>
      <c r="J52" s="19">
        <f t="shared" si="7"/>
        <v>363</v>
      </c>
      <c r="K52" s="19" t="s">
        <v>65</v>
      </c>
      <c r="L52" s="4">
        <v>5.14</v>
      </c>
      <c r="M52" s="19">
        <f t="shared" si="3"/>
        <v>0</v>
      </c>
      <c r="N52" s="19">
        <f t="shared" si="4"/>
        <v>1</v>
      </c>
      <c r="O52" s="19">
        <f t="shared" si="5"/>
        <v>1</v>
      </c>
      <c r="P52" s="19">
        <f t="shared" si="6"/>
        <v>1</v>
      </c>
      <c r="S52" s="98">
        <v>0</v>
      </c>
      <c r="T52" s="125">
        <v>2</v>
      </c>
      <c r="U52" s="125">
        <v>4</v>
      </c>
      <c r="V52" s="24">
        <v>60</v>
      </c>
      <c r="W52" s="24">
        <v>0</v>
      </c>
      <c r="X52" s="24">
        <v>2.5</v>
      </c>
      <c r="Y52" s="24">
        <v>0.5</v>
      </c>
      <c r="Z52" s="24">
        <v>2.5</v>
      </c>
      <c r="AA52" s="24">
        <v>0.5</v>
      </c>
      <c r="AB52" s="24">
        <v>0</v>
      </c>
      <c r="AC52" s="24">
        <v>0</v>
      </c>
      <c r="AD52" s="24">
        <v>0</v>
      </c>
      <c r="AE52" s="24" t="s">
        <v>47</v>
      </c>
      <c r="AF52" s="140" t="s">
        <v>295</v>
      </c>
      <c r="AG52" s="114" t="s">
        <v>285</v>
      </c>
      <c r="AI52" s="104">
        <v>2296</v>
      </c>
      <c r="AJ52">
        <v>701</v>
      </c>
    </row>
    <row r="53" spans="2:36" x14ac:dyDescent="0.25">
      <c r="B53" s="4" t="s">
        <v>76</v>
      </c>
      <c r="C53" s="4">
        <v>2</v>
      </c>
      <c r="E53" s="13">
        <v>38790</v>
      </c>
      <c r="F53" s="104">
        <f t="shared" si="2"/>
        <v>2647</v>
      </c>
      <c r="G53" s="13">
        <v>41086</v>
      </c>
      <c r="H53" s="27">
        <v>41437</v>
      </c>
      <c r="I53" s="104">
        <f t="shared" si="0"/>
        <v>2296</v>
      </c>
      <c r="J53" s="19">
        <f t="shared" si="7"/>
        <v>351</v>
      </c>
      <c r="K53" s="19" t="s">
        <v>65</v>
      </c>
      <c r="L53" s="4">
        <v>5.14</v>
      </c>
      <c r="M53" s="19">
        <f t="shared" si="3"/>
        <v>0</v>
      </c>
      <c r="N53" s="19">
        <f t="shared" si="4"/>
        <v>0</v>
      </c>
      <c r="O53" s="19">
        <f t="shared" si="5"/>
        <v>1</v>
      </c>
      <c r="P53" s="19">
        <f t="shared" si="6"/>
        <v>1</v>
      </c>
      <c r="Q53" s="4">
        <v>65</v>
      </c>
      <c r="R53" s="4">
        <v>0</v>
      </c>
      <c r="S53" s="98">
        <v>0</v>
      </c>
      <c r="T53" s="128">
        <v>0</v>
      </c>
      <c r="U53" s="128">
        <v>0</v>
      </c>
      <c r="V53" s="24">
        <v>60</v>
      </c>
      <c r="W53" s="4">
        <v>0</v>
      </c>
      <c r="X53" s="4">
        <v>2.5</v>
      </c>
      <c r="Y53" s="4">
        <v>0.5</v>
      </c>
      <c r="Z53" s="4">
        <v>2.5</v>
      </c>
      <c r="AA53" s="4">
        <v>0.5</v>
      </c>
      <c r="AB53" s="24">
        <v>0</v>
      </c>
      <c r="AC53" s="24">
        <v>0</v>
      </c>
      <c r="AD53" s="24">
        <v>0</v>
      </c>
      <c r="AE53" s="4" t="s">
        <v>81</v>
      </c>
      <c r="AG53" s="118" t="s">
        <v>43</v>
      </c>
      <c r="AI53" s="104">
        <v>2373</v>
      </c>
      <c r="AJ53">
        <v>718</v>
      </c>
    </row>
    <row r="54" spans="2:36" x14ac:dyDescent="0.25">
      <c r="B54" s="4" t="s">
        <v>76</v>
      </c>
      <c r="C54" s="4">
        <v>2</v>
      </c>
      <c r="E54" s="13">
        <v>38790</v>
      </c>
      <c r="F54" s="104">
        <f t="shared" si="2"/>
        <v>2647</v>
      </c>
      <c r="G54" s="13">
        <v>41163</v>
      </c>
      <c r="H54" s="27">
        <v>41437</v>
      </c>
      <c r="I54" s="104">
        <f t="shared" si="0"/>
        <v>2373</v>
      </c>
      <c r="J54" s="19">
        <f t="shared" si="7"/>
        <v>274</v>
      </c>
      <c r="K54" s="19" t="s">
        <v>65</v>
      </c>
      <c r="L54" s="4">
        <v>5.13</v>
      </c>
      <c r="M54" s="19">
        <f t="shared" si="3"/>
        <v>0</v>
      </c>
      <c r="N54" s="19">
        <f t="shared" si="4"/>
        <v>0</v>
      </c>
      <c r="O54" s="19">
        <f t="shared" si="5"/>
        <v>1</v>
      </c>
      <c r="P54" s="19">
        <f t="shared" si="6"/>
        <v>1</v>
      </c>
      <c r="Q54" s="4">
        <v>50</v>
      </c>
      <c r="S54" s="98">
        <v>0</v>
      </c>
      <c r="T54" s="128">
        <v>0</v>
      </c>
      <c r="U54" s="128">
        <v>0</v>
      </c>
      <c r="V54" s="24">
        <v>60</v>
      </c>
      <c r="W54" s="4">
        <v>0</v>
      </c>
      <c r="X54" s="4">
        <v>2.5</v>
      </c>
      <c r="Y54" s="4">
        <v>0.5</v>
      </c>
      <c r="Z54" s="4">
        <v>2.5</v>
      </c>
      <c r="AA54" s="4">
        <v>0.5</v>
      </c>
      <c r="AB54" s="24">
        <v>0</v>
      </c>
      <c r="AC54" s="24">
        <v>0</v>
      </c>
      <c r="AD54" s="24">
        <v>0</v>
      </c>
      <c r="AE54" s="4" t="s">
        <v>81</v>
      </c>
      <c r="AF54" s="141"/>
      <c r="AG54" s="118" t="s">
        <v>43</v>
      </c>
      <c r="AI54" s="104">
        <v>2432</v>
      </c>
      <c r="AJ54">
        <v>731</v>
      </c>
    </row>
    <row r="55" spans="2:36" x14ac:dyDescent="0.25">
      <c r="B55" s="4" t="s">
        <v>76</v>
      </c>
      <c r="C55" s="4">
        <v>2</v>
      </c>
      <c r="E55" s="13">
        <v>38790</v>
      </c>
      <c r="F55" s="104">
        <f t="shared" si="2"/>
        <v>2647</v>
      </c>
      <c r="G55" s="13">
        <v>41222</v>
      </c>
      <c r="H55" s="27">
        <v>41437</v>
      </c>
      <c r="I55" s="104">
        <f t="shared" si="0"/>
        <v>2432</v>
      </c>
      <c r="J55" s="19">
        <f t="shared" si="7"/>
        <v>215</v>
      </c>
      <c r="K55" s="19" t="s">
        <v>65</v>
      </c>
      <c r="L55" s="4">
        <v>5.0999999999999996</v>
      </c>
      <c r="M55" s="19">
        <f t="shared" si="3"/>
        <v>0</v>
      </c>
      <c r="N55" s="19">
        <f t="shared" si="4"/>
        <v>0</v>
      </c>
      <c r="O55" s="19">
        <f t="shared" si="5"/>
        <v>1</v>
      </c>
      <c r="P55" s="19">
        <f t="shared" si="6"/>
        <v>1</v>
      </c>
      <c r="Q55" s="4">
        <v>59</v>
      </c>
      <c r="S55" s="98">
        <v>0</v>
      </c>
      <c r="T55" s="125">
        <v>1</v>
      </c>
      <c r="U55" s="125">
        <v>2</v>
      </c>
      <c r="V55" s="24">
        <v>60</v>
      </c>
      <c r="W55" s="4">
        <v>0</v>
      </c>
      <c r="X55" s="4">
        <v>2.5</v>
      </c>
      <c r="Y55" s="4">
        <v>0.5</v>
      </c>
      <c r="Z55" s="4">
        <v>2.5</v>
      </c>
      <c r="AA55" s="4">
        <v>0.5</v>
      </c>
      <c r="AB55" s="24">
        <v>0</v>
      </c>
      <c r="AC55" s="24">
        <v>0</v>
      </c>
      <c r="AD55" s="24">
        <v>0</v>
      </c>
      <c r="AE55" s="4" t="s">
        <v>81</v>
      </c>
      <c r="AF55" s="140" t="s">
        <v>78</v>
      </c>
      <c r="AG55" s="118" t="s">
        <v>43</v>
      </c>
      <c r="AI55" s="104">
        <v>2478</v>
      </c>
      <c r="AJ55">
        <v>747</v>
      </c>
    </row>
    <row r="56" spans="2:36" x14ac:dyDescent="0.25">
      <c r="B56" s="4" t="s">
        <v>76</v>
      </c>
      <c r="C56" s="4">
        <v>2</v>
      </c>
      <c r="E56" s="13">
        <v>38790</v>
      </c>
      <c r="F56" s="104">
        <f t="shared" si="2"/>
        <v>2647</v>
      </c>
      <c r="G56" s="27">
        <v>41268</v>
      </c>
      <c r="H56" s="27">
        <v>41437</v>
      </c>
      <c r="I56" s="104">
        <f t="shared" si="0"/>
        <v>2478</v>
      </c>
      <c r="J56" s="19">
        <f t="shared" si="7"/>
        <v>169</v>
      </c>
      <c r="K56" s="19" t="s">
        <v>65</v>
      </c>
      <c r="L56" s="24">
        <v>5.0999999999999996</v>
      </c>
      <c r="M56" s="19">
        <f t="shared" si="3"/>
        <v>0</v>
      </c>
      <c r="N56" s="19">
        <f t="shared" si="4"/>
        <v>0</v>
      </c>
      <c r="O56" s="19">
        <f t="shared" si="5"/>
        <v>0</v>
      </c>
      <c r="P56" s="19">
        <f t="shared" si="6"/>
        <v>1</v>
      </c>
      <c r="Q56" s="24">
        <v>59</v>
      </c>
      <c r="S56" s="98">
        <v>0</v>
      </c>
      <c r="T56" s="127">
        <v>2</v>
      </c>
      <c r="U56" s="127">
        <v>4</v>
      </c>
      <c r="V56" s="24">
        <v>60</v>
      </c>
      <c r="W56" s="4">
        <v>0</v>
      </c>
      <c r="X56" s="4">
        <v>2.5</v>
      </c>
      <c r="Y56" s="4">
        <v>0.5</v>
      </c>
      <c r="Z56" s="4">
        <v>2.5</v>
      </c>
      <c r="AA56" s="4">
        <v>0.5</v>
      </c>
      <c r="AB56" s="24">
        <v>0</v>
      </c>
      <c r="AC56" s="24">
        <v>0</v>
      </c>
      <c r="AD56" s="24">
        <v>0</v>
      </c>
      <c r="AE56" s="4" t="s">
        <v>81</v>
      </c>
      <c r="AF56" s="138" t="s">
        <v>79</v>
      </c>
      <c r="AG56" s="118" t="s">
        <v>43</v>
      </c>
      <c r="AI56" s="104">
        <v>2482</v>
      </c>
      <c r="AJ56">
        <v>763</v>
      </c>
    </row>
    <row r="57" spans="2:36" x14ac:dyDescent="0.25">
      <c r="B57" s="4" t="s">
        <v>76</v>
      </c>
      <c r="C57" s="4">
        <v>2</v>
      </c>
      <c r="E57" s="13">
        <v>38790</v>
      </c>
      <c r="F57" s="104">
        <f t="shared" si="2"/>
        <v>2647</v>
      </c>
      <c r="G57" s="25">
        <v>41272</v>
      </c>
      <c r="H57" s="27">
        <v>41437</v>
      </c>
      <c r="I57" s="104">
        <f t="shared" si="0"/>
        <v>2482</v>
      </c>
      <c r="J57" s="19">
        <f t="shared" si="7"/>
        <v>165</v>
      </c>
      <c r="K57" s="19" t="s">
        <v>65</v>
      </c>
      <c r="L57" s="4">
        <v>5.08</v>
      </c>
      <c r="M57" s="19">
        <f t="shared" si="3"/>
        <v>0</v>
      </c>
      <c r="N57" s="19">
        <f t="shared" si="4"/>
        <v>0</v>
      </c>
      <c r="O57" s="19">
        <f t="shared" si="5"/>
        <v>0</v>
      </c>
      <c r="P57" s="19">
        <f t="shared" si="6"/>
        <v>1</v>
      </c>
      <c r="Q57" s="4">
        <v>73</v>
      </c>
      <c r="S57" s="98">
        <v>0</v>
      </c>
      <c r="T57" s="125">
        <v>2</v>
      </c>
      <c r="U57" s="125">
        <v>4</v>
      </c>
      <c r="V57" s="24">
        <v>60</v>
      </c>
      <c r="W57" s="4">
        <v>0</v>
      </c>
      <c r="X57" s="4">
        <v>2.5</v>
      </c>
      <c r="Y57" s="4">
        <v>0.5</v>
      </c>
      <c r="Z57" s="4">
        <v>2.5</v>
      </c>
      <c r="AA57" s="4">
        <v>0.5</v>
      </c>
      <c r="AB57" s="24">
        <v>0</v>
      </c>
      <c r="AC57" s="24">
        <v>0</v>
      </c>
      <c r="AD57" s="24">
        <v>0</v>
      </c>
      <c r="AE57" s="4" t="s">
        <v>81</v>
      </c>
      <c r="AF57" s="118" t="s">
        <v>79</v>
      </c>
      <c r="AG57" s="118" t="s">
        <v>43</v>
      </c>
      <c r="AI57" s="104">
        <v>2482</v>
      </c>
      <c r="AJ57">
        <v>776</v>
      </c>
    </row>
    <row r="58" spans="2:36" x14ac:dyDescent="0.25">
      <c r="B58" s="24" t="s">
        <v>76</v>
      </c>
      <c r="C58" s="24">
        <v>2</v>
      </c>
      <c r="E58" s="27">
        <v>38790</v>
      </c>
      <c r="F58" s="104">
        <f t="shared" si="2"/>
        <v>2647</v>
      </c>
      <c r="G58" s="25">
        <v>41272</v>
      </c>
      <c r="H58" s="27">
        <v>41437</v>
      </c>
      <c r="I58" s="104">
        <f t="shared" si="0"/>
        <v>2482</v>
      </c>
      <c r="J58" s="19">
        <f t="shared" si="7"/>
        <v>165</v>
      </c>
      <c r="K58" s="19" t="s">
        <v>65</v>
      </c>
      <c r="L58" s="4">
        <v>5.08</v>
      </c>
      <c r="M58" s="19">
        <f t="shared" si="3"/>
        <v>0</v>
      </c>
      <c r="N58" s="19">
        <f t="shared" si="4"/>
        <v>0</v>
      </c>
      <c r="O58" s="19">
        <f t="shared" si="5"/>
        <v>0</v>
      </c>
      <c r="P58" s="19">
        <f t="shared" si="6"/>
        <v>1</v>
      </c>
      <c r="S58" s="98">
        <v>0</v>
      </c>
      <c r="T58" s="125">
        <v>1</v>
      </c>
      <c r="U58" s="125">
        <v>9</v>
      </c>
      <c r="V58" s="24">
        <v>60</v>
      </c>
      <c r="W58" s="24">
        <v>0</v>
      </c>
      <c r="X58" s="24">
        <v>2.5</v>
      </c>
      <c r="Y58" s="24">
        <v>0.5</v>
      </c>
      <c r="Z58" s="24">
        <v>2.5</v>
      </c>
      <c r="AA58" s="24">
        <v>0.5</v>
      </c>
      <c r="AB58" s="24">
        <v>0</v>
      </c>
      <c r="AC58" s="24">
        <v>0</v>
      </c>
      <c r="AD58" s="24">
        <v>0</v>
      </c>
      <c r="AE58" s="24" t="s">
        <v>81</v>
      </c>
      <c r="AF58" s="140" t="s">
        <v>296</v>
      </c>
      <c r="AG58" s="114" t="s">
        <v>285</v>
      </c>
      <c r="AI58" s="104">
        <v>2494</v>
      </c>
      <c r="AJ58">
        <v>785</v>
      </c>
    </row>
    <row r="59" spans="2:36" x14ac:dyDescent="0.25">
      <c r="B59" s="4" t="s">
        <v>76</v>
      </c>
      <c r="C59" s="4">
        <v>2</v>
      </c>
      <c r="E59" s="13">
        <v>38790</v>
      </c>
      <c r="F59" s="104">
        <f t="shared" si="2"/>
        <v>2647</v>
      </c>
      <c r="G59" s="25">
        <v>41284</v>
      </c>
      <c r="H59" s="27">
        <v>41437</v>
      </c>
      <c r="I59" s="104">
        <f t="shared" si="0"/>
        <v>2494</v>
      </c>
      <c r="J59" s="19">
        <f t="shared" si="7"/>
        <v>153</v>
      </c>
      <c r="K59" s="19" t="s">
        <v>65</v>
      </c>
      <c r="L59" s="4">
        <v>5.05</v>
      </c>
      <c r="M59" s="19">
        <f t="shared" si="3"/>
        <v>0</v>
      </c>
      <c r="N59" s="19">
        <f t="shared" si="4"/>
        <v>0</v>
      </c>
      <c r="O59" s="19">
        <f t="shared" si="5"/>
        <v>0</v>
      </c>
      <c r="P59" s="19">
        <f t="shared" si="6"/>
        <v>1</v>
      </c>
      <c r="Q59" s="4">
        <v>88</v>
      </c>
      <c r="S59" s="98">
        <v>0</v>
      </c>
      <c r="T59" s="128">
        <v>1</v>
      </c>
      <c r="U59" s="128">
        <v>10</v>
      </c>
      <c r="V59" s="24">
        <v>60</v>
      </c>
      <c r="W59" s="4">
        <v>0</v>
      </c>
      <c r="X59" s="4">
        <v>2.5</v>
      </c>
      <c r="Y59" s="4">
        <v>0.5</v>
      </c>
      <c r="Z59" s="4">
        <v>2.5</v>
      </c>
      <c r="AA59" s="4">
        <v>0.5</v>
      </c>
      <c r="AB59" s="24">
        <v>0</v>
      </c>
      <c r="AC59" s="24">
        <v>0</v>
      </c>
      <c r="AD59" s="24">
        <v>0</v>
      </c>
      <c r="AE59" s="4" t="s">
        <v>81</v>
      </c>
      <c r="AF59" s="141" t="s">
        <v>80</v>
      </c>
      <c r="AG59" s="118" t="s">
        <v>43</v>
      </c>
      <c r="AI59" s="104">
        <v>2516</v>
      </c>
      <c r="AJ59">
        <v>791</v>
      </c>
    </row>
    <row r="60" spans="2:36" x14ac:dyDescent="0.25">
      <c r="B60" s="4" t="s">
        <v>76</v>
      </c>
      <c r="C60" s="4">
        <v>2</v>
      </c>
      <c r="E60" s="13">
        <v>38790</v>
      </c>
      <c r="F60" s="104">
        <f t="shared" si="2"/>
        <v>2647</v>
      </c>
      <c r="G60" s="25">
        <v>41306</v>
      </c>
      <c r="H60" s="27">
        <v>41437</v>
      </c>
      <c r="I60" s="104">
        <f t="shared" si="0"/>
        <v>2516</v>
      </c>
      <c r="J60" s="19">
        <f t="shared" si="7"/>
        <v>131</v>
      </c>
      <c r="K60" s="19" t="s">
        <v>65</v>
      </c>
      <c r="L60" s="4">
        <v>5.03</v>
      </c>
      <c r="M60" s="19">
        <f t="shared" si="3"/>
        <v>0</v>
      </c>
      <c r="N60" s="19">
        <f t="shared" si="4"/>
        <v>0</v>
      </c>
      <c r="O60" s="19">
        <f t="shared" si="5"/>
        <v>0</v>
      </c>
      <c r="P60" s="19">
        <f t="shared" si="6"/>
        <v>1</v>
      </c>
      <c r="Q60" s="4">
        <v>89</v>
      </c>
      <c r="S60" s="98">
        <v>0</v>
      </c>
      <c r="T60" s="125">
        <v>1</v>
      </c>
      <c r="U60" s="125">
        <v>10</v>
      </c>
      <c r="V60" s="24">
        <v>60</v>
      </c>
      <c r="W60" s="4">
        <v>0</v>
      </c>
      <c r="X60" s="4">
        <v>2.5</v>
      </c>
      <c r="Y60" s="4">
        <v>0.5</v>
      </c>
      <c r="Z60" s="4">
        <v>2.5</v>
      </c>
      <c r="AA60" s="4">
        <v>0.5</v>
      </c>
      <c r="AB60" s="24">
        <v>0</v>
      </c>
      <c r="AC60" s="24">
        <v>0</v>
      </c>
      <c r="AD60" s="24">
        <v>0</v>
      </c>
      <c r="AE60" s="4" t="s">
        <v>81</v>
      </c>
      <c r="AF60" s="118" t="s">
        <v>80</v>
      </c>
      <c r="AG60" s="118" t="s">
        <v>43</v>
      </c>
      <c r="AI60" s="104">
        <v>2576</v>
      </c>
      <c r="AJ60">
        <v>792</v>
      </c>
    </row>
    <row r="61" spans="2:36" x14ac:dyDescent="0.25">
      <c r="B61" s="4" t="s">
        <v>76</v>
      </c>
      <c r="C61" s="4">
        <v>2</v>
      </c>
      <c r="E61" s="13">
        <v>38790</v>
      </c>
      <c r="F61" s="104">
        <f t="shared" si="2"/>
        <v>2647</v>
      </c>
      <c r="G61" s="25">
        <v>41366</v>
      </c>
      <c r="H61" s="27">
        <v>41437</v>
      </c>
      <c r="I61" s="104">
        <f t="shared" si="0"/>
        <v>2576</v>
      </c>
      <c r="J61" s="19">
        <f t="shared" si="7"/>
        <v>71</v>
      </c>
      <c r="K61" s="19" t="s">
        <v>65</v>
      </c>
      <c r="L61" s="4">
        <v>4.9000000000000004</v>
      </c>
      <c r="M61" s="19">
        <f t="shared" si="3"/>
        <v>0</v>
      </c>
      <c r="N61" s="19">
        <f t="shared" si="4"/>
        <v>0</v>
      </c>
      <c r="O61" s="19">
        <f t="shared" si="5"/>
        <v>0</v>
      </c>
      <c r="P61" s="19">
        <f t="shared" si="6"/>
        <v>0</v>
      </c>
      <c r="Q61" s="4">
        <v>74</v>
      </c>
      <c r="S61" s="98">
        <v>0</v>
      </c>
      <c r="T61" s="128">
        <v>0</v>
      </c>
      <c r="U61" s="128">
        <v>0</v>
      </c>
      <c r="V61" s="24">
        <v>60</v>
      </c>
      <c r="W61" s="4">
        <v>0</v>
      </c>
      <c r="X61" s="4">
        <v>2.5</v>
      </c>
      <c r="Y61" s="4">
        <v>0.5</v>
      </c>
      <c r="Z61" s="4">
        <v>2.5</v>
      </c>
      <c r="AA61" s="4">
        <v>0.5</v>
      </c>
      <c r="AB61" s="24">
        <v>0</v>
      </c>
      <c r="AC61" s="24">
        <v>0</v>
      </c>
      <c r="AD61" s="24">
        <v>0</v>
      </c>
      <c r="AE61" s="4" t="s">
        <v>81</v>
      </c>
      <c r="AG61" s="118" t="s">
        <v>43</v>
      </c>
      <c r="AI61" s="104">
        <v>2638</v>
      </c>
      <c r="AJ61">
        <v>794</v>
      </c>
    </row>
    <row r="62" spans="2:36" x14ac:dyDescent="0.25">
      <c r="B62" s="4" t="s">
        <v>76</v>
      </c>
      <c r="C62" s="4">
        <v>2</v>
      </c>
      <c r="E62" s="13">
        <v>38790</v>
      </c>
      <c r="F62" s="104">
        <f t="shared" si="2"/>
        <v>2647</v>
      </c>
      <c r="G62" s="25">
        <v>41428</v>
      </c>
      <c r="H62" s="27">
        <v>41437</v>
      </c>
      <c r="I62" s="104">
        <f t="shared" si="0"/>
        <v>2638</v>
      </c>
      <c r="J62" s="19">
        <f t="shared" si="7"/>
        <v>9</v>
      </c>
      <c r="K62" s="19" t="s">
        <v>65</v>
      </c>
      <c r="L62" s="4">
        <v>4.7699999999999996</v>
      </c>
      <c r="M62" s="19">
        <f t="shared" si="3"/>
        <v>0</v>
      </c>
      <c r="N62" s="19">
        <f t="shared" si="4"/>
        <v>0</v>
      </c>
      <c r="O62" s="19">
        <f t="shared" si="5"/>
        <v>0</v>
      </c>
      <c r="P62" s="19">
        <f t="shared" si="6"/>
        <v>0</v>
      </c>
      <c r="Q62" s="4">
        <v>62</v>
      </c>
      <c r="S62" s="98">
        <v>0</v>
      </c>
      <c r="T62" s="128">
        <v>0</v>
      </c>
      <c r="U62" s="128">
        <v>0</v>
      </c>
      <c r="V62" s="24">
        <v>60</v>
      </c>
      <c r="W62" s="4">
        <v>0</v>
      </c>
      <c r="X62" s="4">
        <v>2</v>
      </c>
      <c r="Y62" s="4">
        <v>0.5</v>
      </c>
      <c r="Z62" s="4">
        <v>2.5</v>
      </c>
      <c r="AA62" s="4">
        <v>0.5</v>
      </c>
      <c r="AB62" s="24">
        <v>0</v>
      </c>
      <c r="AC62" s="24">
        <v>0</v>
      </c>
      <c r="AD62" s="24">
        <v>0</v>
      </c>
      <c r="AE62" s="4" t="s">
        <v>81</v>
      </c>
      <c r="AG62" s="118" t="s">
        <v>43</v>
      </c>
      <c r="AI62" s="104">
        <v>2647</v>
      </c>
      <c r="AJ62">
        <v>798</v>
      </c>
    </row>
    <row r="63" spans="2:36" x14ac:dyDescent="0.25">
      <c r="B63" s="24" t="s">
        <v>76</v>
      </c>
      <c r="C63" s="24">
        <v>2</v>
      </c>
      <c r="E63" s="27">
        <v>38790</v>
      </c>
      <c r="F63" s="104">
        <f t="shared" si="2"/>
        <v>2647</v>
      </c>
      <c r="G63" s="27">
        <v>41437</v>
      </c>
      <c r="H63" s="27">
        <v>41437</v>
      </c>
      <c r="I63" s="104">
        <f t="shared" si="0"/>
        <v>2647</v>
      </c>
      <c r="J63" s="19">
        <f t="shared" si="7"/>
        <v>0</v>
      </c>
      <c r="K63" s="19" t="s">
        <v>65</v>
      </c>
      <c r="L63" s="24">
        <v>4.76</v>
      </c>
      <c r="M63" s="19">
        <f t="shared" si="3"/>
        <v>0</v>
      </c>
      <c r="N63" s="19">
        <f t="shared" si="4"/>
        <v>0</v>
      </c>
      <c r="O63" s="19">
        <f t="shared" si="5"/>
        <v>0</v>
      </c>
      <c r="P63" s="19">
        <f t="shared" si="6"/>
        <v>0</v>
      </c>
      <c r="S63" s="98">
        <v>0</v>
      </c>
      <c r="T63" s="129">
        <v>0</v>
      </c>
      <c r="U63" s="129">
        <v>0</v>
      </c>
      <c r="V63" s="24">
        <v>60</v>
      </c>
      <c r="W63" s="24">
        <v>0</v>
      </c>
      <c r="X63" s="24">
        <v>2.5</v>
      </c>
      <c r="Y63" s="24">
        <v>0.5</v>
      </c>
      <c r="Z63" s="24">
        <v>2.5</v>
      </c>
      <c r="AA63" s="24">
        <v>0.5</v>
      </c>
      <c r="AB63" s="24">
        <v>0</v>
      </c>
      <c r="AC63" s="24">
        <v>0</v>
      </c>
      <c r="AD63" s="24">
        <v>0</v>
      </c>
      <c r="AE63" s="24" t="s">
        <v>81</v>
      </c>
      <c r="AF63" s="114" t="s">
        <v>42</v>
      </c>
      <c r="AG63" s="114" t="s">
        <v>285</v>
      </c>
      <c r="AI63" s="104">
        <v>2414</v>
      </c>
      <c r="AJ63">
        <v>826</v>
      </c>
    </row>
    <row r="64" spans="2:36" x14ac:dyDescent="0.25">
      <c r="B64" s="24" t="s">
        <v>212</v>
      </c>
      <c r="C64" s="24">
        <v>2</v>
      </c>
      <c r="E64" s="27">
        <v>38748</v>
      </c>
      <c r="F64" s="104">
        <f t="shared" si="2"/>
        <v>2922</v>
      </c>
      <c r="G64" s="25">
        <v>41162</v>
      </c>
      <c r="H64" s="25">
        <v>41670</v>
      </c>
      <c r="I64" s="104">
        <f t="shared" si="0"/>
        <v>2414</v>
      </c>
      <c r="J64" s="19">
        <f t="shared" si="7"/>
        <v>508</v>
      </c>
      <c r="K64" s="19" t="s">
        <v>65</v>
      </c>
      <c r="L64" s="24">
        <v>5.15</v>
      </c>
      <c r="M64" s="19">
        <f t="shared" si="3"/>
        <v>0</v>
      </c>
      <c r="N64" s="19">
        <f t="shared" si="4"/>
        <v>1</v>
      </c>
      <c r="O64" s="19">
        <f t="shared" si="5"/>
        <v>1</v>
      </c>
      <c r="P64" s="19">
        <f t="shared" si="6"/>
        <v>1</v>
      </c>
      <c r="Q64" s="24">
        <v>1</v>
      </c>
      <c r="R64" s="24">
        <v>0</v>
      </c>
      <c r="S64" s="24">
        <v>0</v>
      </c>
      <c r="T64" s="129">
        <v>0</v>
      </c>
      <c r="U64" s="129">
        <v>1</v>
      </c>
      <c r="V64" s="24">
        <v>45</v>
      </c>
      <c r="W64" s="24">
        <v>0</v>
      </c>
      <c r="X64" s="24">
        <v>2</v>
      </c>
      <c r="Y64" s="24">
        <v>0.35</v>
      </c>
      <c r="Z64" s="24">
        <v>2</v>
      </c>
      <c r="AA64" s="24">
        <v>0.35</v>
      </c>
      <c r="AB64" s="24">
        <v>0</v>
      </c>
      <c r="AC64" s="24">
        <v>0</v>
      </c>
      <c r="AD64" s="24">
        <v>0</v>
      </c>
      <c r="AE64" s="24" t="s">
        <v>214</v>
      </c>
      <c r="AF64" s="114" t="s">
        <v>46</v>
      </c>
      <c r="AG64" s="114" t="s">
        <v>69</v>
      </c>
      <c r="AI64" s="104">
        <v>2513</v>
      </c>
      <c r="AJ64">
        <v>838</v>
      </c>
    </row>
    <row r="65" spans="2:36" x14ac:dyDescent="0.25">
      <c r="B65" s="24" t="s">
        <v>212</v>
      </c>
      <c r="C65" s="24">
        <v>2</v>
      </c>
      <c r="E65" s="27">
        <v>38748</v>
      </c>
      <c r="F65" s="104">
        <f t="shared" si="2"/>
        <v>2922</v>
      </c>
      <c r="G65" s="25">
        <v>41261</v>
      </c>
      <c r="H65" s="25">
        <v>41670</v>
      </c>
      <c r="I65" s="104">
        <f t="shared" si="0"/>
        <v>2513</v>
      </c>
      <c r="J65" s="19">
        <f t="shared" si="7"/>
        <v>409</v>
      </c>
      <c r="K65" s="19" t="s">
        <v>65</v>
      </c>
      <c r="L65" s="4">
        <v>5.15</v>
      </c>
      <c r="M65" s="19">
        <f t="shared" si="3"/>
        <v>0</v>
      </c>
      <c r="N65" s="19">
        <f t="shared" si="4"/>
        <v>1</v>
      </c>
      <c r="O65" s="19">
        <f t="shared" si="5"/>
        <v>1</v>
      </c>
      <c r="P65" s="19">
        <f t="shared" si="6"/>
        <v>1</v>
      </c>
      <c r="Q65" s="4">
        <v>1</v>
      </c>
      <c r="R65" s="4">
        <v>0</v>
      </c>
      <c r="S65" s="98">
        <v>0</v>
      </c>
      <c r="T65" s="129">
        <v>0</v>
      </c>
      <c r="U65" s="129">
        <v>1</v>
      </c>
      <c r="V65" s="24">
        <v>45</v>
      </c>
      <c r="W65" s="24">
        <v>0</v>
      </c>
      <c r="X65" s="24">
        <v>2</v>
      </c>
      <c r="Y65" s="24">
        <v>0.35</v>
      </c>
      <c r="Z65" s="24">
        <v>2</v>
      </c>
      <c r="AA65" s="24">
        <v>0.35</v>
      </c>
      <c r="AB65" s="24">
        <v>0</v>
      </c>
      <c r="AC65" s="24">
        <v>0</v>
      </c>
      <c r="AD65" s="24">
        <v>0</v>
      </c>
      <c r="AE65" s="24" t="s">
        <v>214</v>
      </c>
      <c r="AF65" s="114" t="s">
        <v>46</v>
      </c>
      <c r="AG65" s="114" t="s">
        <v>69</v>
      </c>
      <c r="AI65" s="104">
        <v>2575</v>
      </c>
      <c r="AJ65">
        <v>843</v>
      </c>
    </row>
    <row r="66" spans="2:36" x14ac:dyDescent="0.25">
      <c r="B66" s="24" t="s">
        <v>212</v>
      </c>
      <c r="C66" s="24">
        <v>2</v>
      </c>
      <c r="E66" s="27">
        <v>38748</v>
      </c>
      <c r="F66" s="104">
        <f t="shared" si="2"/>
        <v>2922</v>
      </c>
      <c r="G66" s="25">
        <v>41323</v>
      </c>
      <c r="H66" s="25">
        <v>41670</v>
      </c>
      <c r="I66" s="104">
        <f t="shared" ref="I66:I128" si="8">G66-E66</f>
        <v>2575</v>
      </c>
      <c r="J66" s="19">
        <f t="shared" ref="J66:J71" si="9">H66-G66</f>
        <v>347</v>
      </c>
      <c r="K66" s="19" t="s">
        <v>65</v>
      </c>
      <c r="L66" s="4">
        <v>5.13</v>
      </c>
      <c r="M66" s="19">
        <f t="shared" si="3"/>
        <v>0</v>
      </c>
      <c r="N66" s="19">
        <f t="shared" si="4"/>
        <v>0</v>
      </c>
      <c r="O66" s="19">
        <f t="shared" si="5"/>
        <v>1</v>
      </c>
      <c r="P66" s="19">
        <f t="shared" si="6"/>
        <v>1</v>
      </c>
      <c r="Q66" s="4">
        <v>1</v>
      </c>
      <c r="R66" s="4">
        <v>0</v>
      </c>
      <c r="S66" s="98">
        <v>0</v>
      </c>
      <c r="T66" s="125">
        <v>0</v>
      </c>
      <c r="U66" s="125">
        <v>0</v>
      </c>
      <c r="V66" s="24">
        <v>45</v>
      </c>
      <c r="W66" s="24">
        <v>0</v>
      </c>
      <c r="X66" s="24">
        <v>2</v>
      </c>
      <c r="Y66" s="24">
        <v>0.35</v>
      </c>
      <c r="Z66" s="24">
        <v>2</v>
      </c>
      <c r="AA66" s="24">
        <v>0.35</v>
      </c>
      <c r="AB66" s="24">
        <v>0</v>
      </c>
      <c r="AC66" s="24">
        <v>0</v>
      </c>
      <c r="AD66" s="24">
        <v>0</v>
      </c>
      <c r="AE66" s="24" t="s">
        <v>214</v>
      </c>
      <c r="AF66" s="118" t="s">
        <v>42</v>
      </c>
      <c r="AG66" s="114" t="s">
        <v>69</v>
      </c>
      <c r="AI66" s="104">
        <v>2667</v>
      </c>
      <c r="AJ66">
        <v>854</v>
      </c>
    </row>
    <row r="67" spans="2:36" x14ac:dyDescent="0.25">
      <c r="B67" s="24" t="s">
        <v>212</v>
      </c>
      <c r="C67" s="24">
        <v>2</v>
      </c>
      <c r="E67" s="27">
        <v>38748</v>
      </c>
      <c r="F67" s="104">
        <f t="shared" ref="F67:F130" si="10">H67-E67</f>
        <v>2922</v>
      </c>
      <c r="G67" s="27">
        <v>41415</v>
      </c>
      <c r="H67" s="25">
        <v>41670</v>
      </c>
      <c r="I67" s="104">
        <f t="shared" si="8"/>
        <v>2667</v>
      </c>
      <c r="J67" s="19">
        <f t="shared" si="9"/>
        <v>255</v>
      </c>
      <c r="K67" s="19" t="s">
        <v>65</v>
      </c>
      <c r="L67" s="4">
        <v>5.09</v>
      </c>
      <c r="M67" s="19">
        <f t="shared" ref="M67:M130" si="11">IF($J67&gt;540,1,0)</f>
        <v>0</v>
      </c>
      <c r="N67" s="19">
        <f t="shared" ref="N67:N130" si="12">IF($J67&gt;360,1,0)</f>
        <v>0</v>
      </c>
      <c r="O67" s="19">
        <f t="shared" ref="O67:O130" si="13">IF($J67&gt;180,1,0)</f>
        <v>1</v>
      </c>
      <c r="P67" s="19">
        <f t="shared" ref="P67:P130" si="14">IF($J67&gt;90,1,0)</f>
        <v>1</v>
      </c>
      <c r="Q67" s="4">
        <v>1</v>
      </c>
      <c r="R67" s="4">
        <v>0</v>
      </c>
      <c r="S67" s="98">
        <v>0</v>
      </c>
      <c r="T67" s="125">
        <v>0</v>
      </c>
      <c r="U67" s="125">
        <v>0</v>
      </c>
      <c r="V67" s="24">
        <v>45</v>
      </c>
      <c r="W67" s="24">
        <v>0</v>
      </c>
      <c r="X67" s="24">
        <v>2</v>
      </c>
      <c r="Y67" s="24">
        <v>0.35</v>
      </c>
      <c r="Z67" s="24">
        <v>2</v>
      </c>
      <c r="AA67" s="24">
        <v>0.35</v>
      </c>
      <c r="AB67" s="24">
        <v>0</v>
      </c>
      <c r="AC67" s="24">
        <v>0</v>
      </c>
      <c r="AD67" s="24">
        <v>0</v>
      </c>
      <c r="AE67" s="24" t="s">
        <v>214</v>
      </c>
      <c r="AF67" s="118" t="s">
        <v>42</v>
      </c>
      <c r="AG67" s="114" t="s">
        <v>69</v>
      </c>
      <c r="AI67" s="104">
        <v>2738</v>
      </c>
      <c r="AJ67">
        <v>854</v>
      </c>
    </row>
    <row r="68" spans="2:36" x14ac:dyDescent="0.25">
      <c r="B68" s="24" t="s">
        <v>212</v>
      </c>
      <c r="C68" s="24">
        <v>2</v>
      </c>
      <c r="E68" s="27">
        <v>38748</v>
      </c>
      <c r="F68" s="104">
        <f t="shared" si="10"/>
        <v>2922</v>
      </c>
      <c r="G68" s="25">
        <v>41486</v>
      </c>
      <c r="H68" s="25">
        <v>41670</v>
      </c>
      <c r="I68" s="104">
        <f t="shared" si="8"/>
        <v>2738</v>
      </c>
      <c r="J68" s="19">
        <f t="shared" si="9"/>
        <v>184</v>
      </c>
      <c r="K68" s="19" t="s">
        <v>65</v>
      </c>
      <c r="L68" s="4">
        <v>5.05</v>
      </c>
      <c r="M68" s="19">
        <f t="shared" si="11"/>
        <v>0</v>
      </c>
      <c r="N68" s="19">
        <f t="shared" si="12"/>
        <v>0</v>
      </c>
      <c r="O68" s="19">
        <f t="shared" si="13"/>
        <v>1</v>
      </c>
      <c r="P68" s="19">
        <f t="shared" si="14"/>
        <v>1</v>
      </c>
      <c r="Q68" s="4">
        <v>4</v>
      </c>
      <c r="R68" s="4">
        <v>0</v>
      </c>
      <c r="S68" s="98">
        <v>0</v>
      </c>
      <c r="T68" s="125">
        <v>0</v>
      </c>
      <c r="U68" s="125">
        <v>0</v>
      </c>
      <c r="V68" s="24">
        <v>45</v>
      </c>
      <c r="W68" s="24">
        <v>0</v>
      </c>
      <c r="X68" s="24">
        <v>2</v>
      </c>
      <c r="Y68" s="24">
        <v>0.35</v>
      </c>
      <c r="Z68" s="24">
        <v>2</v>
      </c>
      <c r="AA68" s="24">
        <v>0.35</v>
      </c>
      <c r="AB68" s="24">
        <v>0</v>
      </c>
      <c r="AC68" s="24">
        <v>0</v>
      </c>
      <c r="AD68" s="24">
        <v>0</v>
      </c>
      <c r="AE68" s="24" t="s">
        <v>214</v>
      </c>
      <c r="AF68" s="118" t="s">
        <v>42</v>
      </c>
      <c r="AG68" s="114" t="s">
        <v>69</v>
      </c>
      <c r="AI68" s="104">
        <v>2922</v>
      </c>
      <c r="AJ68">
        <v>869</v>
      </c>
    </row>
    <row r="69" spans="2:36" x14ac:dyDescent="0.25">
      <c r="B69" s="24" t="s">
        <v>212</v>
      </c>
      <c r="C69" s="24">
        <v>2</v>
      </c>
      <c r="E69" s="27">
        <v>38748</v>
      </c>
      <c r="F69" s="104">
        <f t="shared" si="10"/>
        <v>2922</v>
      </c>
      <c r="G69" s="25">
        <v>41670</v>
      </c>
      <c r="H69" s="25">
        <v>41670</v>
      </c>
      <c r="I69" s="104">
        <f>G69-E69</f>
        <v>2922</v>
      </c>
      <c r="J69" s="19">
        <f t="shared" si="9"/>
        <v>0</v>
      </c>
      <c r="K69" s="19" t="s">
        <v>65</v>
      </c>
      <c r="L69" s="4">
        <v>4.79</v>
      </c>
      <c r="M69" s="19">
        <f t="shared" si="11"/>
        <v>0</v>
      </c>
      <c r="N69" s="19">
        <f t="shared" si="12"/>
        <v>0</v>
      </c>
      <c r="O69" s="19">
        <f t="shared" si="13"/>
        <v>0</v>
      </c>
      <c r="P69" s="19">
        <f t="shared" si="14"/>
        <v>0</v>
      </c>
      <c r="Q69" s="4">
        <v>2</v>
      </c>
      <c r="R69" s="4">
        <v>0</v>
      </c>
      <c r="S69" s="98">
        <v>0</v>
      </c>
      <c r="T69" s="125">
        <v>12</v>
      </c>
      <c r="U69" s="125">
        <v>0</v>
      </c>
      <c r="V69" s="24">
        <v>45</v>
      </c>
      <c r="W69" s="24">
        <v>0</v>
      </c>
      <c r="X69" s="24">
        <v>2</v>
      </c>
      <c r="Y69" s="24">
        <v>0.35</v>
      </c>
      <c r="Z69" s="24">
        <v>2</v>
      </c>
      <c r="AA69" s="24">
        <v>0.35</v>
      </c>
      <c r="AB69" s="24">
        <v>0</v>
      </c>
      <c r="AC69" s="24">
        <v>0</v>
      </c>
      <c r="AD69" s="24">
        <v>0</v>
      </c>
      <c r="AE69" s="24" t="s">
        <v>214</v>
      </c>
      <c r="AF69" s="118" t="s">
        <v>213</v>
      </c>
      <c r="AG69" s="114" t="s">
        <v>69</v>
      </c>
      <c r="AI69" s="104">
        <v>-2133</v>
      </c>
      <c r="AJ69">
        <v>882</v>
      </c>
    </row>
    <row r="70" spans="2:36" hidden="1" x14ac:dyDescent="0.25">
      <c r="B70" s="24" t="s">
        <v>246</v>
      </c>
      <c r="C70" s="24">
        <v>1</v>
      </c>
      <c r="E70" s="27">
        <v>38734</v>
      </c>
      <c r="F70" s="104">
        <f t="shared" si="10"/>
        <v>1722</v>
      </c>
      <c r="G70" s="25">
        <v>40253</v>
      </c>
      <c r="H70" s="25">
        <v>40456</v>
      </c>
      <c r="I70" s="104">
        <f t="shared" ref="I70:I71" si="15">G70-E70</f>
        <v>1519</v>
      </c>
      <c r="J70" s="19">
        <f t="shared" si="9"/>
        <v>203</v>
      </c>
      <c r="K70" s="19" t="s">
        <v>69</v>
      </c>
      <c r="L70" s="24">
        <v>5.38</v>
      </c>
      <c r="M70" s="19">
        <f t="shared" si="11"/>
        <v>0</v>
      </c>
      <c r="N70" s="19">
        <f t="shared" si="12"/>
        <v>0</v>
      </c>
      <c r="O70" s="19">
        <f t="shared" si="13"/>
        <v>1</v>
      </c>
      <c r="P70" s="19">
        <f t="shared" si="14"/>
        <v>1</v>
      </c>
      <c r="Q70" s="24">
        <v>1</v>
      </c>
      <c r="R70" s="24">
        <v>0</v>
      </c>
      <c r="S70" s="24">
        <v>0</v>
      </c>
      <c r="T70" s="127">
        <v>0</v>
      </c>
      <c r="U70" s="127">
        <v>0</v>
      </c>
      <c r="V70" s="24">
        <v>60</v>
      </c>
      <c r="W70" s="24">
        <v>0</v>
      </c>
      <c r="X70" s="24">
        <v>2</v>
      </c>
      <c r="Y70" s="24">
        <v>0.35</v>
      </c>
      <c r="Z70" s="24">
        <v>4</v>
      </c>
      <c r="AA70" s="24">
        <v>0.6</v>
      </c>
      <c r="AB70" s="24">
        <v>0</v>
      </c>
      <c r="AC70" s="24">
        <v>0</v>
      </c>
      <c r="AD70" s="24">
        <v>0</v>
      </c>
      <c r="AE70" s="24" t="s">
        <v>47</v>
      </c>
      <c r="AF70" s="138" t="s">
        <v>42</v>
      </c>
      <c r="AG70" s="114" t="s">
        <v>43</v>
      </c>
      <c r="AI70" s="104">
        <v>-1930</v>
      </c>
      <c r="AJ70">
        <v>890</v>
      </c>
    </row>
    <row r="71" spans="2:36" hidden="1" x14ac:dyDescent="0.25">
      <c r="B71" s="24" t="s">
        <v>246</v>
      </c>
      <c r="C71" s="24">
        <v>1</v>
      </c>
      <c r="E71" s="27">
        <v>38734</v>
      </c>
      <c r="F71" s="104">
        <f t="shared" si="10"/>
        <v>1722</v>
      </c>
      <c r="G71" s="25">
        <v>40456</v>
      </c>
      <c r="H71" s="25">
        <v>40456</v>
      </c>
      <c r="I71" s="104">
        <f t="shared" si="15"/>
        <v>1722</v>
      </c>
      <c r="J71" s="19">
        <f t="shared" si="9"/>
        <v>0</v>
      </c>
      <c r="K71" s="94" t="s">
        <v>69</v>
      </c>
      <c r="L71" s="4">
        <v>5.18</v>
      </c>
      <c r="M71" s="19">
        <f t="shared" si="11"/>
        <v>0</v>
      </c>
      <c r="N71" s="19">
        <f t="shared" si="12"/>
        <v>0</v>
      </c>
      <c r="O71" s="19">
        <f t="shared" si="13"/>
        <v>0</v>
      </c>
      <c r="P71" s="19">
        <f t="shared" si="14"/>
        <v>0</v>
      </c>
      <c r="Q71" s="4">
        <v>1</v>
      </c>
      <c r="R71" s="4">
        <v>0</v>
      </c>
      <c r="S71" s="98">
        <v>0</v>
      </c>
      <c r="T71" s="127">
        <v>0</v>
      </c>
      <c r="U71" s="127">
        <v>0</v>
      </c>
      <c r="V71" s="24">
        <v>60</v>
      </c>
      <c r="W71" s="24">
        <v>0</v>
      </c>
      <c r="X71" s="24">
        <v>2</v>
      </c>
      <c r="Y71" s="24">
        <v>0.35</v>
      </c>
      <c r="Z71" s="24">
        <v>4</v>
      </c>
      <c r="AA71" s="24">
        <v>0.6</v>
      </c>
      <c r="AB71" s="24">
        <v>0</v>
      </c>
      <c r="AC71" s="24">
        <v>0</v>
      </c>
      <c r="AD71" s="24">
        <v>0</v>
      </c>
      <c r="AE71" s="24" t="s">
        <v>47</v>
      </c>
      <c r="AF71" s="138" t="s">
        <v>42</v>
      </c>
      <c r="AG71" s="114" t="s">
        <v>43</v>
      </c>
      <c r="AI71" s="104">
        <v>1337</v>
      </c>
      <c r="AJ71">
        <v>903</v>
      </c>
    </row>
    <row r="72" spans="2:36" hidden="1" x14ac:dyDescent="0.25">
      <c r="B72" s="24" t="s">
        <v>326</v>
      </c>
      <c r="C72" s="24">
        <v>2</v>
      </c>
      <c r="E72" s="27">
        <v>38748</v>
      </c>
      <c r="F72" s="104">
        <f t="shared" si="10"/>
        <v>2247</v>
      </c>
      <c r="G72" s="25">
        <v>40085</v>
      </c>
      <c r="H72" s="25">
        <v>40995</v>
      </c>
      <c r="I72" s="104">
        <f>G72-E72</f>
        <v>1337</v>
      </c>
      <c r="J72" s="19">
        <f t="shared" ref="J72:J134" si="16">H72-G72</f>
        <v>910</v>
      </c>
      <c r="K72" s="91" t="s">
        <v>69</v>
      </c>
      <c r="L72" s="4">
        <v>5.9</v>
      </c>
      <c r="M72" s="19">
        <f t="shared" si="11"/>
        <v>1</v>
      </c>
      <c r="N72" s="19">
        <f t="shared" si="12"/>
        <v>1</v>
      </c>
      <c r="O72" s="19">
        <f t="shared" si="13"/>
        <v>1</v>
      </c>
      <c r="P72" s="19">
        <f t="shared" si="14"/>
        <v>1</v>
      </c>
      <c r="Q72" s="4">
        <v>8</v>
      </c>
      <c r="R72" s="4">
        <v>0</v>
      </c>
      <c r="S72" s="98">
        <v>0</v>
      </c>
      <c r="T72" s="127">
        <v>0</v>
      </c>
      <c r="U72" s="127">
        <v>0</v>
      </c>
      <c r="V72" s="24">
        <v>45</v>
      </c>
      <c r="W72" s="4">
        <v>0</v>
      </c>
      <c r="X72" s="4">
        <v>2</v>
      </c>
      <c r="Y72" s="4">
        <v>0.35</v>
      </c>
      <c r="Z72" s="4">
        <v>2</v>
      </c>
      <c r="AA72" s="4">
        <v>0.35</v>
      </c>
      <c r="AB72" s="24">
        <v>0</v>
      </c>
      <c r="AC72" s="24">
        <v>0</v>
      </c>
      <c r="AD72" s="24">
        <v>0</v>
      </c>
      <c r="AE72" s="4" t="s">
        <v>214</v>
      </c>
      <c r="AF72" s="138" t="s">
        <v>42</v>
      </c>
      <c r="AG72" s="118" t="s">
        <v>285</v>
      </c>
      <c r="AI72" s="104">
        <v>1526</v>
      </c>
      <c r="AJ72">
        <v>904</v>
      </c>
    </row>
    <row r="73" spans="2:36" hidden="1" x14ac:dyDescent="0.25">
      <c r="B73" s="24" t="s">
        <v>326</v>
      </c>
      <c r="C73" s="24">
        <v>2</v>
      </c>
      <c r="E73" s="27">
        <v>38748</v>
      </c>
      <c r="F73" s="104">
        <f t="shared" si="10"/>
        <v>2247</v>
      </c>
      <c r="G73" s="46">
        <v>40274</v>
      </c>
      <c r="H73" s="25">
        <v>40995</v>
      </c>
      <c r="I73" s="104">
        <f t="shared" si="8"/>
        <v>1526</v>
      </c>
      <c r="J73" s="19">
        <f t="shared" si="16"/>
        <v>721</v>
      </c>
      <c r="K73" t="s">
        <v>69</v>
      </c>
      <c r="L73" s="4">
        <v>5.54</v>
      </c>
      <c r="M73" s="19">
        <f t="shared" si="11"/>
        <v>1</v>
      </c>
      <c r="N73" s="19">
        <f t="shared" si="12"/>
        <v>1</v>
      </c>
      <c r="O73" s="19">
        <f t="shared" si="13"/>
        <v>1</v>
      </c>
      <c r="P73" s="19">
        <f t="shared" si="14"/>
        <v>1</v>
      </c>
      <c r="Q73" s="4">
        <v>8</v>
      </c>
      <c r="R73" s="4">
        <v>0</v>
      </c>
      <c r="S73" s="98">
        <v>0</v>
      </c>
      <c r="T73" s="125">
        <v>0</v>
      </c>
      <c r="U73" s="125">
        <v>0</v>
      </c>
      <c r="V73" s="24">
        <v>45</v>
      </c>
      <c r="W73" s="4">
        <v>0</v>
      </c>
      <c r="X73" s="4">
        <v>2</v>
      </c>
      <c r="Y73" s="4">
        <v>0.35</v>
      </c>
      <c r="Z73" s="4">
        <v>2</v>
      </c>
      <c r="AA73" s="4">
        <v>0.35</v>
      </c>
      <c r="AB73" s="24">
        <v>0</v>
      </c>
      <c r="AC73" s="24">
        <v>0</v>
      </c>
      <c r="AD73" s="24">
        <v>0</v>
      </c>
      <c r="AE73" s="4" t="s">
        <v>214</v>
      </c>
      <c r="AF73" s="118" t="s">
        <v>42</v>
      </c>
      <c r="AG73" s="118" t="s">
        <v>285</v>
      </c>
      <c r="AI73" s="104">
        <v>1904</v>
      </c>
      <c r="AJ73">
        <v>910</v>
      </c>
    </row>
    <row r="74" spans="2:36" hidden="1" x14ac:dyDescent="0.25">
      <c r="B74" s="24" t="s">
        <v>326</v>
      </c>
      <c r="C74" s="24">
        <v>2</v>
      </c>
      <c r="E74" s="27">
        <v>38748</v>
      </c>
      <c r="F74" s="104">
        <f t="shared" si="10"/>
        <v>2247</v>
      </c>
      <c r="G74" s="25">
        <v>40652</v>
      </c>
      <c r="H74" s="25">
        <v>40995</v>
      </c>
      <c r="I74" s="104">
        <f t="shared" si="8"/>
        <v>1904</v>
      </c>
      <c r="J74" s="19">
        <f t="shared" si="16"/>
        <v>343</v>
      </c>
      <c r="K74" t="s">
        <v>69</v>
      </c>
      <c r="L74" s="4">
        <v>5.2</v>
      </c>
      <c r="M74" s="19">
        <f t="shared" si="11"/>
        <v>0</v>
      </c>
      <c r="N74" s="19">
        <f t="shared" si="12"/>
        <v>0</v>
      </c>
      <c r="O74" s="19">
        <f t="shared" si="13"/>
        <v>1</v>
      </c>
      <c r="P74" s="19">
        <f t="shared" si="14"/>
        <v>1</v>
      </c>
      <c r="Q74" s="4">
        <v>8</v>
      </c>
      <c r="R74" s="4">
        <v>0</v>
      </c>
      <c r="S74" s="98">
        <v>0</v>
      </c>
      <c r="T74" s="125">
        <v>0</v>
      </c>
      <c r="U74" s="125">
        <v>4</v>
      </c>
      <c r="V74" s="24">
        <v>45</v>
      </c>
      <c r="W74" s="4">
        <v>0</v>
      </c>
      <c r="X74" s="4">
        <v>2</v>
      </c>
      <c r="Y74" s="4">
        <v>0.35</v>
      </c>
      <c r="Z74" s="4">
        <v>2</v>
      </c>
      <c r="AA74" s="4">
        <v>0.35</v>
      </c>
      <c r="AB74" s="24">
        <v>0</v>
      </c>
      <c r="AC74" s="24">
        <v>0</v>
      </c>
      <c r="AD74" s="24">
        <v>0</v>
      </c>
      <c r="AE74" s="4" t="s">
        <v>214</v>
      </c>
      <c r="AF74" s="118" t="s">
        <v>327</v>
      </c>
      <c r="AG74" s="118" t="s">
        <v>285</v>
      </c>
      <c r="AI74" s="104">
        <v>2247</v>
      </c>
      <c r="AJ74">
        <v>921</v>
      </c>
    </row>
    <row r="75" spans="2:36" hidden="1" x14ac:dyDescent="0.25">
      <c r="B75" s="24" t="s">
        <v>326</v>
      </c>
      <c r="C75" s="24">
        <v>2</v>
      </c>
      <c r="E75" s="27">
        <v>38748</v>
      </c>
      <c r="F75" s="104">
        <f t="shared" si="10"/>
        <v>2247</v>
      </c>
      <c r="G75" s="25">
        <v>40995</v>
      </c>
      <c r="H75" s="25">
        <v>40995</v>
      </c>
      <c r="I75" s="104">
        <f t="shared" si="8"/>
        <v>2247</v>
      </c>
      <c r="J75" s="19">
        <f t="shared" si="16"/>
        <v>0</v>
      </c>
      <c r="K75" t="s">
        <v>69</v>
      </c>
      <c r="L75" s="4">
        <v>5.18</v>
      </c>
      <c r="M75" s="19">
        <f t="shared" si="11"/>
        <v>0</v>
      </c>
      <c r="N75" s="19">
        <f t="shared" si="12"/>
        <v>0</v>
      </c>
      <c r="O75" s="19">
        <f t="shared" si="13"/>
        <v>0</v>
      </c>
      <c r="P75" s="19">
        <f t="shared" si="14"/>
        <v>0</v>
      </c>
      <c r="Q75" s="4">
        <v>2</v>
      </c>
      <c r="R75" s="4">
        <v>0</v>
      </c>
      <c r="S75" s="98">
        <v>0</v>
      </c>
      <c r="T75" s="125">
        <v>0</v>
      </c>
      <c r="U75" s="125">
        <v>4</v>
      </c>
      <c r="V75" s="24">
        <v>45</v>
      </c>
      <c r="W75" s="4">
        <v>0</v>
      </c>
      <c r="X75" s="4">
        <v>2</v>
      </c>
      <c r="Y75" s="4">
        <v>0.35</v>
      </c>
      <c r="Z75" s="4">
        <v>2</v>
      </c>
      <c r="AA75" s="4">
        <v>0.35</v>
      </c>
      <c r="AB75" s="24">
        <v>0</v>
      </c>
      <c r="AC75" s="24">
        <v>0</v>
      </c>
      <c r="AD75" s="24">
        <v>0</v>
      </c>
      <c r="AE75" s="4" t="s">
        <v>214</v>
      </c>
      <c r="AF75" s="118" t="s">
        <v>327</v>
      </c>
      <c r="AG75" s="118" t="s">
        <v>285</v>
      </c>
      <c r="AI75" s="104">
        <v>1358</v>
      </c>
      <c r="AJ75">
        <v>929</v>
      </c>
    </row>
    <row r="76" spans="2:36" hidden="1" x14ac:dyDescent="0.25">
      <c r="B76" s="24" t="s">
        <v>260</v>
      </c>
      <c r="C76" s="24">
        <v>2</v>
      </c>
      <c r="E76" s="27">
        <v>38769</v>
      </c>
      <c r="F76" s="104">
        <f t="shared" si="10"/>
        <v>1540</v>
      </c>
      <c r="G76" s="25">
        <v>40127</v>
      </c>
      <c r="H76" s="25">
        <v>40309</v>
      </c>
      <c r="I76" s="104">
        <f t="shared" si="8"/>
        <v>1358</v>
      </c>
      <c r="J76" s="19">
        <f t="shared" si="16"/>
        <v>182</v>
      </c>
      <c r="K76" t="s">
        <v>69</v>
      </c>
      <c r="L76" s="24">
        <v>5.91</v>
      </c>
      <c r="M76" s="19">
        <f t="shared" si="11"/>
        <v>0</v>
      </c>
      <c r="N76" s="19">
        <f t="shared" si="12"/>
        <v>0</v>
      </c>
      <c r="O76" s="19">
        <f t="shared" si="13"/>
        <v>1</v>
      </c>
      <c r="P76" s="19">
        <f t="shared" si="14"/>
        <v>1</v>
      </c>
      <c r="Q76" s="24">
        <v>9</v>
      </c>
      <c r="R76" s="24">
        <v>2</v>
      </c>
      <c r="S76" s="24">
        <v>0</v>
      </c>
      <c r="T76" s="127">
        <v>0</v>
      </c>
      <c r="U76" s="127">
        <v>8</v>
      </c>
      <c r="V76" s="24">
        <v>40</v>
      </c>
      <c r="W76" s="24">
        <v>0</v>
      </c>
      <c r="X76" s="24">
        <v>2.5</v>
      </c>
      <c r="Y76" s="24">
        <v>0.35</v>
      </c>
      <c r="Z76" s="24">
        <v>2.5</v>
      </c>
      <c r="AA76" s="24">
        <v>0.35</v>
      </c>
      <c r="AB76" s="24">
        <v>0</v>
      </c>
      <c r="AC76" s="24">
        <v>0</v>
      </c>
      <c r="AD76" s="24">
        <v>0</v>
      </c>
      <c r="AE76" s="24" t="s">
        <v>110</v>
      </c>
      <c r="AF76" s="138" t="s">
        <v>129</v>
      </c>
      <c r="AG76" s="114" t="s">
        <v>262</v>
      </c>
      <c r="AI76" s="104">
        <v>1540</v>
      </c>
      <c r="AJ76">
        <v>938</v>
      </c>
    </row>
    <row r="77" spans="2:36" hidden="1" x14ac:dyDescent="0.25">
      <c r="B77" s="24" t="s">
        <v>260</v>
      </c>
      <c r="C77" s="24">
        <v>2</v>
      </c>
      <c r="E77" s="27">
        <v>38769</v>
      </c>
      <c r="F77" s="104">
        <f t="shared" si="10"/>
        <v>1540</v>
      </c>
      <c r="G77" s="25">
        <v>40309</v>
      </c>
      <c r="H77" s="25">
        <v>40309</v>
      </c>
      <c r="I77" s="104">
        <f t="shared" si="8"/>
        <v>1540</v>
      </c>
      <c r="J77" s="19">
        <f t="shared" si="16"/>
        <v>0</v>
      </c>
      <c r="K77" t="s">
        <v>69</v>
      </c>
      <c r="L77" s="4">
        <v>5.68</v>
      </c>
      <c r="M77" s="19">
        <f t="shared" si="11"/>
        <v>0</v>
      </c>
      <c r="N77" s="19">
        <f t="shared" si="12"/>
        <v>0</v>
      </c>
      <c r="O77" s="19">
        <f t="shared" si="13"/>
        <v>0</v>
      </c>
      <c r="P77" s="19">
        <f t="shared" si="14"/>
        <v>0</v>
      </c>
      <c r="Q77" s="4">
        <v>18</v>
      </c>
      <c r="R77" s="4">
        <v>1</v>
      </c>
      <c r="S77" s="98">
        <v>0</v>
      </c>
      <c r="T77" s="125">
        <v>0</v>
      </c>
      <c r="U77" s="125">
        <v>3</v>
      </c>
      <c r="V77" s="24">
        <v>40</v>
      </c>
      <c r="W77" s="24">
        <v>0</v>
      </c>
      <c r="X77" s="24">
        <v>2.5</v>
      </c>
      <c r="Y77" s="24">
        <v>0.35</v>
      </c>
      <c r="Z77" s="24">
        <v>2.5</v>
      </c>
      <c r="AA77" s="24">
        <v>0.35</v>
      </c>
      <c r="AB77" s="24">
        <v>0</v>
      </c>
      <c r="AC77" s="24">
        <v>0</v>
      </c>
      <c r="AD77" s="24">
        <v>0</v>
      </c>
      <c r="AE77" s="24" t="s">
        <v>110</v>
      </c>
      <c r="AF77" s="118" t="s">
        <v>261</v>
      </c>
      <c r="AG77" s="114" t="s">
        <v>262</v>
      </c>
      <c r="AI77" s="104">
        <v>1342</v>
      </c>
      <c r="AJ77">
        <v>941</v>
      </c>
    </row>
    <row r="78" spans="2:36" hidden="1" x14ac:dyDescent="0.25">
      <c r="B78" s="24" t="s">
        <v>263</v>
      </c>
      <c r="C78" s="24">
        <v>2</v>
      </c>
      <c r="E78" s="27">
        <v>38792</v>
      </c>
      <c r="F78" s="104">
        <f t="shared" si="10"/>
        <v>1524</v>
      </c>
      <c r="G78" s="25">
        <v>40134</v>
      </c>
      <c r="H78" s="25">
        <v>40316</v>
      </c>
      <c r="I78" s="104">
        <f t="shared" si="8"/>
        <v>1342</v>
      </c>
      <c r="J78" s="19">
        <f t="shared" si="16"/>
        <v>182</v>
      </c>
      <c r="K78" s="24" t="s">
        <v>69</v>
      </c>
      <c r="L78" s="24">
        <v>5.65</v>
      </c>
      <c r="M78" s="19">
        <f t="shared" si="11"/>
        <v>0</v>
      </c>
      <c r="N78" s="19">
        <f t="shared" si="12"/>
        <v>0</v>
      </c>
      <c r="O78" s="19">
        <f t="shared" si="13"/>
        <v>1</v>
      </c>
      <c r="P78" s="19">
        <f t="shared" si="14"/>
        <v>1</v>
      </c>
      <c r="Q78" s="24">
        <f>48+45</f>
        <v>93</v>
      </c>
      <c r="R78" s="24">
        <f>47+44</f>
        <v>91</v>
      </c>
      <c r="S78" s="24">
        <v>0</v>
      </c>
      <c r="T78" s="127">
        <v>0</v>
      </c>
      <c r="U78" s="127">
        <v>0</v>
      </c>
      <c r="V78" s="24">
        <v>70</v>
      </c>
      <c r="W78" s="24">
        <v>0</v>
      </c>
      <c r="X78" s="24">
        <v>2.5</v>
      </c>
      <c r="Y78" s="24">
        <v>0.35</v>
      </c>
      <c r="Z78" s="24">
        <v>2.5</v>
      </c>
      <c r="AA78" s="24">
        <v>0.35</v>
      </c>
      <c r="AB78" s="24">
        <v>0</v>
      </c>
      <c r="AC78" s="24">
        <v>0</v>
      </c>
      <c r="AD78" s="24">
        <v>0</v>
      </c>
      <c r="AE78" s="24" t="s">
        <v>105</v>
      </c>
      <c r="AF78" s="138" t="s">
        <v>42</v>
      </c>
      <c r="AG78" s="114"/>
      <c r="AI78" s="104">
        <v>1524</v>
      </c>
      <c r="AJ78">
        <v>952</v>
      </c>
    </row>
    <row r="79" spans="2:36" hidden="1" x14ac:dyDescent="0.25">
      <c r="B79" s="24" t="s">
        <v>263</v>
      </c>
      <c r="C79" s="24">
        <v>2</v>
      </c>
      <c r="E79" s="27">
        <v>38792</v>
      </c>
      <c r="F79" s="104">
        <f t="shared" si="10"/>
        <v>1524</v>
      </c>
      <c r="G79" s="25">
        <v>40316</v>
      </c>
      <c r="H79" s="25">
        <v>40316</v>
      </c>
      <c r="I79" s="104">
        <f t="shared" si="8"/>
        <v>1524</v>
      </c>
      <c r="J79" s="19">
        <f t="shared" si="16"/>
        <v>0</v>
      </c>
      <c r="K79" t="s">
        <v>69</v>
      </c>
      <c r="L79" s="4">
        <v>5.31</v>
      </c>
      <c r="M79" s="19">
        <f t="shared" si="11"/>
        <v>0</v>
      </c>
      <c r="N79" s="19">
        <f t="shared" si="12"/>
        <v>0</v>
      </c>
      <c r="O79" s="19">
        <f t="shared" si="13"/>
        <v>0</v>
      </c>
      <c r="P79" s="19">
        <f t="shared" si="14"/>
        <v>0</v>
      </c>
      <c r="Q79" s="4">
        <f>48+38</f>
        <v>86</v>
      </c>
      <c r="R79" s="4">
        <f>38+62</f>
        <v>100</v>
      </c>
      <c r="S79" s="98">
        <v>0</v>
      </c>
      <c r="T79" s="125">
        <v>0</v>
      </c>
      <c r="U79" s="125">
        <v>0</v>
      </c>
      <c r="V79" s="24">
        <v>60</v>
      </c>
      <c r="W79" s="24">
        <v>1</v>
      </c>
      <c r="X79" s="24">
        <v>2.5</v>
      </c>
      <c r="Y79" s="24">
        <v>0.35</v>
      </c>
      <c r="Z79" s="24">
        <v>2.5</v>
      </c>
      <c r="AA79" s="24">
        <v>0.35</v>
      </c>
      <c r="AB79" s="24">
        <v>0</v>
      </c>
      <c r="AC79" s="24">
        <v>0</v>
      </c>
      <c r="AD79" s="24">
        <v>0</v>
      </c>
      <c r="AE79" s="24" t="s">
        <v>47</v>
      </c>
      <c r="AF79" s="118" t="s">
        <v>42</v>
      </c>
      <c r="AG79" s="114" t="s">
        <v>191</v>
      </c>
      <c r="AI79" s="104">
        <v>1934</v>
      </c>
      <c r="AJ79">
        <v>952</v>
      </c>
    </row>
    <row r="80" spans="2:36" x14ac:dyDescent="0.25">
      <c r="B80" s="24" t="s">
        <v>339</v>
      </c>
      <c r="C80" s="24">
        <v>2</v>
      </c>
      <c r="E80" s="103">
        <v>38796</v>
      </c>
      <c r="F80" s="104">
        <f t="shared" si="10"/>
        <v>2689</v>
      </c>
      <c r="G80" s="25">
        <v>40730</v>
      </c>
      <c r="H80" s="27">
        <v>41485</v>
      </c>
      <c r="I80" s="104">
        <f t="shared" si="8"/>
        <v>1934</v>
      </c>
      <c r="J80" s="19">
        <f t="shared" si="16"/>
        <v>755</v>
      </c>
      <c r="K80" s="83" t="s">
        <v>65</v>
      </c>
      <c r="L80" s="4">
        <v>5.18</v>
      </c>
      <c r="M80" s="19">
        <f t="shared" si="11"/>
        <v>1</v>
      </c>
      <c r="N80" s="19">
        <f t="shared" si="12"/>
        <v>1</v>
      </c>
      <c r="O80" s="19">
        <f t="shared" si="13"/>
        <v>1</v>
      </c>
      <c r="P80" s="19">
        <f t="shared" si="14"/>
        <v>1</v>
      </c>
      <c r="Q80" s="4">
        <f>51+26</f>
        <v>77</v>
      </c>
      <c r="R80" s="4">
        <f>74+26</f>
        <v>100</v>
      </c>
      <c r="S80" s="24">
        <v>0</v>
      </c>
      <c r="T80" s="127">
        <v>0</v>
      </c>
      <c r="U80" s="127">
        <v>0</v>
      </c>
      <c r="V80" s="24">
        <v>60</v>
      </c>
      <c r="W80" s="4">
        <v>0</v>
      </c>
      <c r="X80" s="4">
        <v>2.5</v>
      </c>
      <c r="Y80" s="4">
        <v>0.35</v>
      </c>
      <c r="Z80" s="4">
        <v>2.5</v>
      </c>
      <c r="AA80" s="4">
        <v>0.35</v>
      </c>
      <c r="AB80" s="24">
        <v>0</v>
      </c>
      <c r="AC80" s="24">
        <v>0</v>
      </c>
      <c r="AD80" s="24">
        <v>0</v>
      </c>
      <c r="AE80" s="4" t="s">
        <v>47</v>
      </c>
      <c r="AF80" s="138" t="s">
        <v>42</v>
      </c>
      <c r="AG80" s="118" t="s">
        <v>69</v>
      </c>
      <c r="AI80" s="104">
        <v>2150</v>
      </c>
      <c r="AJ80">
        <v>952</v>
      </c>
    </row>
    <row r="81" spans="2:36" x14ac:dyDescent="0.25">
      <c r="B81" s="24" t="s">
        <v>339</v>
      </c>
      <c r="C81" s="24">
        <v>2</v>
      </c>
      <c r="E81" s="103">
        <v>38796</v>
      </c>
      <c r="F81" s="104">
        <f t="shared" si="10"/>
        <v>2689</v>
      </c>
      <c r="G81" s="25">
        <v>40946</v>
      </c>
      <c r="H81" s="89">
        <v>41485</v>
      </c>
      <c r="I81" s="104">
        <f t="shared" si="8"/>
        <v>2150</v>
      </c>
      <c r="J81" s="19">
        <f t="shared" si="16"/>
        <v>539</v>
      </c>
      <c r="K81" s="83" t="s">
        <v>65</v>
      </c>
      <c r="L81" s="4">
        <v>5.16</v>
      </c>
      <c r="M81" s="19">
        <f t="shared" si="11"/>
        <v>0</v>
      </c>
      <c r="N81" s="19">
        <f t="shared" si="12"/>
        <v>1</v>
      </c>
      <c r="O81" s="19">
        <f t="shared" si="13"/>
        <v>1</v>
      </c>
      <c r="P81" s="19">
        <f t="shared" si="14"/>
        <v>1</v>
      </c>
      <c r="Q81" s="4">
        <f>51+4</f>
        <v>55</v>
      </c>
      <c r="R81" s="4">
        <f>96+4</f>
        <v>100</v>
      </c>
      <c r="S81" s="98">
        <v>0</v>
      </c>
      <c r="T81" s="127">
        <v>0</v>
      </c>
      <c r="U81" s="127">
        <v>0</v>
      </c>
      <c r="V81" s="24">
        <v>60</v>
      </c>
      <c r="W81" s="4">
        <v>0</v>
      </c>
      <c r="X81" s="4">
        <v>2.5</v>
      </c>
      <c r="Y81" s="4">
        <v>0.35</v>
      </c>
      <c r="Z81" s="4">
        <v>2.5</v>
      </c>
      <c r="AA81" s="4">
        <v>0.35</v>
      </c>
      <c r="AB81" s="24">
        <v>0</v>
      </c>
      <c r="AC81" s="1">
        <v>0</v>
      </c>
      <c r="AD81" s="24">
        <v>0</v>
      </c>
      <c r="AE81" s="4" t="s">
        <v>47</v>
      </c>
      <c r="AF81" s="138" t="s">
        <v>42</v>
      </c>
      <c r="AG81" s="118" t="s">
        <v>69</v>
      </c>
      <c r="AI81" s="104">
        <v>2213</v>
      </c>
      <c r="AJ81">
        <v>970</v>
      </c>
    </row>
    <row r="82" spans="2:36" x14ac:dyDescent="0.25">
      <c r="B82" s="24" t="s">
        <v>339</v>
      </c>
      <c r="C82" s="24">
        <v>2</v>
      </c>
      <c r="E82" s="103">
        <v>38796</v>
      </c>
      <c r="F82" s="104">
        <f t="shared" si="10"/>
        <v>2689</v>
      </c>
      <c r="G82" s="25">
        <v>41009</v>
      </c>
      <c r="H82" s="89">
        <v>41485</v>
      </c>
      <c r="I82" s="104">
        <f t="shared" si="8"/>
        <v>2213</v>
      </c>
      <c r="J82" s="19">
        <f t="shared" si="16"/>
        <v>476</v>
      </c>
      <c r="K82" s="83" t="s">
        <v>65</v>
      </c>
      <c r="L82" s="4">
        <v>5.16</v>
      </c>
      <c r="M82" s="19">
        <f t="shared" si="11"/>
        <v>0</v>
      </c>
      <c r="N82" s="19">
        <f t="shared" si="12"/>
        <v>1</v>
      </c>
      <c r="O82" s="19">
        <f t="shared" si="13"/>
        <v>1</v>
      </c>
      <c r="P82" s="19">
        <f t="shared" si="14"/>
        <v>1</v>
      </c>
      <c r="Q82" s="4">
        <f>39+2</f>
        <v>41</v>
      </c>
      <c r="R82" s="4">
        <f>97+2</f>
        <v>99</v>
      </c>
      <c r="S82" s="24">
        <v>0</v>
      </c>
      <c r="T82" s="127">
        <v>0</v>
      </c>
      <c r="U82" s="127">
        <v>0</v>
      </c>
      <c r="V82" s="24">
        <v>60</v>
      </c>
      <c r="W82" s="4">
        <v>0</v>
      </c>
      <c r="X82" s="4">
        <v>2.5</v>
      </c>
      <c r="Y82" s="4">
        <v>0.35</v>
      </c>
      <c r="Z82" s="4">
        <v>2.5</v>
      </c>
      <c r="AA82" s="4">
        <v>0.35</v>
      </c>
      <c r="AB82" s="1">
        <v>0</v>
      </c>
      <c r="AC82" s="1">
        <v>0</v>
      </c>
      <c r="AD82" s="24">
        <v>0</v>
      </c>
      <c r="AE82" s="4" t="s">
        <v>47</v>
      </c>
      <c r="AF82" s="138" t="s">
        <v>42</v>
      </c>
      <c r="AG82" s="118" t="s">
        <v>69</v>
      </c>
      <c r="AI82" s="104">
        <v>2348</v>
      </c>
      <c r="AJ82">
        <v>972</v>
      </c>
    </row>
    <row r="83" spans="2:36" x14ac:dyDescent="0.25">
      <c r="B83" s="24" t="s">
        <v>339</v>
      </c>
      <c r="C83" s="24">
        <v>2</v>
      </c>
      <c r="E83" s="103">
        <v>38796</v>
      </c>
      <c r="F83" s="104">
        <f t="shared" si="10"/>
        <v>2689</v>
      </c>
      <c r="G83" s="25">
        <v>41144</v>
      </c>
      <c r="H83" s="89">
        <v>41485</v>
      </c>
      <c r="I83" s="104">
        <f t="shared" si="8"/>
        <v>2348</v>
      </c>
      <c r="J83" s="19">
        <f t="shared" si="16"/>
        <v>341</v>
      </c>
      <c r="K83" s="83" t="s">
        <v>65</v>
      </c>
      <c r="L83" s="4">
        <v>5.12</v>
      </c>
      <c r="M83" s="19">
        <f t="shared" si="11"/>
        <v>0</v>
      </c>
      <c r="N83" s="19">
        <f t="shared" si="12"/>
        <v>0</v>
      </c>
      <c r="O83" s="19">
        <f t="shared" si="13"/>
        <v>1</v>
      </c>
      <c r="P83" s="19">
        <f t="shared" si="14"/>
        <v>1</v>
      </c>
      <c r="Q83" s="4">
        <f>40+2</f>
        <v>42</v>
      </c>
      <c r="R83" s="4">
        <f>98+2</f>
        <v>100</v>
      </c>
      <c r="S83" s="98">
        <v>0</v>
      </c>
      <c r="T83" s="127">
        <v>0</v>
      </c>
      <c r="U83" s="127">
        <v>0</v>
      </c>
      <c r="V83" s="24">
        <v>60</v>
      </c>
      <c r="W83" s="4">
        <v>0</v>
      </c>
      <c r="X83" s="4">
        <v>2.5</v>
      </c>
      <c r="Y83" s="4">
        <v>0.35</v>
      </c>
      <c r="Z83" s="4">
        <v>2.5</v>
      </c>
      <c r="AA83" s="4">
        <v>0.35</v>
      </c>
      <c r="AB83" s="1">
        <v>0</v>
      </c>
      <c r="AC83" s="1">
        <v>0</v>
      </c>
      <c r="AD83" s="24">
        <v>0</v>
      </c>
      <c r="AE83" s="4" t="s">
        <v>47</v>
      </c>
      <c r="AF83" s="138" t="s">
        <v>42</v>
      </c>
      <c r="AG83" s="118" t="s">
        <v>69</v>
      </c>
      <c r="AI83" s="104">
        <v>2444</v>
      </c>
      <c r="AJ83">
        <v>974</v>
      </c>
    </row>
    <row r="84" spans="2:36" x14ac:dyDescent="0.25">
      <c r="B84" s="24" t="s">
        <v>339</v>
      </c>
      <c r="C84" s="24">
        <v>2</v>
      </c>
      <c r="E84" s="103">
        <v>38796</v>
      </c>
      <c r="F84" s="104">
        <f t="shared" si="10"/>
        <v>2689</v>
      </c>
      <c r="G84" s="25">
        <v>41240</v>
      </c>
      <c r="H84" s="89">
        <v>41485</v>
      </c>
      <c r="I84" s="104">
        <f t="shared" si="8"/>
        <v>2444</v>
      </c>
      <c r="J84" s="19">
        <f t="shared" si="16"/>
        <v>245</v>
      </c>
      <c r="K84" s="83" t="s">
        <v>65</v>
      </c>
      <c r="L84" s="4">
        <v>5.05</v>
      </c>
      <c r="M84" s="19">
        <f t="shared" si="11"/>
        <v>0</v>
      </c>
      <c r="N84" s="19">
        <f t="shared" si="12"/>
        <v>0</v>
      </c>
      <c r="O84" s="19">
        <f t="shared" si="13"/>
        <v>1</v>
      </c>
      <c r="P84" s="19">
        <f t="shared" si="14"/>
        <v>1</v>
      </c>
      <c r="Q84" s="4">
        <f>62+3</f>
        <v>65</v>
      </c>
      <c r="R84" s="4">
        <f>97+3</f>
        <v>100</v>
      </c>
      <c r="S84" s="24">
        <v>0</v>
      </c>
      <c r="T84" s="127">
        <v>0</v>
      </c>
      <c r="U84" s="127">
        <v>0</v>
      </c>
      <c r="V84" s="24">
        <v>60</v>
      </c>
      <c r="W84" s="4">
        <v>0</v>
      </c>
      <c r="X84" s="4">
        <v>2.5</v>
      </c>
      <c r="Y84" s="4">
        <v>0.35</v>
      </c>
      <c r="Z84" s="4">
        <v>2.5</v>
      </c>
      <c r="AA84" s="4">
        <v>0.35</v>
      </c>
      <c r="AB84" s="1">
        <v>0</v>
      </c>
      <c r="AC84" s="1">
        <v>0</v>
      </c>
      <c r="AD84" s="24">
        <v>0</v>
      </c>
      <c r="AE84" s="4" t="s">
        <v>47</v>
      </c>
      <c r="AF84" s="138" t="s">
        <v>42</v>
      </c>
      <c r="AG84" s="118" t="s">
        <v>69</v>
      </c>
      <c r="AI84" s="104">
        <v>2556</v>
      </c>
      <c r="AJ84">
        <v>987</v>
      </c>
    </row>
    <row r="85" spans="2:36" x14ac:dyDescent="0.25">
      <c r="B85" s="24" t="s">
        <v>339</v>
      </c>
      <c r="C85" s="24">
        <v>2</v>
      </c>
      <c r="E85" s="103">
        <v>38796</v>
      </c>
      <c r="F85" s="104">
        <f t="shared" si="10"/>
        <v>2689</v>
      </c>
      <c r="G85" s="25">
        <v>41352</v>
      </c>
      <c r="H85" s="89">
        <v>41485</v>
      </c>
      <c r="I85" s="104">
        <f t="shared" si="8"/>
        <v>2556</v>
      </c>
      <c r="J85" s="19">
        <f t="shared" si="16"/>
        <v>133</v>
      </c>
      <c r="K85" s="83" t="s">
        <v>65</v>
      </c>
      <c r="L85" s="4">
        <v>4.8600000000000003</v>
      </c>
      <c r="M85" s="19">
        <f t="shared" si="11"/>
        <v>0</v>
      </c>
      <c r="N85" s="19">
        <f t="shared" si="12"/>
        <v>0</v>
      </c>
      <c r="O85" s="19">
        <f t="shared" si="13"/>
        <v>0</v>
      </c>
      <c r="P85" s="19">
        <f t="shared" si="14"/>
        <v>1</v>
      </c>
      <c r="Q85" s="4">
        <f>39+2</f>
        <v>41</v>
      </c>
      <c r="R85" s="4">
        <f>98+2</f>
        <v>100</v>
      </c>
      <c r="S85" s="98">
        <v>0</v>
      </c>
      <c r="T85" s="127">
        <v>0</v>
      </c>
      <c r="U85" s="127">
        <v>0</v>
      </c>
      <c r="V85" s="24">
        <v>60</v>
      </c>
      <c r="W85" s="4">
        <v>0</v>
      </c>
      <c r="X85" s="4">
        <v>2.5</v>
      </c>
      <c r="Y85" s="4">
        <v>0.35</v>
      </c>
      <c r="Z85" s="4">
        <v>2.5</v>
      </c>
      <c r="AA85" s="4">
        <v>0.35</v>
      </c>
      <c r="AB85" s="1">
        <v>0</v>
      </c>
      <c r="AC85" s="1">
        <v>0</v>
      </c>
      <c r="AD85" s="24">
        <v>0</v>
      </c>
      <c r="AE85" s="4" t="s">
        <v>47</v>
      </c>
      <c r="AF85" s="138" t="s">
        <v>42</v>
      </c>
      <c r="AG85" s="118" t="s">
        <v>69</v>
      </c>
      <c r="AI85" s="104">
        <v>2689</v>
      </c>
      <c r="AJ85">
        <v>1001</v>
      </c>
    </row>
    <row r="86" spans="2:36" x14ac:dyDescent="0.25">
      <c r="B86" s="24" t="s">
        <v>339</v>
      </c>
      <c r="C86" s="24">
        <v>2</v>
      </c>
      <c r="E86" s="103">
        <v>38796</v>
      </c>
      <c r="F86" s="104">
        <f t="shared" si="10"/>
        <v>2689</v>
      </c>
      <c r="G86" s="89">
        <v>41485</v>
      </c>
      <c r="H86" s="89">
        <v>41485</v>
      </c>
      <c r="I86" s="104">
        <f t="shared" si="8"/>
        <v>2689</v>
      </c>
      <c r="J86" s="19">
        <f t="shared" si="16"/>
        <v>0</v>
      </c>
      <c r="K86" s="83" t="s">
        <v>65</v>
      </c>
      <c r="L86" s="92">
        <v>4.58</v>
      </c>
      <c r="M86" s="19">
        <f t="shared" si="11"/>
        <v>0</v>
      </c>
      <c r="N86" s="19">
        <f t="shared" si="12"/>
        <v>0</v>
      </c>
      <c r="O86" s="19">
        <f t="shared" si="13"/>
        <v>0</v>
      </c>
      <c r="P86" s="19">
        <f t="shared" si="14"/>
        <v>0</v>
      </c>
      <c r="Q86" s="92">
        <f>61+4</f>
        <v>65</v>
      </c>
      <c r="R86" s="92">
        <f>96+4</f>
        <v>100</v>
      </c>
      <c r="S86" s="83">
        <v>0</v>
      </c>
      <c r="T86" s="130">
        <v>0</v>
      </c>
      <c r="U86" s="130">
        <v>0</v>
      </c>
      <c r="V86" s="24">
        <v>60</v>
      </c>
      <c r="W86" s="92">
        <v>0</v>
      </c>
      <c r="X86" s="92">
        <v>2.5</v>
      </c>
      <c r="Y86" s="92">
        <v>0.35</v>
      </c>
      <c r="Z86" s="92">
        <v>2.5</v>
      </c>
      <c r="AA86" s="92">
        <v>0.35</v>
      </c>
      <c r="AB86" s="82">
        <v>0</v>
      </c>
      <c r="AC86" s="82">
        <v>0</v>
      </c>
      <c r="AD86" s="83">
        <v>0</v>
      </c>
      <c r="AE86" s="92" t="s">
        <v>47</v>
      </c>
      <c r="AF86" s="142" t="s">
        <v>42</v>
      </c>
      <c r="AG86" s="119" t="s">
        <v>69</v>
      </c>
      <c r="AI86" s="104">
        <v>1890</v>
      </c>
      <c r="AJ86">
        <v>1002</v>
      </c>
    </row>
    <row r="87" spans="2:36" hidden="1" x14ac:dyDescent="0.25">
      <c r="B87" s="24" t="s">
        <v>329</v>
      </c>
      <c r="C87" s="24">
        <v>2</v>
      </c>
      <c r="E87" s="27">
        <v>38846</v>
      </c>
      <c r="F87" s="104">
        <f t="shared" si="10"/>
        <v>2732</v>
      </c>
      <c r="G87" s="25">
        <v>40736</v>
      </c>
      <c r="H87" s="25">
        <v>41578</v>
      </c>
      <c r="I87" s="104">
        <f t="shared" si="8"/>
        <v>1890</v>
      </c>
      <c r="J87" s="19">
        <f t="shared" si="16"/>
        <v>842</v>
      </c>
      <c r="K87" t="s">
        <v>69</v>
      </c>
      <c r="L87" s="4">
        <v>5.31</v>
      </c>
      <c r="M87" s="19">
        <f t="shared" si="11"/>
        <v>1</v>
      </c>
      <c r="N87" s="19">
        <f t="shared" si="12"/>
        <v>1</v>
      </c>
      <c r="O87" s="19">
        <f t="shared" si="13"/>
        <v>1</v>
      </c>
      <c r="P87" s="19">
        <f t="shared" si="14"/>
        <v>1</v>
      </c>
      <c r="Q87" s="4">
        <v>0</v>
      </c>
      <c r="R87" s="4">
        <v>0</v>
      </c>
      <c r="S87" s="98">
        <v>0</v>
      </c>
      <c r="T87" s="127">
        <v>2</v>
      </c>
      <c r="U87" s="127">
        <v>2</v>
      </c>
      <c r="V87" s="4">
        <v>50</v>
      </c>
      <c r="W87" s="4">
        <v>0</v>
      </c>
      <c r="X87" s="4">
        <v>2.5</v>
      </c>
      <c r="Y87" s="4">
        <v>0.35</v>
      </c>
      <c r="Z87" s="4">
        <v>3.5</v>
      </c>
      <c r="AA87" s="4">
        <v>0.35</v>
      </c>
      <c r="AB87" s="24">
        <v>0</v>
      </c>
      <c r="AC87" s="24">
        <v>0</v>
      </c>
      <c r="AD87" s="90">
        <v>0</v>
      </c>
      <c r="AE87" s="4" t="s">
        <v>67</v>
      </c>
      <c r="AF87" s="138" t="s">
        <v>172</v>
      </c>
      <c r="AG87" s="118" t="s">
        <v>330</v>
      </c>
      <c r="AI87" s="104">
        <v>2107</v>
      </c>
      <c r="AJ87">
        <v>1014</v>
      </c>
    </row>
    <row r="88" spans="2:36" hidden="1" x14ac:dyDescent="0.25">
      <c r="B88" s="24" t="s">
        <v>329</v>
      </c>
      <c r="C88" s="24">
        <v>2</v>
      </c>
      <c r="E88" s="27">
        <v>38846</v>
      </c>
      <c r="F88" s="104">
        <f t="shared" si="10"/>
        <v>2732</v>
      </c>
      <c r="G88" s="46">
        <v>40953</v>
      </c>
      <c r="H88" s="25">
        <v>41578</v>
      </c>
      <c r="I88" s="104">
        <f t="shared" si="8"/>
        <v>2107</v>
      </c>
      <c r="J88" s="19">
        <f t="shared" si="16"/>
        <v>625</v>
      </c>
      <c r="K88" t="s">
        <v>69</v>
      </c>
      <c r="L88" s="4">
        <v>5.21</v>
      </c>
      <c r="M88" s="19">
        <f t="shared" si="11"/>
        <v>1</v>
      </c>
      <c r="N88" s="19">
        <f t="shared" si="12"/>
        <v>1</v>
      </c>
      <c r="O88" s="19">
        <f t="shared" si="13"/>
        <v>1</v>
      </c>
      <c r="P88" s="19">
        <f t="shared" si="14"/>
        <v>1</v>
      </c>
      <c r="Q88" s="4">
        <v>0</v>
      </c>
      <c r="R88" s="4">
        <v>0</v>
      </c>
      <c r="S88" s="90">
        <v>0</v>
      </c>
      <c r="T88" s="125">
        <v>0</v>
      </c>
      <c r="U88" s="125">
        <v>0</v>
      </c>
      <c r="V88" s="4">
        <v>50</v>
      </c>
      <c r="W88" s="4">
        <v>0</v>
      </c>
      <c r="X88" s="4">
        <v>2.5</v>
      </c>
      <c r="Y88" s="4">
        <v>0.35</v>
      </c>
      <c r="Z88" s="4">
        <v>3.5</v>
      </c>
      <c r="AA88" s="4">
        <v>0.35</v>
      </c>
      <c r="AB88" s="24">
        <v>0</v>
      </c>
      <c r="AC88" s="98">
        <v>0</v>
      </c>
      <c r="AD88" s="90">
        <v>0</v>
      </c>
      <c r="AE88" s="4" t="s">
        <v>67</v>
      </c>
      <c r="AF88" s="118" t="s">
        <v>42</v>
      </c>
      <c r="AG88" s="118" t="s">
        <v>330</v>
      </c>
      <c r="AI88" s="104">
        <v>2205</v>
      </c>
      <c r="AJ88">
        <v>1015</v>
      </c>
    </row>
    <row r="89" spans="2:36" hidden="1" x14ac:dyDescent="0.25">
      <c r="B89" s="24" t="s">
        <v>329</v>
      </c>
      <c r="C89" s="24">
        <v>2</v>
      </c>
      <c r="E89" s="27">
        <v>38846</v>
      </c>
      <c r="F89" s="104">
        <f t="shared" si="10"/>
        <v>2732</v>
      </c>
      <c r="G89" s="25">
        <v>41051</v>
      </c>
      <c r="H89" s="25">
        <v>41578</v>
      </c>
      <c r="I89" s="104">
        <f t="shared" si="8"/>
        <v>2205</v>
      </c>
      <c r="J89" s="19">
        <f t="shared" si="16"/>
        <v>527</v>
      </c>
      <c r="K89" t="s">
        <v>69</v>
      </c>
      <c r="L89" s="4">
        <v>5.18</v>
      </c>
      <c r="M89" s="19">
        <f t="shared" si="11"/>
        <v>0</v>
      </c>
      <c r="N89" s="19">
        <f t="shared" si="12"/>
        <v>1</v>
      </c>
      <c r="O89" s="19">
        <f t="shared" si="13"/>
        <v>1</v>
      </c>
      <c r="P89" s="19">
        <f t="shared" si="14"/>
        <v>1</v>
      </c>
      <c r="Q89" s="4">
        <v>0</v>
      </c>
      <c r="R89" s="4">
        <v>0</v>
      </c>
      <c r="S89" s="98">
        <v>0</v>
      </c>
      <c r="T89" s="125">
        <v>0</v>
      </c>
      <c r="U89" s="125">
        <v>0</v>
      </c>
      <c r="V89" s="4">
        <v>50</v>
      </c>
      <c r="W89" s="4">
        <v>0</v>
      </c>
      <c r="X89" s="4">
        <v>2.5</v>
      </c>
      <c r="Y89" s="4">
        <v>0.35</v>
      </c>
      <c r="Z89" s="4">
        <v>3.5</v>
      </c>
      <c r="AA89" s="4">
        <v>0.35</v>
      </c>
      <c r="AB89" s="24">
        <v>0</v>
      </c>
      <c r="AC89" s="98">
        <v>0</v>
      </c>
      <c r="AD89" s="90">
        <v>0</v>
      </c>
      <c r="AE89" s="4" t="s">
        <v>67</v>
      </c>
      <c r="AF89" s="118" t="s">
        <v>42</v>
      </c>
      <c r="AG89" s="118" t="s">
        <v>330</v>
      </c>
      <c r="AI89" s="104">
        <v>2401</v>
      </c>
      <c r="AJ89">
        <v>1016</v>
      </c>
    </row>
    <row r="90" spans="2:36" hidden="1" x14ac:dyDescent="0.25">
      <c r="B90" s="24" t="s">
        <v>329</v>
      </c>
      <c r="C90" s="24">
        <v>2</v>
      </c>
      <c r="E90" s="27">
        <v>38846</v>
      </c>
      <c r="F90" s="104">
        <f t="shared" si="10"/>
        <v>2732</v>
      </c>
      <c r="G90" s="25">
        <v>41247</v>
      </c>
      <c r="H90" s="25">
        <v>41578</v>
      </c>
      <c r="I90" s="104">
        <f t="shared" si="8"/>
        <v>2401</v>
      </c>
      <c r="J90" s="19">
        <f t="shared" si="16"/>
        <v>331</v>
      </c>
      <c r="K90" t="s">
        <v>69</v>
      </c>
      <c r="L90" s="4">
        <v>5.16</v>
      </c>
      <c r="M90" s="19">
        <f t="shared" si="11"/>
        <v>0</v>
      </c>
      <c r="N90" s="19">
        <f t="shared" si="12"/>
        <v>0</v>
      </c>
      <c r="O90" s="19">
        <f t="shared" si="13"/>
        <v>1</v>
      </c>
      <c r="P90" s="19">
        <f t="shared" si="14"/>
        <v>1</v>
      </c>
      <c r="Q90" s="4">
        <v>1</v>
      </c>
      <c r="R90" s="4">
        <v>0</v>
      </c>
      <c r="S90" s="90">
        <v>0</v>
      </c>
      <c r="T90" s="125">
        <v>0</v>
      </c>
      <c r="U90" s="125">
        <v>0</v>
      </c>
      <c r="V90" s="4">
        <v>50</v>
      </c>
      <c r="W90" s="4">
        <v>0</v>
      </c>
      <c r="X90" s="4">
        <v>2.5</v>
      </c>
      <c r="Y90" s="4">
        <v>0.35</v>
      </c>
      <c r="Z90" s="4">
        <v>3.5</v>
      </c>
      <c r="AA90" s="4">
        <v>0.35</v>
      </c>
      <c r="AB90" s="24">
        <v>0</v>
      </c>
      <c r="AC90" s="98">
        <v>0</v>
      </c>
      <c r="AD90" s="90">
        <v>0</v>
      </c>
      <c r="AE90" s="4" t="s">
        <v>67</v>
      </c>
      <c r="AF90" s="118" t="s">
        <v>42</v>
      </c>
      <c r="AG90" s="118" t="s">
        <v>330</v>
      </c>
      <c r="AI90" s="104">
        <v>2583</v>
      </c>
      <c r="AJ90">
        <v>1027</v>
      </c>
    </row>
    <row r="91" spans="2:36" hidden="1" x14ac:dyDescent="0.25">
      <c r="B91" s="24" t="s">
        <v>329</v>
      </c>
      <c r="C91" s="24">
        <v>2</v>
      </c>
      <c r="E91" s="27">
        <v>38846</v>
      </c>
      <c r="F91" s="104">
        <f t="shared" si="10"/>
        <v>2732</v>
      </c>
      <c r="G91" s="25">
        <v>41429</v>
      </c>
      <c r="H91" s="25">
        <v>41578</v>
      </c>
      <c r="I91" s="104">
        <f t="shared" si="8"/>
        <v>2583</v>
      </c>
      <c r="J91" s="19">
        <f t="shared" si="16"/>
        <v>149</v>
      </c>
      <c r="K91" t="s">
        <v>69</v>
      </c>
      <c r="L91" s="4">
        <v>5.16</v>
      </c>
      <c r="M91" s="19">
        <f t="shared" si="11"/>
        <v>0</v>
      </c>
      <c r="N91" s="19">
        <f t="shared" si="12"/>
        <v>0</v>
      </c>
      <c r="O91" s="19">
        <f t="shared" si="13"/>
        <v>0</v>
      </c>
      <c r="P91" s="19">
        <f t="shared" si="14"/>
        <v>1</v>
      </c>
      <c r="Q91" s="4">
        <v>1</v>
      </c>
      <c r="R91" s="4">
        <v>0</v>
      </c>
      <c r="S91" s="98">
        <v>0</v>
      </c>
      <c r="T91" s="125">
        <v>0</v>
      </c>
      <c r="U91" s="125">
        <v>0</v>
      </c>
      <c r="V91" s="4">
        <v>50</v>
      </c>
      <c r="W91" s="4">
        <v>0</v>
      </c>
      <c r="X91" s="4">
        <v>2.5</v>
      </c>
      <c r="Y91" s="4">
        <v>0.35</v>
      </c>
      <c r="Z91" s="4">
        <v>3.5</v>
      </c>
      <c r="AA91" s="4">
        <v>0.35</v>
      </c>
      <c r="AB91" s="24">
        <v>0</v>
      </c>
      <c r="AC91" s="98">
        <v>0</v>
      </c>
      <c r="AD91" s="90">
        <v>0</v>
      </c>
      <c r="AE91" s="4" t="s">
        <v>67</v>
      </c>
      <c r="AF91" s="118" t="s">
        <v>42</v>
      </c>
      <c r="AG91" s="118" t="s">
        <v>330</v>
      </c>
      <c r="AI91" s="104">
        <v>2722</v>
      </c>
      <c r="AJ91">
        <v>1029</v>
      </c>
    </row>
    <row r="92" spans="2:36" hidden="1" x14ac:dyDescent="0.25">
      <c r="B92" s="24" t="s">
        <v>329</v>
      </c>
      <c r="C92" s="24">
        <v>2</v>
      </c>
      <c r="E92" s="27">
        <v>38846</v>
      </c>
      <c r="F92" s="104">
        <f t="shared" si="10"/>
        <v>2732</v>
      </c>
      <c r="G92" s="25">
        <v>41568</v>
      </c>
      <c r="H92" s="25">
        <v>41578</v>
      </c>
      <c r="I92" s="104">
        <f t="shared" si="8"/>
        <v>2722</v>
      </c>
      <c r="J92" s="19">
        <f t="shared" si="16"/>
        <v>10</v>
      </c>
      <c r="K92" t="s">
        <v>69</v>
      </c>
      <c r="L92" s="4">
        <v>5.15</v>
      </c>
      <c r="M92" s="19">
        <f t="shared" si="11"/>
        <v>0</v>
      </c>
      <c r="N92" s="19">
        <f t="shared" si="12"/>
        <v>0</v>
      </c>
      <c r="O92" s="19">
        <f t="shared" si="13"/>
        <v>0</v>
      </c>
      <c r="P92" s="19">
        <f t="shared" si="14"/>
        <v>0</v>
      </c>
      <c r="Q92" s="4">
        <v>0</v>
      </c>
      <c r="R92" s="4">
        <v>0</v>
      </c>
      <c r="S92" s="90">
        <v>0</v>
      </c>
      <c r="T92" s="125">
        <v>0</v>
      </c>
      <c r="U92" s="125">
        <v>0</v>
      </c>
      <c r="V92" s="4">
        <v>50</v>
      </c>
      <c r="W92" s="4">
        <v>0</v>
      </c>
      <c r="X92" s="4">
        <v>2.5</v>
      </c>
      <c r="Y92" s="4">
        <v>0.35</v>
      </c>
      <c r="Z92" s="4">
        <v>3.5</v>
      </c>
      <c r="AA92" s="4">
        <v>0.35</v>
      </c>
      <c r="AB92" s="24">
        <v>0</v>
      </c>
      <c r="AC92" s="98">
        <v>0</v>
      </c>
      <c r="AD92" s="90">
        <v>0</v>
      </c>
      <c r="AE92" s="4" t="s">
        <v>67</v>
      </c>
      <c r="AF92" s="118" t="s">
        <v>42</v>
      </c>
      <c r="AG92" s="118" t="s">
        <v>330</v>
      </c>
      <c r="AI92" s="104">
        <v>2732</v>
      </c>
      <c r="AJ92">
        <v>1030</v>
      </c>
    </row>
    <row r="93" spans="2:36" hidden="1" x14ac:dyDescent="0.25">
      <c r="B93" s="24" t="s">
        <v>329</v>
      </c>
      <c r="C93" s="24">
        <v>2</v>
      </c>
      <c r="E93" s="27">
        <v>38846</v>
      </c>
      <c r="F93" s="104">
        <f t="shared" si="10"/>
        <v>2732</v>
      </c>
      <c r="G93" s="25">
        <v>41578</v>
      </c>
      <c r="H93" s="25">
        <v>41578</v>
      </c>
      <c r="I93" s="104">
        <f t="shared" si="8"/>
        <v>2732</v>
      </c>
      <c r="J93" s="19">
        <f t="shared" si="16"/>
        <v>0</v>
      </c>
      <c r="K93" t="s">
        <v>69</v>
      </c>
      <c r="L93" s="4">
        <v>5.15</v>
      </c>
      <c r="M93" s="19">
        <f t="shared" si="11"/>
        <v>0</v>
      </c>
      <c r="N93" s="19">
        <f t="shared" si="12"/>
        <v>0</v>
      </c>
      <c r="O93" s="19">
        <f t="shared" si="13"/>
        <v>0</v>
      </c>
      <c r="P93" s="19">
        <f t="shared" si="14"/>
        <v>0</v>
      </c>
      <c r="Q93" s="4">
        <v>0</v>
      </c>
      <c r="R93" s="4">
        <v>0</v>
      </c>
      <c r="S93" s="98">
        <v>0</v>
      </c>
      <c r="T93" s="125">
        <v>0</v>
      </c>
      <c r="U93" s="125">
        <v>0</v>
      </c>
      <c r="V93" s="4">
        <v>50</v>
      </c>
      <c r="W93" s="4">
        <v>0</v>
      </c>
      <c r="X93" s="4">
        <v>2.5</v>
      </c>
      <c r="Y93" s="4">
        <v>0.35</v>
      </c>
      <c r="Z93" s="4">
        <v>3.5</v>
      </c>
      <c r="AA93" s="4">
        <v>0.35</v>
      </c>
      <c r="AB93" s="24">
        <v>0</v>
      </c>
      <c r="AC93" s="98">
        <v>0</v>
      </c>
      <c r="AD93" s="90">
        <v>0</v>
      </c>
      <c r="AE93" s="4" t="s">
        <v>67</v>
      </c>
      <c r="AF93" s="118" t="s">
        <v>42</v>
      </c>
      <c r="AG93" s="118" t="s">
        <v>330</v>
      </c>
      <c r="AI93" s="104">
        <v>1945</v>
      </c>
      <c r="AJ93">
        <v>1036</v>
      </c>
    </row>
    <row r="94" spans="2:36" hidden="1" x14ac:dyDescent="0.25">
      <c r="B94" s="24" t="s">
        <v>211</v>
      </c>
      <c r="C94" s="24">
        <v>2</v>
      </c>
      <c r="E94" s="27">
        <v>38882</v>
      </c>
      <c r="F94" s="104">
        <f t="shared" si="10"/>
        <v>2441</v>
      </c>
      <c r="G94" s="23">
        <v>40827</v>
      </c>
      <c r="H94" s="25">
        <v>41323</v>
      </c>
      <c r="I94" s="104">
        <f t="shared" si="8"/>
        <v>1945</v>
      </c>
      <c r="J94" s="19">
        <f t="shared" si="16"/>
        <v>496</v>
      </c>
      <c r="K94" t="s">
        <v>69</v>
      </c>
      <c r="L94" s="24">
        <v>5.15</v>
      </c>
      <c r="M94" s="19">
        <f t="shared" si="11"/>
        <v>0</v>
      </c>
      <c r="N94" s="19">
        <f t="shared" si="12"/>
        <v>1</v>
      </c>
      <c r="O94" s="19">
        <f t="shared" si="13"/>
        <v>1</v>
      </c>
      <c r="P94" s="19">
        <f t="shared" si="14"/>
        <v>1</v>
      </c>
      <c r="Q94" s="24">
        <v>2</v>
      </c>
      <c r="R94" s="24">
        <v>0</v>
      </c>
      <c r="S94" s="24">
        <v>0</v>
      </c>
      <c r="T94" s="129">
        <v>1</v>
      </c>
      <c r="U94" s="129">
        <v>0</v>
      </c>
      <c r="V94" s="4">
        <v>50</v>
      </c>
      <c r="W94" s="24">
        <v>0</v>
      </c>
      <c r="X94" s="24">
        <v>2</v>
      </c>
      <c r="Y94" s="24">
        <v>0.35</v>
      </c>
      <c r="Z94" s="24">
        <v>2</v>
      </c>
      <c r="AA94" s="24">
        <v>0.35</v>
      </c>
      <c r="AB94" s="24">
        <v>0</v>
      </c>
      <c r="AC94" s="24">
        <v>0</v>
      </c>
      <c r="AD94" s="24">
        <v>0</v>
      </c>
      <c r="AE94" s="24" t="s">
        <v>67</v>
      </c>
      <c r="AF94" s="114" t="s">
        <v>45</v>
      </c>
      <c r="AG94" s="114" t="s">
        <v>69</v>
      </c>
      <c r="AI94" s="104">
        <v>2141</v>
      </c>
      <c r="AJ94">
        <v>1041</v>
      </c>
    </row>
    <row r="95" spans="2:36" hidden="1" x14ac:dyDescent="0.25">
      <c r="B95" s="24" t="s">
        <v>211</v>
      </c>
      <c r="C95" s="24">
        <v>2</v>
      </c>
      <c r="E95" s="27">
        <v>38882</v>
      </c>
      <c r="F95" s="104">
        <f t="shared" si="10"/>
        <v>2441</v>
      </c>
      <c r="G95" s="25">
        <v>41023</v>
      </c>
      <c r="H95" s="25">
        <v>41323</v>
      </c>
      <c r="I95" s="104">
        <f t="shared" si="8"/>
        <v>2141</v>
      </c>
      <c r="J95" s="19">
        <f t="shared" si="16"/>
        <v>300</v>
      </c>
      <c r="K95" t="s">
        <v>69</v>
      </c>
      <c r="L95" s="4">
        <v>5.15</v>
      </c>
      <c r="M95" s="19">
        <f t="shared" si="11"/>
        <v>0</v>
      </c>
      <c r="N95" s="19">
        <f t="shared" si="12"/>
        <v>0</v>
      </c>
      <c r="O95" s="19">
        <f t="shared" si="13"/>
        <v>1</v>
      </c>
      <c r="P95" s="19">
        <f t="shared" si="14"/>
        <v>1</v>
      </c>
      <c r="Q95" s="4">
        <v>2</v>
      </c>
      <c r="R95" s="24">
        <v>0</v>
      </c>
      <c r="S95" s="98">
        <v>0</v>
      </c>
      <c r="T95" s="129">
        <v>0</v>
      </c>
      <c r="U95" s="129">
        <v>0</v>
      </c>
      <c r="V95" s="4">
        <v>50</v>
      </c>
      <c r="W95" s="24">
        <v>0</v>
      </c>
      <c r="X95" s="24">
        <v>2</v>
      </c>
      <c r="Y95" s="24">
        <v>0.35</v>
      </c>
      <c r="Z95" s="24">
        <v>2</v>
      </c>
      <c r="AA95" s="24">
        <v>0.35</v>
      </c>
      <c r="AB95" s="24">
        <v>0</v>
      </c>
      <c r="AC95" s="98">
        <v>0</v>
      </c>
      <c r="AD95" s="24">
        <v>0</v>
      </c>
      <c r="AE95" s="24" t="s">
        <v>67</v>
      </c>
      <c r="AF95" s="114" t="s">
        <v>42</v>
      </c>
      <c r="AG95" s="114" t="s">
        <v>69</v>
      </c>
      <c r="AI95" s="104">
        <v>2330</v>
      </c>
      <c r="AJ95">
        <v>1042</v>
      </c>
    </row>
    <row r="96" spans="2:36" hidden="1" x14ac:dyDescent="0.25">
      <c r="B96" s="24" t="s">
        <v>211</v>
      </c>
      <c r="C96" s="24">
        <v>2</v>
      </c>
      <c r="E96" s="27">
        <v>38882</v>
      </c>
      <c r="F96" s="104">
        <f t="shared" si="10"/>
        <v>2441</v>
      </c>
      <c r="G96" s="25">
        <v>41212</v>
      </c>
      <c r="H96" s="25">
        <v>41323</v>
      </c>
      <c r="I96" s="104">
        <f t="shared" si="8"/>
        <v>2330</v>
      </c>
      <c r="J96" s="19">
        <f t="shared" si="16"/>
        <v>111</v>
      </c>
      <c r="K96" t="s">
        <v>69</v>
      </c>
      <c r="L96" s="4">
        <v>5.13</v>
      </c>
      <c r="M96" s="19">
        <f t="shared" si="11"/>
        <v>0</v>
      </c>
      <c r="N96" s="19">
        <f t="shared" si="12"/>
        <v>0</v>
      </c>
      <c r="O96" s="19">
        <f t="shared" si="13"/>
        <v>0</v>
      </c>
      <c r="P96" s="19">
        <f t="shared" si="14"/>
        <v>1</v>
      </c>
      <c r="Q96" s="4">
        <v>1</v>
      </c>
      <c r="R96" s="4">
        <v>0</v>
      </c>
      <c r="S96" s="24">
        <v>0</v>
      </c>
      <c r="T96" s="129">
        <v>0</v>
      </c>
      <c r="U96" s="129">
        <v>0</v>
      </c>
      <c r="V96" s="4">
        <v>50</v>
      </c>
      <c r="W96" s="24">
        <v>0</v>
      </c>
      <c r="X96" s="24">
        <v>2</v>
      </c>
      <c r="Y96" s="24">
        <v>0.35</v>
      </c>
      <c r="Z96" s="24">
        <v>2</v>
      </c>
      <c r="AA96" s="24">
        <v>0.35</v>
      </c>
      <c r="AB96" s="24">
        <v>0</v>
      </c>
      <c r="AC96" s="98">
        <v>0</v>
      </c>
      <c r="AD96" s="24">
        <v>0</v>
      </c>
      <c r="AE96" s="24" t="s">
        <v>67</v>
      </c>
      <c r="AF96" s="114" t="s">
        <v>42</v>
      </c>
      <c r="AG96" s="114" t="s">
        <v>69</v>
      </c>
      <c r="AI96" s="104">
        <v>2441</v>
      </c>
      <c r="AJ96">
        <v>1043</v>
      </c>
    </row>
    <row r="97" spans="2:36" hidden="1" x14ac:dyDescent="0.25">
      <c r="B97" s="24" t="s">
        <v>211</v>
      </c>
      <c r="C97" s="24">
        <v>2</v>
      </c>
      <c r="E97" s="27">
        <v>38882</v>
      </c>
      <c r="F97" s="104">
        <f t="shared" si="10"/>
        <v>2441</v>
      </c>
      <c r="G97" s="25">
        <v>41323</v>
      </c>
      <c r="H97" s="25">
        <v>41323</v>
      </c>
      <c r="I97" s="104">
        <f t="shared" si="8"/>
        <v>2441</v>
      </c>
      <c r="J97" s="19">
        <f t="shared" si="16"/>
        <v>0</v>
      </c>
      <c r="K97" t="s">
        <v>69</v>
      </c>
      <c r="L97" s="4">
        <v>5.07</v>
      </c>
      <c r="M97" s="19">
        <f t="shared" si="11"/>
        <v>0</v>
      </c>
      <c r="N97" s="19">
        <f t="shared" si="12"/>
        <v>0</v>
      </c>
      <c r="O97" s="19">
        <f t="shared" si="13"/>
        <v>0</v>
      </c>
      <c r="P97" s="19">
        <f t="shared" si="14"/>
        <v>0</v>
      </c>
      <c r="Q97" s="4">
        <v>5</v>
      </c>
      <c r="R97" s="4">
        <v>0</v>
      </c>
      <c r="S97" s="98">
        <v>0</v>
      </c>
      <c r="T97" s="129">
        <v>0</v>
      </c>
      <c r="U97" s="129">
        <v>0</v>
      </c>
      <c r="V97" s="4">
        <v>50</v>
      </c>
      <c r="W97" s="24">
        <v>0</v>
      </c>
      <c r="X97" s="24">
        <v>2</v>
      </c>
      <c r="Y97" s="24">
        <v>0.35</v>
      </c>
      <c r="Z97" s="24">
        <v>2</v>
      </c>
      <c r="AA97" s="24">
        <v>0.35</v>
      </c>
      <c r="AB97" s="24">
        <v>0</v>
      </c>
      <c r="AC97" s="98">
        <v>0</v>
      </c>
      <c r="AD97" s="24">
        <v>0</v>
      </c>
      <c r="AE97" s="24" t="s">
        <v>67</v>
      </c>
      <c r="AF97" s="114" t="s">
        <v>42</v>
      </c>
      <c r="AG97" s="114" t="s">
        <v>69</v>
      </c>
      <c r="AI97" s="104">
        <v>1819</v>
      </c>
      <c r="AJ97">
        <v>1050</v>
      </c>
    </row>
    <row r="98" spans="2:36" x14ac:dyDescent="0.25">
      <c r="B98" s="4" t="s">
        <v>44</v>
      </c>
      <c r="C98" s="4">
        <v>2</v>
      </c>
      <c r="E98" s="13">
        <v>38903</v>
      </c>
      <c r="F98" s="104">
        <f t="shared" si="10"/>
        <v>3047</v>
      </c>
      <c r="G98" s="13">
        <v>40722</v>
      </c>
      <c r="H98" s="13">
        <v>41950</v>
      </c>
      <c r="I98" s="104">
        <f t="shared" si="8"/>
        <v>1819</v>
      </c>
      <c r="J98" s="19">
        <f t="shared" si="16"/>
        <v>1228</v>
      </c>
      <c r="K98" s="83" t="s">
        <v>65</v>
      </c>
      <c r="L98" s="4">
        <v>4.87</v>
      </c>
      <c r="M98" s="19">
        <f t="shared" si="11"/>
        <v>1</v>
      </c>
      <c r="N98" s="19">
        <f t="shared" si="12"/>
        <v>1</v>
      </c>
      <c r="O98" s="19">
        <f t="shared" si="13"/>
        <v>1</v>
      </c>
      <c r="P98" s="19">
        <f t="shared" si="14"/>
        <v>1</v>
      </c>
      <c r="Q98" s="4">
        <v>12</v>
      </c>
      <c r="R98" s="4">
        <v>5</v>
      </c>
      <c r="S98" s="24">
        <v>0</v>
      </c>
      <c r="T98" s="125">
        <v>0</v>
      </c>
      <c r="U98" s="125">
        <v>0</v>
      </c>
      <c r="V98" s="4">
        <v>60</v>
      </c>
      <c r="W98" s="4">
        <v>0</v>
      </c>
      <c r="X98" s="4">
        <v>2.5</v>
      </c>
      <c r="Y98" s="4">
        <v>0.35</v>
      </c>
      <c r="Z98" s="4">
        <v>2.5</v>
      </c>
      <c r="AA98" s="4">
        <v>0.35</v>
      </c>
      <c r="AB98" s="24">
        <v>0</v>
      </c>
      <c r="AC98" s="98">
        <v>0</v>
      </c>
      <c r="AD98" s="24">
        <v>0</v>
      </c>
      <c r="AE98" s="4" t="s">
        <v>47</v>
      </c>
      <c r="AF98" s="118" t="s">
        <v>42</v>
      </c>
      <c r="AG98" s="118" t="s">
        <v>48</v>
      </c>
      <c r="AI98" s="104">
        <v>1938</v>
      </c>
      <c r="AJ98">
        <v>1050</v>
      </c>
    </row>
    <row r="99" spans="2:36" x14ac:dyDescent="0.25">
      <c r="B99" s="4" t="s">
        <v>44</v>
      </c>
      <c r="C99" s="4">
        <v>2</v>
      </c>
      <c r="E99" s="13">
        <v>38903</v>
      </c>
      <c r="F99" s="104">
        <f t="shared" si="10"/>
        <v>3047</v>
      </c>
      <c r="G99" s="79">
        <v>40841</v>
      </c>
      <c r="H99" s="79">
        <v>41950</v>
      </c>
      <c r="I99" s="104">
        <f t="shared" si="8"/>
        <v>1938</v>
      </c>
      <c r="J99" s="19">
        <f t="shared" si="16"/>
        <v>1109</v>
      </c>
      <c r="K99" s="83" t="s">
        <v>65</v>
      </c>
      <c r="L99" s="92">
        <v>4.62</v>
      </c>
      <c r="M99" s="19">
        <f t="shared" si="11"/>
        <v>1</v>
      </c>
      <c r="N99" s="19">
        <f t="shared" si="12"/>
        <v>1</v>
      </c>
      <c r="O99" s="19">
        <f t="shared" si="13"/>
        <v>1</v>
      </c>
      <c r="P99" s="19">
        <f t="shared" si="14"/>
        <v>1</v>
      </c>
      <c r="Q99" s="92">
        <v>19</v>
      </c>
      <c r="R99" s="92">
        <v>12</v>
      </c>
      <c r="S99" s="98">
        <v>0</v>
      </c>
      <c r="T99" s="134">
        <v>0</v>
      </c>
      <c r="U99" s="134">
        <v>0</v>
      </c>
      <c r="V99" s="4">
        <v>60</v>
      </c>
      <c r="W99" s="92">
        <v>0</v>
      </c>
      <c r="X99" s="92">
        <v>2.5</v>
      </c>
      <c r="Y99" s="92">
        <v>0.35</v>
      </c>
      <c r="Z99" s="92">
        <v>2.5</v>
      </c>
      <c r="AA99" s="92">
        <v>0.35</v>
      </c>
      <c r="AB99" s="83">
        <v>0</v>
      </c>
      <c r="AC99" s="98">
        <v>0</v>
      </c>
      <c r="AD99" s="83">
        <v>0</v>
      </c>
      <c r="AE99" s="92" t="s">
        <v>47</v>
      </c>
      <c r="AF99" s="117"/>
      <c r="AG99" s="119" t="s">
        <v>48</v>
      </c>
      <c r="AI99" s="104">
        <v>2078</v>
      </c>
      <c r="AJ99">
        <v>1057</v>
      </c>
    </row>
    <row r="100" spans="2:36" x14ac:dyDescent="0.25">
      <c r="B100" s="4" t="s">
        <v>44</v>
      </c>
      <c r="C100" s="4">
        <v>2</v>
      </c>
      <c r="E100" s="13">
        <v>38903</v>
      </c>
      <c r="F100" s="104">
        <f t="shared" si="10"/>
        <v>3047</v>
      </c>
      <c r="G100" s="13">
        <v>40981</v>
      </c>
      <c r="H100" s="13">
        <v>41950</v>
      </c>
      <c r="I100" s="104">
        <f t="shared" si="8"/>
        <v>2078</v>
      </c>
      <c r="J100" s="19">
        <f t="shared" si="16"/>
        <v>969</v>
      </c>
      <c r="K100" s="83" t="s">
        <v>65</v>
      </c>
      <c r="L100" s="4">
        <v>6.3</v>
      </c>
      <c r="M100" s="19">
        <f t="shared" si="11"/>
        <v>1</v>
      </c>
      <c r="N100" s="19">
        <f t="shared" si="12"/>
        <v>1</v>
      </c>
      <c r="O100" s="19">
        <f t="shared" si="13"/>
        <v>1</v>
      </c>
      <c r="P100" s="19">
        <f t="shared" si="14"/>
        <v>1</v>
      </c>
      <c r="Q100" s="4">
        <v>2</v>
      </c>
      <c r="R100" s="4">
        <v>0</v>
      </c>
      <c r="S100" s="24">
        <v>0</v>
      </c>
      <c r="T100" s="125">
        <v>1</v>
      </c>
      <c r="U100" s="125">
        <v>0</v>
      </c>
      <c r="V100" s="4">
        <v>60</v>
      </c>
      <c r="W100" s="4">
        <v>0</v>
      </c>
      <c r="X100" s="4">
        <v>3</v>
      </c>
      <c r="Y100" s="4">
        <v>0.35</v>
      </c>
      <c r="Z100" s="4">
        <v>2</v>
      </c>
      <c r="AA100" s="4">
        <v>0.35</v>
      </c>
      <c r="AB100" s="90">
        <v>0</v>
      </c>
      <c r="AC100" s="98">
        <v>0</v>
      </c>
      <c r="AD100" s="90">
        <v>0</v>
      </c>
      <c r="AE100" s="4" t="s">
        <v>47</v>
      </c>
      <c r="AF100" s="118" t="s">
        <v>45</v>
      </c>
      <c r="AG100" s="118" t="s">
        <v>48</v>
      </c>
      <c r="AI100" s="104">
        <v>2141</v>
      </c>
      <c r="AJ100">
        <v>1057</v>
      </c>
    </row>
    <row r="101" spans="2:36" x14ac:dyDescent="0.25">
      <c r="B101" s="4" t="s">
        <v>44</v>
      </c>
      <c r="C101" s="4">
        <v>2</v>
      </c>
      <c r="E101" s="13">
        <v>38903</v>
      </c>
      <c r="F101" s="104">
        <f t="shared" si="10"/>
        <v>3047</v>
      </c>
      <c r="G101" s="13">
        <v>41044</v>
      </c>
      <c r="H101" s="13">
        <v>41950</v>
      </c>
      <c r="I101" s="104">
        <f t="shared" si="8"/>
        <v>2141</v>
      </c>
      <c r="J101" s="19">
        <f t="shared" si="16"/>
        <v>906</v>
      </c>
      <c r="K101" s="83" t="s">
        <v>65</v>
      </c>
      <c r="L101" s="4">
        <v>6.24</v>
      </c>
      <c r="M101" s="19">
        <f t="shared" si="11"/>
        <v>1</v>
      </c>
      <c r="N101" s="19">
        <f t="shared" si="12"/>
        <v>1</v>
      </c>
      <c r="O101" s="19">
        <f t="shared" si="13"/>
        <v>1</v>
      </c>
      <c r="P101" s="19">
        <f t="shared" si="14"/>
        <v>1</v>
      </c>
      <c r="Q101" s="4">
        <v>1</v>
      </c>
      <c r="R101" s="4">
        <v>0</v>
      </c>
      <c r="S101" s="98">
        <v>0</v>
      </c>
      <c r="T101" s="125">
        <v>0</v>
      </c>
      <c r="U101" s="125">
        <v>0</v>
      </c>
      <c r="V101" s="4">
        <v>60</v>
      </c>
      <c r="W101" s="4">
        <v>0</v>
      </c>
      <c r="X101" s="4">
        <v>3</v>
      </c>
      <c r="Y101" s="4">
        <v>0.35</v>
      </c>
      <c r="Z101" s="4">
        <v>2</v>
      </c>
      <c r="AA101" s="4">
        <v>0.35</v>
      </c>
      <c r="AB101" s="90">
        <v>0</v>
      </c>
      <c r="AC101" s="98">
        <v>0</v>
      </c>
      <c r="AD101" s="90">
        <v>0</v>
      </c>
      <c r="AE101" s="4" t="s">
        <v>47</v>
      </c>
      <c r="AF101" s="118" t="s">
        <v>42</v>
      </c>
      <c r="AG101" s="118" t="s">
        <v>48</v>
      </c>
      <c r="AI101" s="104">
        <v>2330</v>
      </c>
      <c r="AJ101">
        <v>1064</v>
      </c>
    </row>
    <row r="102" spans="2:36" x14ac:dyDescent="0.25">
      <c r="B102" s="4" t="s">
        <v>44</v>
      </c>
      <c r="C102" s="4">
        <v>2</v>
      </c>
      <c r="E102" s="13">
        <v>38903</v>
      </c>
      <c r="F102" s="104">
        <f t="shared" si="10"/>
        <v>3047</v>
      </c>
      <c r="G102" s="13">
        <v>41233</v>
      </c>
      <c r="H102" s="13">
        <v>41950</v>
      </c>
      <c r="I102" s="104">
        <f t="shared" si="8"/>
        <v>2330</v>
      </c>
      <c r="J102" s="19">
        <f t="shared" si="16"/>
        <v>717</v>
      </c>
      <c r="K102" s="83" t="s">
        <v>65</v>
      </c>
      <c r="L102" s="4">
        <v>6.05</v>
      </c>
      <c r="M102" s="19">
        <f t="shared" si="11"/>
        <v>1</v>
      </c>
      <c r="N102" s="19">
        <f t="shared" si="12"/>
        <v>1</v>
      </c>
      <c r="O102" s="19">
        <f t="shared" si="13"/>
        <v>1</v>
      </c>
      <c r="P102" s="19">
        <f t="shared" si="14"/>
        <v>1</v>
      </c>
      <c r="Q102" s="4">
        <v>2</v>
      </c>
      <c r="R102" s="4">
        <v>0</v>
      </c>
      <c r="S102" s="24">
        <v>0</v>
      </c>
      <c r="T102" s="125">
        <v>0</v>
      </c>
      <c r="U102" s="125">
        <v>0</v>
      </c>
      <c r="V102" s="4">
        <v>60</v>
      </c>
      <c r="W102" s="4">
        <v>0</v>
      </c>
      <c r="X102" s="4">
        <v>3</v>
      </c>
      <c r="Y102" s="4">
        <v>0.35</v>
      </c>
      <c r="Z102" s="4">
        <v>2</v>
      </c>
      <c r="AA102" s="4">
        <v>0.35</v>
      </c>
      <c r="AB102" s="90">
        <v>0</v>
      </c>
      <c r="AC102" s="98">
        <v>0</v>
      </c>
      <c r="AD102" s="90">
        <v>0</v>
      </c>
      <c r="AE102" s="4" t="s">
        <v>47</v>
      </c>
      <c r="AF102" s="118" t="s">
        <v>42</v>
      </c>
      <c r="AG102" s="118" t="s">
        <v>48</v>
      </c>
      <c r="AI102" s="104">
        <v>2420</v>
      </c>
      <c r="AJ102">
        <v>1071</v>
      </c>
    </row>
    <row r="103" spans="2:36" x14ac:dyDescent="0.25">
      <c r="B103" s="4" t="s">
        <v>44</v>
      </c>
      <c r="C103" s="4">
        <v>2</v>
      </c>
      <c r="E103" s="13">
        <v>38903</v>
      </c>
      <c r="F103" s="104">
        <f t="shared" si="10"/>
        <v>3047</v>
      </c>
      <c r="G103" s="13">
        <v>41323</v>
      </c>
      <c r="H103" s="13">
        <v>41950</v>
      </c>
      <c r="I103" s="104">
        <f t="shared" si="8"/>
        <v>2420</v>
      </c>
      <c r="J103" s="19">
        <f t="shared" si="16"/>
        <v>627</v>
      </c>
      <c r="K103" s="83" t="s">
        <v>65</v>
      </c>
      <c r="L103" s="4">
        <v>5.93</v>
      </c>
      <c r="M103" s="19">
        <f t="shared" si="11"/>
        <v>1</v>
      </c>
      <c r="N103" s="19">
        <f t="shared" si="12"/>
        <v>1</v>
      </c>
      <c r="O103" s="19">
        <f t="shared" si="13"/>
        <v>1</v>
      </c>
      <c r="P103" s="19">
        <f t="shared" si="14"/>
        <v>1</v>
      </c>
      <c r="Q103" s="4">
        <v>2</v>
      </c>
      <c r="R103" s="4">
        <v>0</v>
      </c>
      <c r="S103" s="98">
        <v>0</v>
      </c>
      <c r="T103" s="125">
        <v>0</v>
      </c>
      <c r="U103" s="125">
        <v>0</v>
      </c>
      <c r="V103" s="4">
        <v>60</v>
      </c>
      <c r="W103" s="4">
        <v>0</v>
      </c>
      <c r="X103" s="4">
        <v>3</v>
      </c>
      <c r="Y103" s="4">
        <v>0.35</v>
      </c>
      <c r="Z103" s="4">
        <v>2</v>
      </c>
      <c r="AA103" s="4">
        <v>0.35</v>
      </c>
      <c r="AB103" s="90">
        <v>0</v>
      </c>
      <c r="AC103" s="98">
        <v>0</v>
      </c>
      <c r="AD103" s="90">
        <v>0</v>
      </c>
      <c r="AE103" s="4" t="s">
        <v>47</v>
      </c>
      <c r="AF103" s="118" t="s">
        <v>42</v>
      </c>
      <c r="AG103" s="118" t="s">
        <v>48</v>
      </c>
      <c r="AI103" s="104">
        <v>2617</v>
      </c>
      <c r="AJ103">
        <v>1079</v>
      </c>
    </row>
    <row r="104" spans="2:36" x14ac:dyDescent="0.25">
      <c r="B104" s="4" t="s">
        <v>44</v>
      </c>
      <c r="C104" s="4">
        <v>2</v>
      </c>
      <c r="E104" s="13">
        <v>38903</v>
      </c>
      <c r="F104" s="104">
        <f t="shared" si="10"/>
        <v>3047</v>
      </c>
      <c r="G104" s="13">
        <v>41520</v>
      </c>
      <c r="H104" s="13">
        <v>41950</v>
      </c>
      <c r="I104" s="104">
        <f t="shared" si="8"/>
        <v>2617</v>
      </c>
      <c r="J104" s="19">
        <f t="shared" si="16"/>
        <v>430</v>
      </c>
      <c r="K104" s="83" t="s">
        <v>65</v>
      </c>
      <c r="L104" s="4">
        <v>5.64</v>
      </c>
      <c r="M104" s="19">
        <f t="shared" si="11"/>
        <v>0</v>
      </c>
      <c r="N104" s="19">
        <f t="shared" si="12"/>
        <v>1</v>
      </c>
      <c r="O104" s="19">
        <f t="shared" si="13"/>
        <v>1</v>
      </c>
      <c r="P104" s="19">
        <f t="shared" si="14"/>
        <v>1</v>
      </c>
      <c r="Q104" s="4">
        <v>2</v>
      </c>
      <c r="R104" s="4">
        <v>0</v>
      </c>
      <c r="S104" s="24">
        <v>0</v>
      </c>
      <c r="T104" s="125">
        <v>0</v>
      </c>
      <c r="U104" s="125">
        <v>0</v>
      </c>
      <c r="V104" s="4">
        <v>60</v>
      </c>
      <c r="W104" s="4">
        <v>0</v>
      </c>
      <c r="X104" s="4">
        <v>3</v>
      </c>
      <c r="Y104" s="4">
        <v>0.35</v>
      </c>
      <c r="Z104" s="4">
        <v>2</v>
      </c>
      <c r="AA104" s="4">
        <v>0.35</v>
      </c>
      <c r="AB104" s="90">
        <v>0</v>
      </c>
      <c r="AC104" s="98">
        <v>0</v>
      </c>
      <c r="AD104" s="90">
        <v>0</v>
      </c>
      <c r="AE104" s="4" t="s">
        <v>47</v>
      </c>
      <c r="AF104" s="118" t="s">
        <v>42</v>
      </c>
      <c r="AG104" s="118" t="s">
        <v>48</v>
      </c>
      <c r="AI104" s="104">
        <v>2869</v>
      </c>
      <c r="AJ104">
        <v>1085</v>
      </c>
    </row>
    <row r="105" spans="2:36" x14ac:dyDescent="0.25">
      <c r="B105" s="4" t="s">
        <v>44</v>
      </c>
      <c r="C105" s="4">
        <v>2</v>
      </c>
      <c r="E105" s="13">
        <v>38903</v>
      </c>
      <c r="F105" s="104">
        <f t="shared" si="10"/>
        <v>3047</v>
      </c>
      <c r="G105" s="23">
        <v>41772</v>
      </c>
      <c r="H105" s="13">
        <v>41950</v>
      </c>
      <c r="I105" s="104">
        <f t="shared" si="8"/>
        <v>2869</v>
      </c>
      <c r="J105" s="19">
        <f t="shared" si="16"/>
        <v>178</v>
      </c>
      <c r="K105" s="83" t="s">
        <v>65</v>
      </c>
      <c r="L105" s="24">
        <v>5.27</v>
      </c>
      <c r="M105" s="19">
        <f t="shared" si="11"/>
        <v>0</v>
      </c>
      <c r="N105" s="19">
        <f t="shared" si="12"/>
        <v>0</v>
      </c>
      <c r="O105" s="19">
        <f t="shared" si="13"/>
        <v>0</v>
      </c>
      <c r="P105" s="19">
        <f t="shared" si="14"/>
        <v>1</v>
      </c>
      <c r="Q105" s="24">
        <v>1</v>
      </c>
      <c r="R105" s="24">
        <v>0</v>
      </c>
      <c r="S105" s="98">
        <v>0</v>
      </c>
      <c r="T105" s="128">
        <v>0</v>
      </c>
      <c r="U105" s="128">
        <v>0</v>
      </c>
      <c r="V105" s="4">
        <v>60</v>
      </c>
      <c r="W105" s="4">
        <v>0</v>
      </c>
      <c r="X105" s="4">
        <v>3</v>
      </c>
      <c r="Y105" s="4">
        <v>0.35</v>
      </c>
      <c r="Z105" s="4">
        <v>2</v>
      </c>
      <c r="AA105" s="4">
        <v>0.35</v>
      </c>
      <c r="AB105" s="4">
        <v>0</v>
      </c>
      <c r="AC105" s="98">
        <v>0</v>
      </c>
      <c r="AD105" s="90">
        <v>0</v>
      </c>
      <c r="AE105" s="4" t="s">
        <v>47</v>
      </c>
      <c r="AG105" s="118" t="s">
        <v>48</v>
      </c>
      <c r="AI105" s="104">
        <v>3047</v>
      </c>
      <c r="AJ105">
        <v>1092</v>
      </c>
    </row>
    <row r="106" spans="2:36" x14ac:dyDescent="0.25">
      <c r="B106" s="4" t="s">
        <v>44</v>
      </c>
      <c r="C106" s="4">
        <v>2</v>
      </c>
      <c r="E106" s="13">
        <v>38903</v>
      </c>
      <c r="F106" s="104">
        <f t="shared" si="10"/>
        <v>3047</v>
      </c>
      <c r="G106" s="13">
        <v>41950</v>
      </c>
      <c r="H106" s="13">
        <v>41950</v>
      </c>
      <c r="I106" s="104">
        <f t="shared" si="8"/>
        <v>3047</v>
      </c>
      <c r="J106" s="19">
        <f t="shared" si="16"/>
        <v>0</v>
      </c>
      <c r="K106" s="83" t="s">
        <v>65</v>
      </c>
      <c r="L106" s="4">
        <v>5.18</v>
      </c>
      <c r="M106" s="19">
        <f t="shared" si="11"/>
        <v>0</v>
      </c>
      <c r="N106" s="19">
        <f t="shared" si="12"/>
        <v>0</v>
      </c>
      <c r="O106" s="19">
        <f t="shared" si="13"/>
        <v>0</v>
      </c>
      <c r="P106" s="19">
        <f t="shared" si="14"/>
        <v>0</v>
      </c>
      <c r="Q106" s="4">
        <v>1</v>
      </c>
      <c r="R106" s="4">
        <v>0</v>
      </c>
      <c r="S106" s="24">
        <v>0</v>
      </c>
      <c r="T106" s="125">
        <v>0</v>
      </c>
      <c r="U106" s="125">
        <v>1</v>
      </c>
      <c r="V106" s="4">
        <v>60</v>
      </c>
      <c r="W106" s="4">
        <v>0</v>
      </c>
      <c r="X106" s="4">
        <v>3</v>
      </c>
      <c r="Y106" s="4">
        <v>0.35</v>
      </c>
      <c r="Z106" s="4">
        <v>2</v>
      </c>
      <c r="AA106" s="4">
        <v>0.35</v>
      </c>
      <c r="AB106" s="90">
        <v>0</v>
      </c>
      <c r="AC106" s="98">
        <v>0</v>
      </c>
      <c r="AD106" s="90">
        <v>0</v>
      </c>
      <c r="AE106" s="4" t="s">
        <v>47</v>
      </c>
      <c r="AF106" s="118" t="s">
        <v>46</v>
      </c>
      <c r="AG106" s="118" t="s">
        <v>48</v>
      </c>
      <c r="AI106" s="104">
        <v>1315</v>
      </c>
      <c r="AJ106">
        <v>1100</v>
      </c>
    </row>
    <row r="107" spans="2:36" x14ac:dyDescent="0.25">
      <c r="B107" s="24" t="s">
        <v>267</v>
      </c>
      <c r="C107" s="24">
        <v>2</v>
      </c>
      <c r="E107" s="27">
        <v>38903</v>
      </c>
      <c r="F107" s="104">
        <f t="shared" si="10"/>
        <v>1944</v>
      </c>
      <c r="G107" s="25">
        <v>40218</v>
      </c>
      <c r="H107" s="25">
        <v>40847</v>
      </c>
      <c r="I107" s="104">
        <f t="shared" si="8"/>
        <v>1315</v>
      </c>
      <c r="J107" s="19">
        <f t="shared" si="16"/>
        <v>629</v>
      </c>
      <c r="K107" s="83" t="s">
        <v>65</v>
      </c>
      <c r="L107" s="24">
        <v>5.14</v>
      </c>
      <c r="M107" s="19">
        <f t="shared" si="11"/>
        <v>1</v>
      </c>
      <c r="N107" s="19">
        <f t="shared" si="12"/>
        <v>1</v>
      </c>
      <c r="O107" s="19">
        <f t="shared" si="13"/>
        <v>1</v>
      </c>
      <c r="P107" s="19">
        <f t="shared" si="14"/>
        <v>1</v>
      </c>
      <c r="Q107" s="24">
        <v>11</v>
      </c>
      <c r="R107" s="24">
        <v>9</v>
      </c>
      <c r="S107" s="24">
        <v>0</v>
      </c>
      <c r="T107" s="127">
        <v>0</v>
      </c>
      <c r="U107" s="127">
        <v>0</v>
      </c>
      <c r="V107" s="4">
        <v>60</v>
      </c>
      <c r="W107" s="24">
        <v>0</v>
      </c>
      <c r="X107" s="24">
        <v>2.5</v>
      </c>
      <c r="Y107" s="24">
        <v>0.35</v>
      </c>
      <c r="Z107" s="24">
        <v>2.5</v>
      </c>
      <c r="AA107" s="24">
        <v>0.35</v>
      </c>
      <c r="AB107" s="24">
        <v>0</v>
      </c>
      <c r="AC107" s="24">
        <v>0</v>
      </c>
      <c r="AD107" s="24">
        <v>0</v>
      </c>
      <c r="AE107" s="24" t="s">
        <v>47</v>
      </c>
      <c r="AF107" s="138" t="s">
        <v>42</v>
      </c>
      <c r="AG107" s="114" t="s">
        <v>268</v>
      </c>
      <c r="AI107" s="104">
        <v>1756</v>
      </c>
      <c r="AJ107">
        <v>1110</v>
      </c>
    </row>
    <row r="108" spans="2:36" x14ac:dyDescent="0.25">
      <c r="B108" s="24" t="s">
        <v>267</v>
      </c>
      <c r="C108" s="24">
        <v>2</v>
      </c>
      <c r="E108" s="27">
        <v>38903</v>
      </c>
      <c r="F108" s="104">
        <f t="shared" si="10"/>
        <v>1944</v>
      </c>
      <c r="G108" s="25">
        <v>40659</v>
      </c>
      <c r="H108" s="25">
        <v>40847</v>
      </c>
      <c r="I108" s="104">
        <f t="shared" si="8"/>
        <v>1756</v>
      </c>
      <c r="J108" s="19">
        <f t="shared" si="16"/>
        <v>188</v>
      </c>
      <c r="K108" s="83" t="s">
        <v>65</v>
      </c>
      <c r="L108" s="4">
        <v>4.97</v>
      </c>
      <c r="M108" s="19">
        <f t="shared" si="11"/>
        <v>0</v>
      </c>
      <c r="N108" s="19">
        <f t="shared" si="12"/>
        <v>0</v>
      </c>
      <c r="O108" s="19">
        <f t="shared" si="13"/>
        <v>1</v>
      </c>
      <c r="P108" s="19">
        <f t="shared" si="14"/>
        <v>1</v>
      </c>
      <c r="Q108" s="4">
        <v>10</v>
      </c>
      <c r="R108" s="4">
        <v>4</v>
      </c>
      <c r="S108" s="24">
        <v>0</v>
      </c>
      <c r="T108" s="125">
        <v>0</v>
      </c>
      <c r="U108" s="125">
        <v>0</v>
      </c>
      <c r="V108" s="4">
        <v>60</v>
      </c>
      <c r="W108" s="24">
        <v>0</v>
      </c>
      <c r="X108" s="24">
        <v>2.5</v>
      </c>
      <c r="Y108" s="24">
        <v>0.35</v>
      </c>
      <c r="Z108" s="24">
        <v>2.5</v>
      </c>
      <c r="AA108" s="24">
        <v>0.35</v>
      </c>
      <c r="AB108" s="24">
        <v>0</v>
      </c>
      <c r="AC108" s="98">
        <v>0</v>
      </c>
      <c r="AD108" s="24">
        <v>0</v>
      </c>
      <c r="AE108" s="24" t="s">
        <v>47</v>
      </c>
      <c r="AF108" s="118" t="s">
        <v>42</v>
      </c>
      <c r="AG108" s="114" t="s">
        <v>268</v>
      </c>
      <c r="AI108" s="104">
        <v>1944</v>
      </c>
      <c r="AJ108">
        <v>1131</v>
      </c>
    </row>
    <row r="109" spans="2:36" x14ac:dyDescent="0.25">
      <c r="B109" s="24" t="s">
        <v>267</v>
      </c>
      <c r="C109" s="24">
        <v>2</v>
      </c>
      <c r="E109" s="27">
        <v>38903</v>
      </c>
      <c r="F109" s="104">
        <f t="shared" si="10"/>
        <v>1944</v>
      </c>
      <c r="G109" s="89">
        <v>40847</v>
      </c>
      <c r="H109" s="89">
        <v>40847</v>
      </c>
      <c r="I109" s="104">
        <f t="shared" si="8"/>
        <v>1944</v>
      </c>
      <c r="J109" s="19">
        <f t="shared" si="16"/>
        <v>0</v>
      </c>
      <c r="K109" s="83" t="s">
        <v>65</v>
      </c>
      <c r="L109" s="92">
        <v>4.55</v>
      </c>
      <c r="M109" s="19">
        <f t="shared" si="11"/>
        <v>0</v>
      </c>
      <c r="N109" s="19">
        <f t="shared" si="12"/>
        <v>0</v>
      </c>
      <c r="O109" s="19">
        <f t="shared" si="13"/>
        <v>0</v>
      </c>
      <c r="P109" s="19">
        <f t="shared" si="14"/>
        <v>0</v>
      </c>
      <c r="Q109" s="92">
        <v>18</v>
      </c>
      <c r="R109" s="92">
        <v>9</v>
      </c>
      <c r="S109" s="83">
        <v>0</v>
      </c>
      <c r="T109" s="126">
        <v>0</v>
      </c>
      <c r="U109" s="126">
        <v>0</v>
      </c>
      <c r="V109" s="4">
        <v>60</v>
      </c>
      <c r="W109" s="83">
        <v>0</v>
      </c>
      <c r="X109" s="83">
        <v>2.5</v>
      </c>
      <c r="Y109" s="83">
        <v>0.35</v>
      </c>
      <c r="Z109" s="83">
        <v>2.5</v>
      </c>
      <c r="AA109" s="83">
        <v>0.35</v>
      </c>
      <c r="AB109" s="83">
        <v>0</v>
      </c>
      <c r="AC109" s="98">
        <v>0</v>
      </c>
      <c r="AD109" s="83">
        <v>0</v>
      </c>
      <c r="AE109" s="83" t="s">
        <v>47</v>
      </c>
      <c r="AF109" s="119" t="s">
        <v>42</v>
      </c>
      <c r="AG109" s="116" t="s">
        <v>268</v>
      </c>
      <c r="AI109" s="104">
        <v>903</v>
      </c>
      <c r="AJ109">
        <v>1134</v>
      </c>
    </row>
    <row r="110" spans="2:36" x14ac:dyDescent="0.25">
      <c r="B110" s="24" t="s">
        <v>75</v>
      </c>
      <c r="C110" s="24">
        <v>2</v>
      </c>
      <c r="E110" s="27">
        <v>39231</v>
      </c>
      <c r="F110" s="104">
        <f t="shared" si="10"/>
        <v>2561</v>
      </c>
      <c r="G110" s="25">
        <v>40134</v>
      </c>
      <c r="H110" s="25">
        <v>41792</v>
      </c>
      <c r="I110" s="104">
        <f t="shared" si="8"/>
        <v>903</v>
      </c>
      <c r="J110" s="19">
        <f t="shared" si="16"/>
        <v>1658</v>
      </c>
      <c r="K110" s="83" t="s">
        <v>65</v>
      </c>
      <c r="L110" s="24">
        <v>6.05</v>
      </c>
      <c r="M110" s="19">
        <f t="shared" si="11"/>
        <v>1</v>
      </c>
      <c r="N110" s="19">
        <f t="shared" si="12"/>
        <v>1</v>
      </c>
      <c r="O110" s="19">
        <f t="shared" si="13"/>
        <v>1</v>
      </c>
      <c r="P110" s="19">
        <f t="shared" si="14"/>
        <v>1</v>
      </c>
      <c r="Q110" s="24">
        <v>8</v>
      </c>
      <c r="R110" s="24">
        <v>0</v>
      </c>
      <c r="S110" s="24">
        <v>0</v>
      </c>
      <c r="T110" s="127">
        <v>1</v>
      </c>
      <c r="U110" s="127">
        <v>0</v>
      </c>
      <c r="V110" s="4">
        <v>60</v>
      </c>
      <c r="W110" s="24">
        <v>0</v>
      </c>
      <c r="X110" s="24">
        <v>2</v>
      </c>
      <c r="Y110" s="24">
        <v>0.35</v>
      </c>
      <c r="Z110" s="24">
        <v>2.5</v>
      </c>
      <c r="AA110" s="24">
        <v>0.35</v>
      </c>
      <c r="AB110" s="24">
        <v>0</v>
      </c>
      <c r="AC110" s="24">
        <v>0</v>
      </c>
      <c r="AD110" s="24">
        <v>0</v>
      </c>
      <c r="AE110" s="24" t="s">
        <v>47</v>
      </c>
      <c r="AF110" s="138" t="s">
        <v>45</v>
      </c>
      <c r="AG110" s="114" t="s">
        <v>285</v>
      </c>
      <c r="AI110" s="104">
        <v>1085</v>
      </c>
      <c r="AJ110">
        <v>1147</v>
      </c>
    </row>
    <row r="111" spans="2:36" x14ac:dyDescent="0.25">
      <c r="B111" s="24" t="s">
        <v>75</v>
      </c>
      <c r="C111" s="24">
        <v>2</v>
      </c>
      <c r="E111" s="27">
        <v>39231</v>
      </c>
      <c r="F111" s="104">
        <f t="shared" si="10"/>
        <v>2561</v>
      </c>
      <c r="G111" s="25">
        <v>40316</v>
      </c>
      <c r="H111" s="25">
        <v>41792</v>
      </c>
      <c r="I111" s="104">
        <f t="shared" si="8"/>
        <v>1085</v>
      </c>
      <c r="J111" s="19">
        <f t="shared" si="16"/>
        <v>1476</v>
      </c>
      <c r="K111" s="83" t="s">
        <v>65</v>
      </c>
      <c r="L111" s="4">
        <v>5.91</v>
      </c>
      <c r="M111" s="19">
        <f t="shared" si="11"/>
        <v>1</v>
      </c>
      <c r="N111" s="19">
        <f t="shared" si="12"/>
        <v>1</v>
      </c>
      <c r="O111" s="19">
        <f t="shared" si="13"/>
        <v>1</v>
      </c>
      <c r="P111" s="19">
        <f t="shared" si="14"/>
        <v>1</v>
      </c>
      <c r="Q111" s="4">
        <v>5</v>
      </c>
      <c r="R111" s="4">
        <v>0</v>
      </c>
      <c r="S111" s="24">
        <v>0</v>
      </c>
      <c r="T111" s="125">
        <v>0</v>
      </c>
      <c r="U111" s="125">
        <v>0</v>
      </c>
      <c r="V111" s="4">
        <v>60</v>
      </c>
      <c r="W111" s="24">
        <v>0</v>
      </c>
      <c r="X111" s="24">
        <v>2</v>
      </c>
      <c r="Y111" s="24">
        <v>0.35</v>
      </c>
      <c r="Z111" s="24">
        <v>2.5</v>
      </c>
      <c r="AA111" s="24">
        <v>0.35</v>
      </c>
      <c r="AB111" s="24">
        <v>0</v>
      </c>
      <c r="AC111" s="98">
        <v>0</v>
      </c>
      <c r="AD111" s="24">
        <v>0</v>
      </c>
      <c r="AE111" s="24" t="s">
        <v>47</v>
      </c>
      <c r="AF111" s="118" t="s">
        <v>42</v>
      </c>
      <c r="AG111" s="114" t="s">
        <v>285</v>
      </c>
      <c r="AI111" s="104">
        <v>1499</v>
      </c>
      <c r="AJ111">
        <v>1153</v>
      </c>
    </row>
    <row r="112" spans="2:36" x14ac:dyDescent="0.25">
      <c r="B112" s="4" t="s">
        <v>75</v>
      </c>
      <c r="C112" s="4">
        <v>2</v>
      </c>
      <c r="E112" s="13">
        <v>39231</v>
      </c>
      <c r="F112" s="104">
        <f t="shared" si="10"/>
        <v>2561</v>
      </c>
      <c r="G112" s="13">
        <v>40730</v>
      </c>
      <c r="H112" s="25">
        <v>41792</v>
      </c>
      <c r="I112" s="104">
        <f t="shared" si="8"/>
        <v>1499</v>
      </c>
      <c r="J112" s="19">
        <f t="shared" si="16"/>
        <v>1062</v>
      </c>
      <c r="K112" s="83" t="s">
        <v>65</v>
      </c>
      <c r="L112" s="4">
        <v>5.26</v>
      </c>
      <c r="M112" s="19">
        <f t="shared" si="11"/>
        <v>1</v>
      </c>
      <c r="N112" s="19">
        <f t="shared" si="12"/>
        <v>1</v>
      </c>
      <c r="O112" s="19">
        <f t="shared" si="13"/>
        <v>1</v>
      </c>
      <c r="P112" s="19">
        <f t="shared" si="14"/>
        <v>1</v>
      </c>
      <c r="Q112" s="4">
        <v>3</v>
      </c>
      <c r="R112" s="4">
        <v>0</v>
      </c>
      <c r="S112" s="24">
        <v>0</v>
      </c>
      <c r="T112" s="128">
        <v>0</v>
      </c>
      <c r="U112" s="128">
        <v>0</v>
      </c>
      <c r="V112" s="4">
        <v>60</v>
      </c>
      <c r="W112" s="4">
        <v>0</v>
      </c>
      <c r="X112" s="4">
        <v>2</v>
      </c>
      <c r="Y112" s="4">
        <v>0.35</v>
      </c>
      <c r="Z112" s="4">
        <v>2.5</v>
      </c>
      <c r="AA112" s="4">
        <v>0.35</v>
      </c>
      <c r="AB112" s="24">
        <v>0</v>
      </c>
      <c r="AC112" s="98">
        <v>0</v>
      </c>
      <c r="AD112" s="24">
        <v>0</v>
      </c>
      <c r="AE112" s="4" t="s">
        <v>47</v>
      </c>
      <c r="AG112" s="118" t="s">
        <v>43</v>
      </c>
      <c r="AI112" s="104">
        <v>1709</v>
      </c>
      <c r="AJ112">
        <v>1162</v>
      </c>
    </row>
    <row r="113" spans="2:36" x14ac:dyDescent="0.25">
      <c r="B113" s="4" t="s">
        <v>75</v>
      </c>
      <c r="C113" s="4">
        <v>2</v>
      </c>
      <c r="E113" s="13">
        <v>39231</v>
      </c>
      <c r="F113" s="104">
        <f t="shared" si="10"/>
        <v>2561</v>
      </c>
      <c r="G113" s="13">
        <v>40940</v>
      </c>
      <c r="H113" s="25">
        <v>41792</v>
      </c>
      <c r="I113" s="104">
        <f t="shared" si="8"/>
        <v>1709</v>
      </c>
      <c r="J113" s="19">
        <f t="shared" si="16"/>
        <v>852</v>
      </c>
      <c r="K113" s="83" t="s">
        <v>65</v>
      </c>
      <c r="L113" s="4">
        <v>5.18</v>
      </c>
      <c r="M113" s="19">
        <f t="shared" si="11"/>
        <v>1</v>
      </c>
      <c r="N113" s="19">
        <f t="shared" si="12"/>
        <v>1</v>
      </c>
      <c r="O113" s="19">
        <f t="shared" si="13"/>
        <v>1</v>
      </c>
      <c r="P113" s="19">
        <f t="shared" si="14"/>
        <v>1</v>
      </c>
      <c r="Q113" s="4">
        <v>10</v>
      </c>
      <c r="R113" s="4">
        <v>0</v>
      </c>
      <c r="S113" s="24">
        <v>0</v>
      </c>
      <c r="T113" s="128">
        <v>0</v>
      </c>
      <c r="U113" s="128">
        <v>0</v>
      </c>
      <c r="V113" s="4">
        <v>60</v>
      </c>
      <c r="W113" s="4">
        <v>0</v>
      </c>
      <c r="X113" s="4">
        <v>2</v>
      </c>
      <c r="Y113" s="4">
        <v>0.35</v>
      </c>
      <c r="Z113" s="4">
        <v>2.5</v>
      </c>
      <c r="AA113" s="4">
        <v>0.35</v>
      </c>
      <c r="AB113" s="24">
        <v>0</v>
      </c>
      <c r="AC113" s="98">
        <v>0</v>
      </c>
      <c r="AD113" s="24">
        <v>0</v>
      </c>
      <c r="AE113" s="4" t="s">
        <v>47</v>
      </c>
      <c r="AG113" s="118" t="s">
        <v>43</v>
      </c>
      <c r="AI113" s="104">
        <v>1890</v>
      </c>
      <c r="AJ113">
        <v>1162</v>
      </c>
    </row>
    <row r="114" spans="2:36" x14ac:dyDescent="0.25">
      <c r="B114" s="4" t="s">
        <v>75</v>
      </c>
      <c r="C114" s="4">
        <v>2</v>
      </c>
      <c r="E114" s="13">
        <v>39231</v>
      </c>
      <c r="F114" s="104">
        <f t="shared" si="10"/>
        <v>2561</v>
      </c>
      <c r="G114" s="13">
        <v>41121</v>
      </c>
      <c r="H114" s="25">
        <v>41792</v>
      </c>
      <c r="I114" s="104">
        <f t="shared" si="8"/>
        <v>1890</v>
      </c>
      <c r="J114" s="19">
        <f t="shared" si="16"/>
        <v>671</v>
      </c>
      <c r="K114" s="83" t="s">
        <v>65</v>
      </c>
      <c r="L114" s="4">
        <v>5.16</v>
      </c>
      <c r="M114" s="19">
        <f t="shared" si="11"/>
        <v>1</v>
      </c>
      <c r="N114" s="19">
        <f t="shared" si="12"/>
        <v>1</v>
      </c>
      <c r="O114" s="19">
        <f t="shared" si="13"/>
        <v>1</v>
      </c>
      <c r="P114" s="19">
        <f t="shared" si="14"/>
        <v>1</v>
      </c>
      <c r="Q114" s="4">
        <v>16</v>
      </c>
      <c r="R114" s="4">
        <v>0</v>
      </c>
      <c r="S114" s="24">
        <v>0</v>
      </c>
      <c r="T114" s="128">
        <v>0</v>
      </c>
      <c r="U114" s="128">
        <v>0</v>
      </c>
      <c r="V114" s="4">
        <v>60</v>
      </c>
      <c r="W114" s="4">
        <v>0</v>
      </c>
      <c r="X114" s="4">
        <v>2</v>
      </c>
      <c r="Y114" s="4">
        <v>0.35</v>
      </c>
      <c r="Z114" s="4">
        <v>2.5</v>
      </c>
      <c r="AA114" s="4">
        <v>0.35</v>
      </c>
      <c r="AB114" s="24">
        <v>0</v>
      </c>
      <c r="AC114" s="98">
        <v>0</v>
      </c>
      <c r="AD114" s="24">
        <v>0</v>
      </c>
      <c r="AE114" s="4" t="s">
        <v>47</v>
      </c>
      <c r="AG114" s="118" t="s">
        <v>43</v>
      </c>
      <c r="AI114" s="104">
        <v>2093</v>
      </c>
      <c r="AJ114">
        <v>1169</v>
      </c>
    </row>
    <row r="115" spans="2:36" x14ac:dyDescent="0.25">
      <c r="B115" s="4" t="s">
        <v>75</v>
      </c>
      <c r="C115" s="4">
        <v>2</v>
      </c>
      <c r="E115" s="13">
        <v>39231</v>
      </c>
      <c r="F115" s="104">
        <f t="shared" si="10"/>
        <v>2561</v>
      </c>
      <c r="G115" s="13">
        <v>41324</v>
      </c>
      <c r="H115" s="25">
        <v>41792</v>
      </c>
      <c r="I115" s="104">
        <f t="shared" si="8"/>
        <v>2093</v>
      </c>
      <c r="J115" s="19">
        <f t="shared" si="16"/>
        <v>468</v>
      </c>
      <c r="K115" s="83" t="s">
        <v>65</v>
      </c>
      <c r="L115" s="4">
        <v>5.14</v>
      </c>
      <c r="M115" s="19">
        <f t="shared" si="11"/>
        <v>0</v>
      </c>
      <c r="N115" s="19">
        <f t="shared" si="12"/>
        <v>1</v>
      </c>
      <c r="O115" s="19">
        <f t="shared" si="13"/>
        <v>1</v>
      </c>
      <c r="P115" s="19">
        <f t="shared" si="14"/>
        <v>1</v>
      </c>
      <c r="Q115" s="4">
        <v>28</v>
      </c>
      <c r="R115" s="4">
        <v>1</v>
      </c>
      <c r="S115" s="24">
        <v>0</v>
      </c>
      <c r="T115" s="128">
        <v>1</v>
      </c>
      <c r="U115" s="128">
        <v>0</v>
      </c>
      <c r="V115" s="4">
        <v>60</v>
      </c>
      <c r="W115" s="4">
        <v>0</v>
      </c>
      <c r="X115" s="4">
        <v>2</v>
      </c>
      <c r="Y115" s="4">
        <v>0.35</v>
      </c>
      <c r="Z115" s="4">
        <v>2.5</v>
      </c>
      <c r="AA115" s="4">
        <v>0.35</v>
      </c>
      <c r="AB115" s="24">
        <v>0</v>
      </c>
      <c r="AC115" s="98">
        <v>0</v>
      </c>
      <c r="AD115" s="24">
        <v>0</v>
      </c>
      <c r="AE115" s="4" t="s">
        <v>47</v>
      </c>
      <c r="AF115" s="141" t="s">
        <v>45</v>
      </c>
      <c r="AG115" s="118" t="s">
        <v>43</v>
      </c>
      <c r="AI115" s="104">
        <v>2191</v>
      </c>
      <c r="AJ115">
        <v>1180</v>
      </c>
    </row>
    <row r="116" spans="2:36" x14ac:dyDescent="0.25">
      <c r="B116" s="4" t="s">
        <v>75</v>
      </c>
      <c r="C116" s="4">
        <v>2</v>
      </c>
      <c r="E116" s="13">
        <v>39231</v>
      </c>
      <c r="F116" s="104">
        <f t="shared" si="10"/>
        <v>2561</v>
      </c>
      <c r="G116" s="13">
        <v>41422</v>
      </c>
      <c r="H116" s="25">
        <v>41792</v>
      </c>
      <c r="I116" s="104">
        <f t="shared" si="8"/>
        <v>2191</v>
      </c>
      <c r="J116" s="19">
        <f t="shared" si="16"/>
        <v>370</v>
      </c>
      <c r="K116" s="83" t="s">
        <v>65</v>
      </c>
      <c r="L116" s="4">
        <v>5.14</v>
      </c>
      <c r="M116" s="19">
        <f t="shared" si="11"/>
        <v>0</v>
      </c>
      <c r="N116" s="19">
        <f t="shared" si="12"/>
        <v>1</v>
      </c>
      <c r="O116" s="19">
        <f t="shared" si="13"/>
        <v>1</v>
      </c>
      <c r="P116" s="19">
        <f t="shared" si="14"/>
        <v>1</v>
      </c>
      <c r="Q116" s="4">
        <v>24</v>
      </c>
      <c r="R116" s="4">
        <v>0</v>
      </c>
      <c r="S116" s="24">
        <v>0</v>
      </c>
      <c r="T116" s="128">
        <v>0</v>
      </c>
      <c r="U116" s="128">
        <v>0</v>
      </c>
      <c r="V116" s="4">
        <v>60</v>
      </c>
      <c r="W116" s="4">
        <v>0</v>
      </c>
      <c r="X116" s="4">
        <v>2</v>
      </c>
      <c r="Y116" s="4">
        <v>0.35</v>
      </c>
      <c r="Z116" s="4">
        <v>2.5</v>
      </c>
      <c r="AA116" s="4">
        <v>0.35</v>
      </c>
      <c r="AB116" s="24">
        <v>0</v>
      </c>
      <c r="AC116" s="98">
        <v>0</v>
      </c>
      <c r="AD116" s="24">
        <v>0</v>
      </c>
      <c r="AE116" s="4" t="s">
        <v>47</v>
      </c>
      <c r="AG116" s="118" t="s">
        <v>43</v>
      </c>
      <c r="AI116" s="104">
        <v>2268</v>
      </c>
      <c r="AJ116">
        <v>1183</v>
      </c>
    </row>
    <row r="117" spans="2:36" x14ac:dyDescent="0.25">
      <c r="B117" s="4" t="s">
        <v>75</v>
      </c>
      <c r="C117" s="4">
        <v>2</v>
      </c>
      <c r="E117" s="13">
        <v>39231</v>
      </c>
      <c r="F117" s="104">
        <f t="shared" si="10"/>
        <v>2561</v>
      </c>
      <c r="G117" s="13">
        <v>41499</v>
      </c>
      <c r="H117" s="25">
        <v>41792</v>
      </c>
      <c r="I117" s="104">
        <f t="shared" si="8"/>
        <v>2268</v>
      </c>
      <c r="J117" s="19">
        <f t="shared" si="16"/>
        <v>293</v>
      </c>
      <c r="K117" s="83" t="s">
        <v>65</v>
      </c>
      <c r="L117" s="4">
        <v>5.12</v>
      </c>
      <c r="M117" s="19">
        <f t="shared" si="11"/>
        <v>0</v>
      </c>
      <c r="N117" s="19">
        <f t="shared" si="12"/>
        <v>0</v>
      </c>
      <c r="O117" s="19">
        <f t="shared" si="13"/>
        <v>1</v>
      </c>
      <c r="P117" s="19">
        <f t="shared" si="14"/>
        <v>1</v>
      </c>
      <c r="Q117" s="4">
        <v>24</v>
      </c>
      <c r="R117" s="4">
        <v>0</v>
      </c>
      <c r="S117" s="24">
        <v>0</v>
      </c>
      <c r="T117" s="128">
        <v>0</v>
      </c>
      <c r="U117" s="128">
        <v>0</v>
      </c>
      <c r="V117" s="4">
        <v>60</v>
      </c>
      <c r="W117" s="4">
        <v>0</v>
      </c>
      <c r="X117" s="4">
        <v>2</v>
      </c>
      <c r="Y117" s="4">
        <v>0.35</v>
      </c>
      <c r="Z117" s="4">
        <v>2.5</v>
      </c>
      <c r="AA117" s="4">
        <v>0.35</v>
      </c>
      <c r="AB117" s="24">
        <v>0</v>
      </c>
      <c r="AC117" s="98">
        <v>0</v>
      </c>
      <c r="AD117" s="24">
        <v>0</v>
      </c>
      <c r="AE117" s="4" t="s">
        <v>47</v>
      </c>
      <c r="AG117" s="118" t="s">
        <v>43</v>
      </c>
      <c r="AI117" s="104">
        <v>2466</v>
      </c>
      <c r="AJ117">
        <v>1216</v>
      </c>
    </row>
    <row r="118" spans="2:36" x14ac:dyDescent="0.25">
      <c r="B118" s="4" t="s">
        <v>75</v>
      </c>
      <c r="C118" s="4">
        <v>2</v>
      </c>
      <c r="E118" s="13">
        <v>39231</v>
      </c>
      <c r="F118" s="104">
        <f t="shared" si="10"/>
        <v>2561</v>
      </c>
      <c r="G118" s="13">
        <v>41697</v>
      </c>
      <c r="H118" s="25">
        <v>41792</v>
      </c>
      <c r="I118" s="104">
        <f t="shared" si="8"/>
        <v>2466</v>
      </c>
      <c r="J118" s="19">
        <f t="shared" si="16"/>
        <v>95</v>
      </c>
      <c r="K118" s="83" t="s">
        <v>65</v>
      </c>
      <c r="L118" s="4">
        <v>5.04</v>
      </c>
      <c r="M118" s="19">
        <f t="shared" si="11"/>
        <v>0</v>
      </c>
      <c r="N118" s="19">
        <f t="shared" si="12"/>
        <v>0</v>
      </c>
      <c r="O118" s="19">
        <f t="shared" si="13"/>
        <v>0</v>
      </c>
      <c r="P118" s="19">
        <f t="shared" si="14"/>
        <v>1</v>
      </c>
      <c r="Q118" s="4">
        <v>25</v>
      </c>
      <c r="R118" s="4">
        <v>2</v>
      </c>
      <c r="S118" s="24">
        <v>0</v>
      </c>
      <c r="T118" s="128">
        <v>0</v>
      </c>
      <c r="U118" s="128">
        <v>0</v>
      </c>
      <c r="V118" s="4">
        <v>60</v>
      </c>
      <c r="W118" s="4">
        <v>0</v>
      </c>
      <c r="X118" s="4">
        <v>2</v>
      </c>
      <c r="Y118" s="4">
        <v>0.35</v>
      </c>
      <c r="Z118" s="4">
        <v>2.5</v>
      </c>
      <c r="AA118" s="4">
        <v>0.35</v>
      </c>
      <c r="AB118" s="24">
        <v>0</v>
      </c>
      <c r="AC118" s="98">
        <v>0</v>
      </c>
      <c r="AD118" s="24">
        <v>0</v>
      </c>
      <c r="AE118" s="4" t="s">
        <v>47</v>
      </c>
      <c r="AG118" s="118" t="s">
        <v>43</v>
      </c>
      <c r="AI118" s="104">
        <v>2519</v>
      </c>
      <c r="AJ118">
        <v>1217</v>
      </c>
    </row>
    <row r="119" spans="2:36" x14ac:dyDescent="0.25">
      <c r="B119" s="4" t="s">
        <v>75</v>
      </c>
      <c r="C119" s="4">
        <v>2</v>
      </c>
      <c r="E119" s="13">
        <v>39231</v>
      </c>
      <c r="F119" s="104">
        <f t="shared" si="10"/>
        <v>2561</v>
      </c>
      <c r="G119" s="27">
        <v>41750</v>
      </c>
      <c r="H119" s="25">
        <v>41792</v>
      </c>
      <c r="I119" s="104">
        <f t="shared" si="8"/>
        <v>2519</v>
      </c>
      <c r="J119" s="19">
        <f t="shared" si="16"/>
        <v>42</v>
      </c>
      <c r="K119" s="83" t="s">
        <v>65</v>
      </c>
      <c r="L119" s="24">
        <v>4.97</v>
      </c>
      <c r="M119" s="19">
        <f t="shared" si="11"/>
        <v>0</v>
      </c>
      <c r="N119" s="19">
        <f t="shared" si="12"/>
        <v>0</v>
      </c>
      <c r="O119" s="19">
        <f t="shared" si="13"/>
        <v>0</v>
      </c>
      <c r="P119" s="19">
        <f t="shared" si="14"/>
        <v>0</v>
      </c>
      <c r="Q119" s="24">
        <v>20</v>
      </c>
      <c r="R119" s="24">
        <v>0</v>
      </c>
      <c r="S119" s="24">
        <v>0</v>
      </c>
      <c r="T119" s="128">
        <v>0</v>
      </c>
      <c r="U119" s="128">
        <v>0</v>
      </c>
      <c r="V119" s="4">
        <v>60</v>
      </c>
      <c r="W119" s="4">
        <v>0</v>
      </c>
      <c r="X119" s="4">
        <v>2</v>
      </c>
      <c r="Y119" s="4">
        <v>0.35</v>
      </c>
      <c r="Z119" s="4">
        <v>2.5</v>
      </c>
      <c r="AA119" s="4">
        <v>0.35</v>
      </c>
      <c r="AB119" s="24">
        <v>0</v>
      </c>
      <c r="AC119" s="98">
        <v>0</v>
      </c>
      <c r="AD119" s="24">
        <v>0</v>
      </c>
      <c r="AE119" s="4" t="s">
        <v>47</v>
      </c>
      <c r="AG119" s="118" t="s">
        <v>43</v>
      </c>
      <c r="AI119" s="104">
        <v>2561</v>
      </c>
      <c r="AJ119">
        <v>1218</v>
      </c>
    </row>
    <row r="120" spans="2:36" x14ac:dyDescent="0.25">
      <c r="B120" s="4" t="s">
        <v>75</v>
      </c>
      <c r="C120" s="4">
        <v>2</v>
      </c>
      <c r="E120" s="13">
        <v>39231</v>
      </c>
      <c r="F120" s="104">
        <f t="shared" si="10"/>
        <v>2561</v>
      </c>
      <c r="G120" s="25">
        <v>41792</v>
      </c>
      <c r="H120" s="25">
        <v>41792</v>
      </c>
      <c r="I120" s="104">
        <f t="shared" si="8"/>
        <v>2561</v>
      </c>
      <c r="J120" s="19">
        <f t="shared" si="16"/>
        <v>0</v>
      </c>
      <c r="K120" s="83" t="s">
        <v>65</v>
      </c>
      <c r="L120" s="4">
        <v>4.87</v>
      </c>
      <c r="M120" s="19">
        <f t="shared" si="11"/>
        <v>0</v>
      </c>
      <c r="N120" s="19">
        <f t="shared" si="12"/>
        <v>0</v>
      </c>
      <c r="O120" s="19">
        <f t="shared" si="13"/>
        <v>0</v>
      </c>
      <c r="P120" s="19">
        <f t="shared" si="14"/>
        <v>0</v>
      </c>
      <c r="Q120" s="4">
        <v>19</v>
      </c>
      <c r="R120" s="4">
        <v>0</v>
      </c>
      <c r="S120" s="24">
        <v>0</v>
      </c>
      <c r="T120" s="128">
        <v>0</v>
      </c>
      <c r="U120" s="128">
        <v>0</v>
      </c>
      <c r="V120" s="4">
        <v>60</v>
      </c>
      <c r="W120" s="4">
        <v>0</v>
      </c>
      <c r="X120" s="4">
        <v>2</v>
      </c>
      <c r="Y120" s="4">
        <v>0.35</v>
      </c>
      <c r="Z120" s="4">
        <v>2.5</v>
      </c>
      <c r="AA120" s="4">
        <v>0.35</v>
      </c>
      <c r="AB120" s="24">
        <v>0</v>
      </c>
      <c r="AC120" s="98">
        <v>0</v>
      </c>
      <c r="AD120" s="24">
        <v>0</v>
      </c>
      <c r="AE120" s="4" t="s">
        <v>47</v>
      </c>
      <c r="AG120" s="118" t="s">
        <v>43</v>
      </c>
      <c r="AI120" s="104">
        <v>1652</v>
      </c>
      <c r="AJ120">
        <v>1218</v>
      </c>
    </row>
    <row r="121" spans="2:36" hidden="1" x14ac:dyDescent="0.25">
      <c r="B121" s="24" t="s">
        <v>199</v>
      </c>
      <c r="C121" s="24">
        <v>2</v>
      </c>
      <c r="E121" s="27">
        <v>39042</v>
      </c>
      <c r="F121" s="104">
        <f t="shared" si="10"/>
        <v>2905</v>
      </c>
      <c r="G121" s="23">
        <v>40694</v>
      </c>
      <c r="H121" s="25">
        <v>41947</v>
      </c>
      <c r="I121" s="104">
        <f t="shared" si="8"/>
        <v>1652</v>
      </c>
      <c r="J121" s="19">
        <f t="shared" si="16"/>
        <v>1253</v>
      </c>
      <c r="K121" t="s">
        <v>69</v>
      </c>
      <c r="L121" s="24">
        <v>5.73</v>
      </c>
      <c r="M121" s="19">
        <f t="shared" si="11"/>
        <v>1</v>
      </c>
      <c r="N121" s="19">
        <f t="shared" si="12"/>
        <v>1</v>
      </c>
      <c r="O121" s="19">
        <f t="shared" si="13"/>
        <v>1</v>
      </c>
      <c r="P121" s="19">
        <f t="shared" si="14"/>
        <v>1</v>
      </c>
      <c r="Q121" s="24">
        <v>0</v>
      </c>
      <c r="R121" s="24">
        <v>0</v>
      </c>
      <c r="S121" s="24">
        <v>0</v>
      </c>
      <c r="T121" s="129">
        <v>0</v>
      </c>
      <c r="U121" s="129">
        <v>0</v>
      </c>
      <c r="V121" s="24">
        <v>50</v>
      </c>
      <c r="W121" s="24">
        <v>0</v>
      </c>
      <c r="X121" s="24">
        <v>0</v>
      </c>
      <c r="Y121" s="24">
        <v>0</v>
      </c>
      <c r="Z121" s="24">
        <v>3.5</v>
      </c>
      <c r="AA121" s="24">
        <v>0.35</v>
      </c>
      <c r="AB121" s="24">
        <v>0</v>
      </c>
      <c r="AC121" s="24">
        <v>0</v>
      </c>
      <c r="AD121" s="24">
        <v>0</v>
      </c>
      <c r="AE121" s="24">
        <v>50</v>
      </c>
      <c r="AF121" s="114" t="s">
        <v>42</v>
      </c>
      <c r="AG121" s="114" t="s">
        <v>200</v>
      </c>
      <c r="AI121" s="104">
        <v>1883</v>
      </c>
      <c r="AJ121">
        <v>1220</v>
      </c>
    </row>
    <row r="122" spans="2:36" hidden="1" x14ac:dyDescent="0.25">
      <c r="B122" s="24" t="s">
        <v>199</v>
      </c>
      <c r="C122" s="24">
        <v>2</v>
      </c>
      <c r="E122" s="27">
        <v>39042</v>
      </c>
      <c r="F122" s="104">
        <f t="shared" si="10"/>
        <v>2905</v>
      </c>
      <c r="G122" s="23">
        <v>40925</v>
      </c>
      <c r="H122" s="25">
        <v>41947</v>
      </c>
      <c r="I122" s="104">
        <f t="shared" si="8"/>
        <v>1883</v>
      </c>
      <c r="J122" s="19">
        <f t="shared" si="16"/>
        <v>1022</v>
      </c>
      <c r="K122" t="s">
        <v>69</v>
      </c>
      <c r="L122" s="40">
        <v>5.33</v>
      </c>
      <c r="M122" s="19">
        <f t="shared" si="11"/>
        <v>1</v>
      </c>
      <c r="N122" s="19">
        <f t="shared" si="12"/>
        <v>1</v>
      </c>
      <c r="O122" s="19">
        <f t="shared" si="13"/>
        <v>1</v>
      </c>
      <c r="P122" s="19">
        <f t="shared" si="14"/>
        <v>1</v>
      </c>
      <c r="Q122" s="24">
        <v>0</v>
      </c>
      <c r="R122" s="24">
        <v>0</v>
      </c>
      <c r="S122" s="24">
        <v>0</v>
      </c>
      <c r="T122" s="129">
        <v>0</v>
      </c>
      <c r="U122" s="129">
        <v>0</v>
      </c>
      <c r="V122" s="24">
        <v>50</v>
      </c>
      <c r="W122" s="24">
        <v>0</v>
      </c>
      <c r="X122" s="24">
        <v>0</v>
      </c>
      <c r="Y122" s="24">
        <v>0</v>
      </c>
      <c r="Z122" s="24">
        <v>3.5</v>
      </c>
      <c r="AA122" s="24">
        <v>0.35</v>
      </c>
      <c r="AB122" s="24">
        <v>0</v>
      </c>
      <c r="AC122" s="24">
        <v>0</v>
      </c>
      <c r="AD122" s="24">
        <v>0</v>
      </c>
      <c r="AE122" s="24">
        <v>50</v>
      </c>
      <c r="AF122" s="114" t="s">
        <v>42</v>
      </c>
      <c r="AG122" s="114" t="s">
        <v>200</v>
      </c>
      <c r="AI122" s="104">
        <v>1967</v>
      </c>
      <c r="AJ122">
        <v>1222</v>
      </c>
    </row>
    <row r="123" spans="2:36" hidden="1" x14ac:dyDescent="0.25">
      <c r="B123" s="24" t="s">
        <v>199</v>
      </c>
      <c r="C123" s="24">
        <v>2</v>
      </c>
      <c r="E123" s="27">
        <v>39042</v>
      </c>
      <c r="F123" s="104">
        <f t="shared" si="10"/>
        <v>2905</v>
      </c>
      <c r="G123" s="25">
        <v>41009</v>
      </c>
      <c r="H123" s="25">
        <v>41947</v>
      </c>
      <c r="I123" s="104">
        <f t="shared" si="8"/>
        <v>1967</v>
      </c>
      <c r="J123" s="19">
        <f t="shared" si="16"/>
        <v>938</v>
      </c>
      <c r="K123" t="s">
        <v>69</v>
      </c>
      <c r="L123" s="4">
        <v>5.29</v>
      </c>
      <c r="M123" s="19">
        <f t="shared" si="11"/>
        <v>1</v>
      </c>
      <c r="N123" s="19">
        <f t="shared" si="12"/>
        <v>1</v>
      </c>
      <c r="O123" s="19">
        <f t="shared" si="13"/>
        <v>1</v>
      </c>
      <c r="P123" s="19">
        <f t="shared" si="14"/>
        <v>1</v>
      </c>
      <c r="Q123" s="24">
        <v>0</v>
      </c>
      <c r="R123" s="4">
        <v>0</v>
      </c>
      <c r="S123" s="24">
        <v>0</v>
      </c>
      <c r="T123" s="129">
        <v>0</v>
      </c>
      <c r="U123" s="129">
        <v>0</v>
      </c>
      <c r="V123" s="24">
        <v>50</v>
      </c>
      <c r="W123" s="24">
        <v>0</v>
      </c>
      <c r="X123" s="24">
        <v>0</v>
      </c>
      <c r="Y123" s="24">
        <v>0</v>
      </c>
      <c r="Z123" s="24">
        <v>2.5</v>
      </c>
      <c r="AA123" s="24">
        <v>0.35</v>
      </c>
      <c r="AB123" s="24">
        <v>0</v>
      </c>
      <c r="AC123" s="98">
        <v>0</v>
      </c>
      <c r="AD123" s="24">
        <v>0</v>
      </c>
      <c r="AE123" s="24">
        <v>50</v>
      </c>
      <c r="AF123" s="114" t="s">
        <v>42</v>
      </c>
      <c r="AG123" s="114" t="s">
        <v>200</v>
      </c>
      <c r="AI123" s="104">
        <v>2058</v>
      </c>
      <c r="AJ123">
        <v>1239</v>
      </c>
    </row>
    <row r="124" spans="2:36" hidden="1" x14ac:dyDescent="0.25">
      <c r="B124" s="24" t="s">
        <v>199</v>
      </c>
      <c r="C124" s="24">
        <v>2</v>
      </c>
      <c r="E124" s="27">
        <v>39042</v>
      </c>
      <c r="F124" s="104">
        <f t="shared" si="10"/>
        <v>2905</v>
      </c>
      <c r="G124" s="25">
        <v>41100</v>
      </c>
      <c r="H124" s="25">
        <v>41947</v>
      </c>
      <c r="I124" s="104">
        <f t="shared" si="8"/>
        <v>2058</v>
      </c>
      <c r="J124" s="19">
        <f t="shared" si="16"/>
        <v>847</v>
      </c>
      <c r="K124" t="s">
        <v>69</v>
      </c>
      <c r="L124" s="4">
        <v>5.25</v>
      </c>
      <c r="M124" s="19">
        <f t="shared" si="11"/>
        <v>1</v>
      </c>
      <c r="N124" s="19">
        <f t="shared" si="12"/>
        <v>1</v>
      </c>
      <c r="O124" s="19">
        <f t="shared" si="13"/>
        <v>1</v>
      </c>
      <c r="P124" s="19">
        <f t="shared" si="14"/>
        <v>1</v>
      </c>
      <c r="Q124" s="24">
        <v>0</v>
      </c>
      <c r="R124" s="4">
        <v>0</v>
      </c>
      <c r="S124" s="24">
        <v>0</v>
      </c>
      <c r="T124" s="129">
        <v>0</v>
      </c>
      <c r="U124" s="129">
        <v>0</v>
      </c>
      <c r="V124" s="24">
        <v>50</v>
      </c>
      <c r="W124" s="24">
        <v>0</v>
      </c>
      <c r="X124" s="24">
        <v>0</v>
      </c>
      <c r="Y124" s="24">
        <v>0</v>
      </c>
      <c r="Z124" s="24">
        <v>2.5</v>
      </c>
      <c r="AA124" s="24">
        <v>0.35</v>
      </c>
      <c r="AB124" s="24">
        <v>0</v>
      </c>
      <c r="AC124" s="98">
        <v>0</v>
      </c>
      <c r="AD124" s="24">
        <v>0</v>
      </c>
      <c r="AE124" s="24">
        <v>50</v>
      </c>
      <c r="AF124" s="114" t="s">
        <v>42</v>
      </c>
      <c r="AG124" s="114" t="s">
        <v>200</v>
      </c>
      <c r="AI124" s="104">
        <v>2268</v>
      </c>
      <c r="AJ124">
        <v>1239</v>
      </c>
    </row>
    <row r="125" spans="2:36" hidden="1" x14ac:dyDescent="0.25">
      <c r="B125" s="24" t="s">
        <v>199</v>
      </c>
      <c r="C125" s="24">
        <v>2</v>
      </c>
      <c r="E125" s="27">
        <v>39042</v>
      </c>
      <c r="F125" s="104">
        <f t="shared" si="10"/>
        <v>2905</v>
      </c>
      <c r="G125" s="25">
        <v>41310</v>
      </c>
      <c r="H125" s="25">
        <v>41947</v>
      </c>
      <c r="I125" s="104">
        <f t="shared" si="8"/>
        <v>2268</v>
      </c>
      <c r="J125" s="19">
        <f t="shared" si="16"/>
        <v>637</v>
      </c>
      <c r="K125" t="s">
        <v>69</v>
      </c>
      <c r="L125" s="4">
        <v>5.18</v>
      </c>
      <c r="M125" s="19">
        <f t="shared" si="11"/>
        <v>1</v>
      </c>
      <c r="N125" s="19">
        <f t="shared" si="12"/>
        <v>1</v>
      </c>
      <c r="O125" s="19">
        <f t="shared" si="13"/>
        <v>1</v>
      </c>
      <c r="P125" s="19">
        <f t="shared" si="14"/>
        <v>1</v>
      </c>
      <c r="Q125" s="24">
        <v>0</v>
      </c>
      <c r="R125" s="4">
        <v>0</v>
      </c>
      <c r="S125" s="24">
        <v>0</v>
      </c>
      <c r="T125" s="129">
        <v>0</v>
      </c>
      <c r="U125" s="129">
        <v>0</v>
      </c>
      <c r="V125" s="24">
        <v>50</v>
      </c>
      <c r="W125" s="24">
        <v>0</v>
      </c>
      <c r="X125" s="24">
        <v>0</v>
      </c>
      <c r="Y125" s="24">
        <v>0</v>
      </c>
      <c r="Z125" s="24">
        <v>2.5</v>
      </c>
      <c r="AA125" s="24">
        <v>0.35</v>
      </c>
      <c r="AB125" s="24">
        <v>0</v>
      </c>
      <c r="AC125" s="98">
        <v>0</v>
      </c>
      <c r="AD125" s="24">
        <v>0</v>
      </c>
      <c r="AE125" s="24">
        <v>50</v>
      </c>
      <c r="AF125" s="114" t="s">
        <v>42</v>
      </c>
      <c r="AG125" s="114" t="s">
        <v>200</v>
      </c>
      <c r="AI125" s="104">
        <v>2380</v>
      </c>
      <c r="AJ125">
        <v>1246</v>
      </c>
    </row>
    <row r="126" spans="2:36" hidden="1" x14ac:dyDescent="0.25">
      <c r="B126" s="24" t="s">
        <v>199</v>
      </c>
      <c r="C126" s="24">
        <v>2</v>
      </c>
      <c r="E126" s="27">
        <v>39042</v>
      </c>
      <c r="F126" s="104">
        <f t="shared" si="10"/>
        <v>2905</v>
      </c>
      <c r="G126" s="25">
        <v>41422</v>
      </c>
      <c r="H126" s="25">
        <v>41947</v>
      </c>
      <c r="I126" s="104">
        <f t="shared" si="8"/>
        <v>2380</v>
      </c>
      <c r="J126" s="19">
        <f t="shared" si="16"/>
        <v>525</v>
      </c>
      <c r="K126" t="s">
        <v>69</v>
      </c>
      <c r="L126" s="4">
        <v>5.16</v>
      </c>
      <c r="M126" s="19">
        <f t="shared" si="11"/>
        <v>0</v>
      </c>
      <c r="N126" s="19">
        <f t="shared" si="12"/>
        <v>1</v>
      </c>
      <c r="O126" s="19">
        <f t="shared" si="13"/>
        <v>1</v>
      </c>
      <c r="P126" s="19">
        <f t="shared" si="14"/>
        <v>1</v>
      </c>
      <c r="Q126" s="24">
        <v>0</v>
      </c>
      <c r="R126" s="24">
        <v>0</v>
      </c>
      <c r="S126" s="24">
        <v>0</v>
      </c>
      <c r="T126" s="129">
        <v>0</v>
      </c>
      <c r="U126" s="129">
        <v>0</v>
      </c>
      <c r="V126" s="24">
        <v>50</v>
      </c>
      <c r="W126" s="24">
        <v>0</v>
      </c>
      <c r="X126" s="24">
        <v>0</v>
      </c>
      <c r="Y126" s="24">
        <v>0</v>
      </c>
      <c r="Z126" s="4">
        <v>3</v>
      </c>
      <c r="AA126" s="4">
        <v>0.35</v>
      </c>
      <c r="AB126" s="24">
        <v>0</v>
      </c>
      <c r="AC126" s="98">
        <v>0</v>
      </c>
      <c r="AD126" s="24">
        <v>0</v>
      </c>
      <c r="AE126" s="24">
        <v>50</v>
      </c>
      <c r="AF126" s="114" t="s">
        <v>42</v>
      </c>
      <c r="AG126" s="114" t="s">
        <v>200</v>
      </c>
      <c r="AI126" s="104">
        <v>2457</v>
      </c>
      <c r="AJ126">
        <v>1246</v>
      </c>
    </row>
    <row r="127" spans="2:36" hidden="1" x14ac:dyDescent="0.25">
      <c r="B127" s="24" t="s">
        <v>199</v>
      </c>
      <c r="C127" s="24">
        <v>2</v>
      </c>
      <c r="E127" s="27">
        <v>39042</v>
      </c>
      <c r="F127" s="104">
        <f t="shared" si="10"/>
        <v>2905</v>
      </c>
      <c r="G127" s="25">
        <v>41499</v>
      </c>
      <c r="H127" s="25">
        <v>41947</v>
      </c>
      <c r="I127" s="104">
        <f t="shared" si="8"/>
        <v>2457</v>
      </c>
      <c r="J127" s="19">
        <f t="shared" si="16"/>
        <v>448</v>
      </c>
      <c r="K127" t="s">
        <v>69</v>
      </c>
      <c r="L127" s="4">
        <v>5.16</v>
      </c>
      <c r="M127" s="19">
        <f t="shared" si="11"/>
        <v>0</v>
      </c>
      <c r="N127" s="19">
        <f t="shared" si="12"/>
        <v>1</v>
      </c>
      <c r="O127" s="19">
        <f t="shared" si="13"/>
        <v>1</v>
      </c>
      <c r="P127" s="19">
        <f t="shared" si="14"/>
        <v>1</v>
      </c>
      <c r="Q127" s="24">
        <v>0</v>
      </c>
      <c r="R127" s="24">
        <v>0</v>
      </c>
      <c r="S127" s="24">
        <v>0</v>
      </c>
      <c r="T127" s="129">
        <v>0</v>
      </c>
      <c r="U127" s="129">
        <v>0</v>
      </c>
      <c r="V127" s="24">
        <v>50</v>
      </c>
      <c r="W127" s="24">
        <v>0</v>
      </c>
      <c r="X127" s="24">
        <v>0</v>
      </c>
      <c r="Y127" s="24">
        <v>0</v>
      </c>
      <c r="Z127" s="4">
        <v>3</v>
      </c>
      <c r="AA127" s="4">
        <v>0.35</v>
      </c>
      <c r="AB127" s="24">
        <v>0</v>
      </c>
      <c r="AC127" s="98">
        <v>0</v>
      </c>
      <c r="AD127" s="24">
        <v>0</v>
      </c>
      <c r="AE127" s="24">
        <v>50</v>
      </c>
      <c r="AF127" s="114" t="s">
        <v>42</v>
      </c>
      <c r="AG127" s="114" t="s">
        <v>200</v>
      </c>
      <c r="AI127" s="104">
        <v>2670</v>
      </c>
      <c r="AJ127">
        <v>1250</v>
      </c>
    </row>
    <row r="128" spans="2:36" hidden="1" x14ac:dyDescent="0.25">
      <c r="B128" s="24" t="s">
        <v>199</v>
      </c>
      <c r="C128" s="24">
        <v>2</v>
      </c>
      <c r="E128" s="27">
        <v>39042</v>
      </c>
      <c r="F128" s="104">
        <f t="shared" si="10"/>
        <v>2905</v>
      </c>
      <c r="G128" s="27">
        <v>41712</v>
      </c>
      <c r="H128" s="25">
        <v>41947</v>
      </c>
      <c r="I128" s="104">
        <f t="shared" si="8"/>
        <v>2670</v>
      </c>
      <c r="J128" s="19">
        <f t="shared" si="16"/>
        <v>235</v>
      </c>
      <c r="K128" t="s">
        <v>69</v>
      </c>
      <c r="L128" s="24">
        <v>5.15</v>
      </c>
      <c r="M128" s="19">
        <f t="shared" si="11"/>
        <v>0</v>
      </c>
      <c r="N128" s="19">
        <f t="shared" si="12"/>
        <v>0</v>
      </c>
      <c r="O128" s="19">
        <f t="shared" si="13"/>
        <v>1</v>
      </c>
      <c r="P128" s="19">
        <f t="shared" si="14"/>
        <v>1</v>
      </c>
      <c r="Q128" s="24">
        <v>0</v>
      </c>
      <c r="R128" s="24">
        <v>0</v>
      </c>
      <c r="S128" s="24">
        <v>0</v>
      </c>
      <c r="T128" s="129">
        <v>0</v>
      </c>
      <c r="U128" s="129">
        <v>0</v>
      </c>
      <c r="V128" s="24">
        <v>50</v>
      </c>
      <c r="W128" s="24">
        <v>0</v>
      </c>
      <c r="X128" s="4">
        <v>0</v>
      </c>
      <c r="Y128" s="4">
        <v>0</v>
      </c>
      <c r="Z128" s="4">
        <v>3</v>
      </c>
      <c r="AA128" s="4">
        <v>0.35</v>
      </c>
      <c r="AB128" s="24">
        <v>0</v>
      </c>
      <c r="AC128" s="98">
        <v>0</v>
      </c>
      <c r="AD128" s="24">
        <v>0</v>
      </c>
      <c r="AE128" s="24">
        <v>50</v>
      </c>
      <c r="AF128" s="114" t="s">
        <v>42</v>
      </c>
      <c r="AG128" s="114" t="s">
        <v>200</v>
      </c>
      <c r="AI128" s="104">
        <v>2778</v>
      </c>
      <c r="AJ128">
        <v>1255</v>
      </c>
    </row>
    <row r="129" spans="2:36" hidden="1" x14ac:dyDescent="0.25">
      <c r="B129" s="24" t="s">
        <v>199</v>
      </c>
      <c r="C129" s="24">
        <v>2</v>
      </c>
      <c r="E129" s="27">
        <v>39042</v>
      </c>
      <c r="F129" s="104">
        <f t="shared" si="10"/>
        <v>2905</v>
      </c>
      <c r="G129" s="25">
        <v>41820</v>
      </c>
      <c r="H129" s="25">
        <v>41947</v>
      </c>
      <c r="I129" s="104">
        <f t="shared" ref="I129:I192" si="17">G129-E129</f>
        <v>2778</v>
      </c>
      <c r="J129" s="19">
        <f t="shared" si="16"/>
        <v>127</v>
      </c>
      <c r="K129" t="s">
        <v>69</v>
      </c>
      <c r="L129" s="4">
        <v>5.13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1</v>
      </c>
      <c r="Q129" s="24">
        <v>0</v>
      </c>
      <c r="R129" s="24">
        <v>0</v>
      </c>
      <c r="S129" s="24">
        <v>0</v>
      </c>
      <c r="T129" s="129">
        <v>0</v>
      </c>
      <c r="U129" s="129">
        <v>0</v>
      </c>
      <c r="V129" s="24">
        <v>50</v>
      </c>
      <c r="W129" s="24">
        <v>0</v>
      </c>
      <c r="X129" s="24">
        <v>0</v>
      </c>
      <c r="Y129" s="24">
        <v>0</v>
      </c>
      <c r="Z129" s="4">
        <v>3</v>
      </c>
      <c r="AA129" s="4">
        <v>0.35</v>
      </c>
      <c r="AB129" s="24">
        <v>0</v>
      </c>
      <c r="AC129" s="98">
        <v>0</v>
      </c>
      <c r="AD129" s="24">
        <v>0</v>
      </c>
      <c r="AE129" s="24">
        <v>50</v>
      </c>
      <c r="AF129" s="114" t="s">
        <v>42</v>
      </c>
      <c r="AG129" s="114" t="s">
        <v>200</v>
      </c>
      <c r="AI129" s="104">
        <v>2905</v>
      </c>
      <c r="AJ129">
        <v>1257</v>
      </c>
    </row>
    <row r="130" spans="2:36" hidden="1" x14ac:dyDescent="0.25">
      <c r="B130" s="24" t="s">
        <v>199</v>
      </c>
      <c r="C130" s="24">
        <v>2</v>
      </c>
      <c r="E130" s="27">
        <v>39042</v>
      </c>
      <c r="F130" s="104">
        <f t="shared" si="10"/>
        <v>2905</v>
      </c>
      <c r="G130" s="25">
        <v>41947</v>
      </c>
      <c r="H130" s="25">
        <v>41947</v>
      </c>
      <c r="I130" s="104">
        <f t="shared" si="17"/>
        <v>2905</v>
      </c>
      <c r="J130" s="19">
        <f t="shared" si="16"/>
        <v>0</v>
      </c>
      <c r="K130" t="s">
        <v>69</v>
      </c>
      <c r="L130" s="4">
        <v>5.12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24">
        <v>0</v>
      </c>
      <c r="R130" s="24">
        <v>0</v>
      </c>
      <c r="S130" s="24">
        <v>0</v>
      </c>
      <c r="T130" s="129">
        <v>0</v>
      </c>
      <c r="U130" s="129">
        <v>0</v>
      </c>
      <c r="V130" s="24">
        <v>50</v>
      </c>
      <c r="W130" s="24">
        <v>0</v>
      </c>
      <c r="X130" s="24">
        <v>0</v>
      </c>
      <c r="Y130" s="24">
        <v>0</v>
      </c>
      <c r="Z130" s="4">
        <v>3</v>
      </c>
      <c r="AA130" s="4">
        <v>0.35</v>
      </c>
      <c r="AB130" s="24">
        <v>0</v>
      </c>
      <c r="AC130" s="98">
        <v>0</v>
      </c>
      <c r="AD130" s="24">
        <v>0</v>
      </c>
      <c r="AE130" s="24">
        <v>50</v>
      </c>
      <c r="AF130" s="114" t="s">
        <v>42</v>
      </c>
      <c r="AG130" s="114" t="s">
        <v>200</v>
      </c>
      <c r="AI130" s="104">
        <v>1978</v>
      </c>
      <c r="AJ130">
        <v>1260</v>
      </c>
    </row>
    <row r="131" spans="2:36" x14ac:dyDescent="0.25">
      <c r="B131" s="24" t="s">
        <v>331</v>
      </c>
      <c r="C131" s="24">
        <v>1</v>
      </c>
      <c r="E131" s="27">
        <v>39017</v>
      </c>
      <c r="F131" s="104">
        <f t="shared" ref="F131:F194" si="18">H131-E131</f>
        <v>2567</v>
      </c>
      <c r="G131" s="25">
        <v>40995</v>
      </c>
      <c r="H131" s="25">
        <v>41584</v>
      </c>
      <c r="I131" s="104">
        <f t="shared" si="17"/>
        <v>1978</v>
      </c>
      <c r="J131" s="19">
        <f t="shared" si="16"/>
        <v>589</v>
      </c>
      <c r="K131" s="83" t="s">
        <v>65</v>
      </c>
      <c r="L131" s="4">
        <v>5.15</v>
      </c>
      <c r="M131" s="19">
        <f t="shared" ref="M131:M194" si="19">IF($J131&gt;540,1,0)</f>
        <v>1</v>
      </c>
      <c r="N131" s="19">
        <f t="shared" ref="N131:N194" si="20">IF($J131&gt;360,1,0)</f>
        <v>1</v>
      </c>
      <c r="O131" s="19">
        <f t="shared" ref="O131:O194" si="21">IF($J131&gt;180,1,0)</f>
        <v>1</v>
      </c>
      <c r="P131" s="19">
        <f t="shared" ref="P131:P194" si="22">IF($J131&gt;90,1,0)</f>
        <v>1</v>
      </c>
      <c r="Q131" s="24">
        <v>0</v>
      </c>
      <c r="R131" s="4">
        <f>16+27</f>
        <v>43</v>
      </c>
      <c r="S131" s="24">
        <v>0</v>
      </c>
      <c r="T131" s="127">
        <v>0</v>
      </c>
      <c r="U131" s="127">
        <v>0</v>
      </c>
      <c r="V131" s="4">
        <v>60</v>
      </c>
      <c r="W131" s="4">
        <v>1</v>
      </c>
      <c r="X131" s="24">
        <v>0</v>
      </c>
      <c r="Y131" s="24">
        <v>0</v>
      </c>
      <c r="Z131" s="4">
        <v>2.5</v>
      </c>
      <c r="AA131" s="4">
        <v>0.35</v>
      </c>
      <c r="AB131" s="24">
        <v>0</v>
      </c>
      <c r="AC131" s="24">
        <v>0</v>
      </c>
      <c r="AD131" s="24">
        <v>0</v>
      </c>
      <c r="AE131" s="4" t="s">
        <v>47</v>
      </c>
      <c r="AF131" s="138" t="s">
        <v>42</v>
      </c>
      <c r="AG131" s="118" t="s">
        <v>65</v>
      </c>
      <c r="AI131" s="104">
        <v>2167</v>
      </c>
      <c r="AJ131">
        <v>1263</v>
      </c>
    </row>
    <row r="132" spans="2:36" x14ac:dyDescent="0.25">
      <c r="B132" s="24" t="s">
        <v>331</v>
      </c>
      <c r="C132" s="24">
        <v>1</v>
      </c>
      <c r="E132" s="27">
        <v>39017</v>
      </c>
      <c r="F132" s="104">
        <f t="shared" si="18"/>
        <v>2567</v>
      </c>
      <c r="G132" s="25">
        <v>41184</v>
      </c>
      <c r="H132" s="25">
        <v>41584</v>
      </c>
      <c r="I132" s="104">
        <f t="shared" si="17"/>
        <v>2167</v>
      </c>
      <c r="J132" s="19">
        <f t="shared" si="16"/>
        <v>400</v>
      </c>
      <c r="K132" s="83" t="s">
        <v>65</v>
      </c>
      <c r="L132" s="4">
        <v>5.14</v>
      </c>
      <c r="M132" s="19">
        <f t="shared" si="19"/>
        <v>0</v>
      </c>
      <c r="N132" s="19">
        <f t="shared" si="20"/>
        <v>1</v>
      </c>
      <c r="O132" s="19">
        <f t="shared" si="21"/>
        <v>1</v>
      </c>
      <c r="P132" s="19">
        <f t="shared" si="22"/>
        <v>1</v>
      </c>
      <c r="Q132" s="24">
        <v>0</v>
      </c>
      <c r="R132" s="4">
        <f>43+38</f>
        <v>81</v>
      </c>
      <c r="S132" s="24">
        <v>0</v>
      </c>
      <c r="T132" s="125">
        <v>0</v>
      </c>
      <c r="U132" s="125">
        <v>0</v>
      </c>
      <c r="V132" s="4">
        <v>60</v>
      </c>
      <c r="W132" s="4">
        <v>1</v>
      </c>
      <c r="X132" s="24">
        <v>0</v>
      </c>
      <c r="Y132" s="24">
        <v>0</v>
      </c>
      <c r="Z132" s="4">
        <v>2.5</v>
      </c>
      <c r="AA132" s="4">
        <v>0.35</v>
      </c>
      <c r="AB132" s="24">
        <v>0</v>
      </c>
      <c r="AC132" s="98">
        <v>0</v>
      </c>
      <c r="AD132" s="24">
        <v>0</v>
      </c>
      <c r="AE132" s="4" t="s">
        <v>47</v>
      </c>
      <c r="AF132" s="118" t="s">
        <v>42</v>
      </c>
      <c r="AG132" s="118" t="s">
        <v>65</v>
      </c>
      <c r="AI132" s="104">
        <v>2274</v>
      </c>
      <c r="AJ132">
        <v>1282</v>
      </c>
    </row>
    <row r="133" spans="2:36" x14ac:dyDescent="0.25">
      <c r="B133" s="24" t="s">
        <v>331</v>
      </c>
      <c r="C133" s="24">
        <v>1</v>
      </c>
      <c r="E133" s="27">
        <v>39017</v>
      </c>
      <c r="F133" s="104">
        <f t="shared" si="18"/>
        <v>2567</v>
      </c>
      <c r="G133" s="25">
        <v>41291</v>
      </c>
      <c r="H133" s="25">
        <v>41584</v>
      </c>
      <c r="I133" s="104">
        <f t="shared" si="17"/>
        <v>2274</v>
      </c>
      <c r="J133" s="19">
        <f t="shared" si="16"/>
        <v>293</v>
      </c>
      <c r="K133" s="83" t="s">
        <v>65</v>
      </c>
      <c r="L133" s="4">
        <v>5.1100000000000003</v>
      </c>
      <c r="M133" s="19">
        <f t="shared" si="19"/>
        <v>0</v>
      </c>
      <c r="N133" s="19">
        <f t="shared" si="20"/>
        <v>0</v>
      </c>
      <c r="O133" s="19">
        <f t="shared" si="21"/>
        <v>1</v>
      </c>
      <c r="P133" s="19">
        <f t="shared" si="22"/>
        <v>1</v>
      </c>
      <c r="Q133" s="24">
        <v>0</v>
      </c>
      <c r="R133" s="4">
        <f>57+29</f>
        <v>86</v>
      </c>
      <c r="S133" s="24">
        <v>0</v>
      </c>
      <c r="T133" s="127">
        <v>0</v>
      </c>
      <c r="U133" s="127">
        <v>0</v>
      </c>
      <c r="V133" s="4">
        <v>60</v>
      </c>
      <c r="W133" s="4">
        <v>1</v>
      </c>
      <c r="X133" s="24">
        <v>0</v>
      </c>
      <c r="Y133" s="24">
        <v>0</v>
      </c>
      <c r="Z133" s="4">
        <v>2.5</v>
      </c>
      <c r="AA133" s="4">
        <v>0.35</v>
      </c>
      <c r="AB133" s="24">
        <v>0</v>
      </c>
      <c r="AC133" s="98">
        <v>0</v>
      </c>
      <c r="AD133" s="24">
        <v>0</v>
      </c>
      <c r="AE133" s="4" t="s">
        <v>47</v>
      </c>
      <c r="AF133" s="138" t="s">
        <v>42</v>
      </c>
      <c r="AG133" s="118" t="s">
        <v>65</v>
      </c>
      <c r="AI133" s="104">
        <v>2477</v>
      </c>
      <c r="AJ133">
        <v>1285</v>
      </c>
    </row>
    <row r="134" spans="2:36" x14ac:dyDescent="0.25">
      <c r="B134" s="24" t="s">
        <v>331</v>
      </c>
      <c r="C134" s="24">
        <v>1</v>
      </c>
      <c r="E134" s="27">
        <v>39017</v>
      </c>
      <c r="F134" s="104">
        <f t="shared" si="18"/>
        <v>2567</v>
      </c>
      <c r="G134" s="25">
        <v>41494</v>
      </c>
      <c r="H134" s="25">
        <v>41584</v>
      </c>
      <c r="I134" s="104">
        <f t="shared" si="17"/>
        <v>2477</v>
      </c>
      <c r="J134" s="19">
        <f t="shared" si="16"/>
        <v>90</v>
      </c>
      <c r="K134" s="83" t="s">
        <v>65</v>
      </c>
      <c r="L134" s="4">
        <v>5.01</v>
      </c>
      <c r="M134" s="19">
        <f t="shared" si="19"/>
        <v>0</v>
      </c>
      <c r="N134" s="19">
        <f t="shared" si="20"/>
        <v>0</v>
      </c>
      <c r="O134" s="19">
        <f t="shared" si="21"/>
        <v>0</v>
      </c>
      <c r="P134" s="19">
        <f t="shared" si="22"/>
        <v>0</v>
      </c>
      <c r="Q134" s="24">
        <v>0</v>
      </c>
      <c r="R134" s="4">
        <f>51+23</f>
        <v>74</v>
      </c>
      <c r="S134" s="24">
        <v>0</v>
      </c>
      <c r="T134" s="127">
        <v>0</v>
      </c>
      <c r="U134" s="127">
        <v>0</v>
      </c>
      <c r="V134" s="4">
        <v>60</v>
      </c>
      <c r="W134" s="4">
        <v>1</v>
      </c>
      <c r="X134" s="24">
        <v>0</v>
      </c>
      <c r="Y134" s="24">
        <v>0</v>
      </c>
      <c r="Z134" s="4">
        <v>2.5</v>
      </c>
      <c r="AA134" s="4">
        <v>0.35</v>
      </c>
      <c r="AB134" s="24">
        <v>0</v>
      </c>
      <c r="AC134" s="98">
        <v>0</v>
      </c>
      <c r="AD134" s="24">
        <v>0</v>
      </c>
      <c r="AE134" s="4" t="s">
        <v>47</v>
      </c>
      <c r="AF134" s="138" t="s">
        <v>42</v>
      </c>
      <c r="AG134" s="118" t="s">
        <v>65</v>
      </c>
      <c r="AI134" s="104">
        <v>2479</v>
      </c>
      <c r="AJ134">
        <v>1295</v>
      </c>
    </row>
    <row r="135" spans="2:36" x14ac:dyDescent="0.25">
      <c r="B135" s="24" t="s">
        <v>331</v>
      </c>
      <c r="C135" s="24">
        <v>1</v>
      </c>
      <c r="E135" s="27">
        <v>39017</v>
      </c>
      <c r="F135" s="104">
        <f t="shared" si="18"/>
        <v>2567</v>
      </c>
      <c r="G135" s="25">
        <v>41496</v>
      </c>
      <c r="H135" s="25">
        <v>41584</v>
      </c>
      <c r="I135" s="104">
        <f t="shared" si="17"/>
        <v>2479</v>
      </c>
      <c r="J135" s="19">
        <f t="shared" ref="J135:J198" si="23">H135-G135</f>
        <v>88</v>
      </c>
      <c r="K135" s="83" t="s">
        <v>65</v>
      </c>
      <c r="L135" s="4">
        <v>5.01</v>
      </c>
      <c r="M135" s="19">
        <f t="shared" si="19"/>
        <v>0</v>
      </c>
      <c r="N135" s="19">
        <f t="shared" si="20"/>
        <v>0</v>
      </c>
      <c r="O135" s="19">
        <f t="shared" si="21"/>
        <v>0</v>
      </c>
      <c r="P135" s="19">
        <f t="shared" si="22"/>
        <v>0</v>
      </c>
      <c r="Q135" s="24">
        <v>0</v>
      </c>
      <c r="R135" s="4">
        <f>51+23</f>
        <v>74</v>
      </c>
      <c r="S135" s="24">
        <v>0</v>
      </c>
      <c r="T135" s="131">
        <v>20</v>
      </c>
      <c r="U135" s="131">
        <v>0</v>
      </c>
      <c r="V135" s="4">
        <v>60</v>
      </c>
      <c r="W135" s="4">
        <v>1</v>
      </c>
      <c r="X135" s="24">
        <v>0</v>
      </c>
      <c r="Y135" s="24">
        <v>0</v>
      </c>
      <c r="Z135" s="4">
        <v>2.5</v>
      </c>
      <c r="AA135" s="4">
        <v>0.35</v>
      </c>
      <c r="AB135" s="24">
        <v>0</v>
      </c>
      <c r="AC135" s="98">
        <v>0</v>
      </c>
      <c r="AD135" s="24">
        <v>0</v>
      </c>
      <c r="AE135" s="4" t="s">
        <v>47</v>
      </c>
      <c r="AF135" s="143" t="s">
        <v>338</v>
      </c>
      <c r="AG135" s="118" t="s">
        <v>65</v>
      </c>
      <c r="AI135" s="104">
        <v>2552</v>
      </c>
      <c r="AJ135">
        <v>1299</v>
      </c>
    </row>
    <row r="136" spans="2:36" x14ac:dyDescent="0.25">
      <c r="B136" s="24" t="s">
        <v>331</v>
      </c>
      <c r="C136" s="24">
        <v>1</v>
      </c>
      <c r="E136" s="27">
        <v>39017</v>
      </c>
      <c r="F136" s="104">
        <f t="shared" si="18"/>
        <v>2567</v>
      </c>
      <c r="G136" s="89">
        <v>41569</v>
      </c>
      <c r="H136" s="89">
        <v>41584</v>
      </c>
      <c r="I136" s="104">
        <f t="shared" si="17"/>
        <v>2552</v>
      </c>
      <c r="J136" s="19">
        <f t="shared" si="23"/>
        <v>15</v>
      </c>
      <c r="K136" s="83" t="s">
        <v>65</v>
      </c>
      <c r="L136" s="92">
        <v>4.45</v>
      </c>
      <c r="M136" s="19">
        <f t="shared" si="19"/>
        <v>0</v>
      </c>
      <c r="N136" s="19">
        <f t="shared" si="20"/>
        <v>0</v>
      </c>
      <c r="O136" s="19">
        <f t="shared" si="21"/>
        <v>0</v>
      </c>
      <c r="P136" s="19">
        <f t="shared" si="22"/>
        <v>0</v>
      </c>
      <c r="Q136" s="83">
        <v>0</v>
      </c>
      <c r="R136" s="92">
        <f>54+21</f>
        <v>75</v>
      </c>
      <c r="S136" s="83">
        <v>0</v>
      </c>
      <c r="T136" s="132">
        <v>20</v>
      </c>
      <c r="U136" s="132">
        <v>0</v>
      </c>
      <c r="V136" s="4">
        <v>60</v>
      </c>
      <c r="W136" s="92">
        <v>1</v>
      </c>
      <c r="X136" s="83">
        <v>0</v>
      </c>
      <c r="Y136" s="83">
        <v>0</v>
      </c>
      <c r="Z136" s="92">
        <v>2.5</v>
      </c>
      <c r="AA136" s="92">
        <v>0.35</v>
      </c>
      <c r="AB136" s="83">
        <v>0</v>
      </c>
      <c r="AC136" s="98">
        <v>0</v>
      </c>
      <c r="AD136" s="83">
        <v>0</v>
      </c>
      <c r="AE136" s="92" t="s">
        <v>47</v>
      </c>
      <c r="AF136" s="144" t="s">
        <v>338</v>
      </c>
      <c r="AG136" s="119" t="s">
        <v>65</v>
      </c>
      <c r="AI136" s="104">
        <v>2567</v>
      </c>
      <c r="AJ136">
        <v>1302</v>
      </c>
    </row>
    <row r="137" spans="2:36" x14ac:dyDescent="0.25">
      <c r="B137" s="83" t="s">
        <v>331</v>
      </c>
      <c r="C137" s="83">
        <v>1</v>
      </c>
      <c r="D137" s="87"/>
      <c r="E137" s="88">
        <v>39017</v>
      </c>
      <c r="F137" s="104">
        <f t="shared" si="18"/>
        <v>2567</v>
      </c>
      <c r="G137" s="89">
        <v>41584</v>
      </c>
      <c r="H137" s="89">
        <v>41584</v>
      </c>
      <c r="I137" s="104">
        <f t="shared" si="17"/>
        <v>2567</v>
      </c>
      <c r="J137" s="19">
        <f t="shared" si="23"/>
        <v>0</v>
      </c>
      <c r="K137" s="83" t="s">
        <v>65</v>
      </c>
      <c r="L137" s="92">
        <v>4.4400000000000004</v>
      </c>
      <c r="M137" s="19">
        <f t="shared" si="19"/>
        <v>0</v>
      </c>
      <c r="N137" s="19">
        <f t="shared" si="20"/>
        <v>0</v>
      </c>
      <c r="O137" s="19">
        <f t="shared" si="21"/>
        <v>0</v>
      </c>
      <c r="P137" s="19">
        <f t="shared" si="22"/>
        <v>0</v>
      </c>
      <c r="Q137" s="90">
        <v>0</v>
      </c>
      <c r="R137" s="92">
        <f>51+11</f>
        <v>62</v>
      </c>
      <c r="S137" s="90">
        <v>0</v>
      </c>
      <c r="T137" s="130">
        <v>0</v>
      </c>
      <c r="U137" s="130">
        <v>0</v>
      </c>
      <c r="V137" s="4">
        <v>60</v>
      </c>
      <c r="W137" s="92">
        <v>1</v>
      </c>
      <c r="X137" s="90">
        <v>0</v>
      </c>
      <c r="Y137" s="90">
        <v>0</v>
      </c>
      <c r="Z137" s="92">
        <v>2.5</v>
      </c>
      <c r="AA137" s="92">
        <v>0.35</v>
      </c>
      <c r="AB137" s="90">
        <v>0</v>
      </c>
      <c r="AC137" s="98">
        <v>0</v>
      </c>
      <c r="AD137" s="90">
        <v>0</v>
      </c>
      <c r="AE137" s="92" t="s">
        <v>47</v>
      </c>
      <c r="AF137" s="142" t="s">
        <v>42</v>
      </c>
      <c r="AG137" s="119" t="s">
        <v>65</v>
      </c>
      <c r="AI137" s="104">
        <v>1050</v>
      </c>
      <c r="AJ137">
        <v>1302</v>
      </c>
    </row>
    <row r="138" spans="2:36" hidden="1" x14ac:dyDescent="0.25">
      <c r="B138" s="24" t="s">
        <v>135</v>
      </c>
      <c r="C138" s="24">
        <v>2</v>
      </c>
      <c r="E138" s="27">
        <v>39161</v>
      </c>
      <c r="F138" s="104">
        <f t="shared" si="18"/>
        <v>2617</v>
      </c>
      <c r="G138" s="25">
        <v>40211</v>
      </c>
      <c r="H138" s="25">
        <v>41778</v>
      </c>
      <c r="I138" s="104">
        <f t="shared" si="17"/>
        <v>1050</v>
      </c>
      <c r="J138" s="19">
        <f t="shared" si="23"/>
        <v>1567</v>
      </c>
      <c r="K138" t="s">
        <v>69</v>
      </c>
      <c r="L138" s="4">
        <v>6.16</v>
      </c>
      <c r="M138" s="19">
        <f t="shared" si="19"/>
        <v>1</v>
      </c>
      <c r="N138" s="19">
        <f t="shared" si="20"/>
        <v>1</v>
      </c>
      <c r="O138" s="19">
        <f t="shared" si="21"/>
        <v>1</v>
      </c>
      <c r="P138" s="19">
        <f t="shared" si="22"/>
        <v>1</v>
      </c>
      <c r="Q138" s="4">
        <v>71</v>
      </c>
      <c r="R138" s="4">
        <v>0</v>
      </c>
      <c r="S138" s="90">
        <v>0</v>
      </c>
      <c r="T138" s="127">
        <v>0</v>
      </c>
      <c r="U138" s="127">
        <v>3</v>
      </c>
      <c r="V138" s="4">
        <v>60</v>
      </c>
      <c r="W138" s="4">
        <v>0</v>
      </c>
      <c r="X138" s="4">
        <v>2</v>
      </c>
      <c r="Y138" s="4">
        <v>0.35</v>
      </c>
      <c r="Z138" s="4">
        <v>2.5</v>
      </c>
      <c r="AA138" s="4">
        <v>0.35</v>
      </c>
      <c r="AB138" s="24">
        <v>0</v>
      </c>
      <c r="AC138" s="24">
        <v>0</v>
      </c>
      <c r="AD138" s="90">
        <v>0</v>
      </c>
      <c r="AE138" s="4" t="s">
        <v>47</v>
      </c>
      <c r="AF138" s="138" t="s">
        <v>261</v>
      </c>
      <c r="AG138" s="118" t="s">
        <v>285</v>
      </c>
      <c r="AI138" s="104">
        <v>1652</v>
      </c>
      <c r="AJ138">
        <v>1309</v>
      </c>
    </row>
    <row r="139" spans="2:36" hidden="1" x14ac:dyDescent="0.25">
      <c r="B139" s="24" t="s">
        <v>135</v>
      </c>
      <c r="C139" s="24">
        <v>2</v>
      </c>
      <c r="D139" s="24"/>
      <c r="E139" s="23">
        <v>39161</v>
      </c>
      <c r="F139" s="104">
        <f t="shared" si="18"/>
        <v>2617</v>
      </c>
      <c r="G139" s="23">
        <v>40813</v>
      </c>
      <c r="H139" s="25">
        <v>41778</v>
      </c>
      <c r="I139" s="104">
        <f t="shared" si="17"/>
        <v>1652</v>
      </c>
      <c r="J139" s="19">
        <f t="shared" si="23"/>
        <v>965</v>
      </c>
      <c r="K139" t="s">
        <v>69</v>
      </c>
      <c r="L139" s="24">
        <v>5.29</v>
      </c>
      <c r="M139" s="19">
        <f t="shared" si="19"/>
        <v>1</v>
      </c>
      <c r="N139" s="19">
        <f t="shared" si="20"/>
        <v>1</v>
      </c>
      <c r="O139" s="19">
        <f t="shared" si="21"/>
        <v>1</v>
      </c>
      <c r="P139" s="19">
        <f t="shared" si="22"/>
        <v>1</v>
      </c>
      <c r="Q139" s="24">
        <v>89</v>
      </c>
      <c r="R139" s="24">
        <v>0</v>
      </c>
      <c r="S139" s="24">
        <v>0</v>
      </c>
      <c r="T139" s="129">
        <v>0</v>
      </c>
      <c r="U139" s="129">
        <v>0</v>
      </c>
      <c r="V139" s="4">
        <v>60</v>
      </c>
      <c r="W139" s="24">
        <v>0</v>
      </c>
      <c r="X139" s="24">
        <v>2</v>
      </c>
      <c r="Y139" s="24">
        <v>0.35</v>
      </c>
      <c r="Z139" s="24">
        <v>2.5</v>
      </c>
      <c r="AA139" s="24">
        <v>0.35</v>
      </c>
      <c r="AB139" s="24">
        <v>0</v>
      </c>
      <c r="AC139" s="24">
        <v>0</v>
      </c>
      <c r="AD139" s="24">
        <v>0</v>
      </c>
      <c r="AE139" s="24" t="s">
        <v>47</v>
      </c>
      <c r="AF139" s="114" t="s">
        <v>42</v>
      </c>
      <c r="AG139" s="114" t="s">
        <v>43</v>
      </c>
      <c r="AI139" s="104">
        <v>1834</v>
      </c>
      <c r="AJ139">
        <v>1315</v>
      </c>
    </row>
    <row r="140" spans="2:36" hidden="1" x14ac:dyDescent="0.25">
      <c r="B140" s="24" t="s">
        <v>135</v>
      </c>
      <c r="C140" s="24">
        <v>2</v>
      </c>
      <c r="D140" s="24"/>
      <c r="E140" s="23">
        <v>39161</v>
      </c>
      <c r="F140" s="104">
        <f t="shared" si="18"/>
        <v>2617</v>
      </c>
      <c r="G140" s="23">
        <v>40995</v>
      </c>
      <c r="H140" s="25">
        <v>41778</v>
      </c>
      <c r="I140" s="104">
        <f t="shared" si="17"/>
        <v>1834</v>
      </c>
      <c r="J140" s="19">
        <f t="shared" si="23"/>
        <v>783</v>
      </c>
      <c r="K140" t="s">
        <v>69</v>
      </c>
      <c r="L140" s="24">
        <v>5.18</v>
      </c>
      <c r="M140" s="19">
        <f t="shared" si="19"/>
        <v>1</v>
      </c>
      <c r="N140" s="19">
        <f t="shared" si="20"/>
        <v>1</v>
      </c>
      <c r="O140" s="19">
        <f t="shared" si="21"/>
        <v>1</v>
      </c>
      <c r="P140" s="19">
        <f t="shared" si="22"/>
        <v>1</v>
      </c>
      <c r="Q140" s="24">
        <v>78</v>
      </c>
      <c r="R140" s="24">
        <v>0</v>
      </c>
      <c r="S140" s="24">
        <v>0</v>
      </c>
      <c r="T140" s="127">
        <v>1</v>
      </c>
      <c r="U140" s="127">
        <v>2</v>
      </c>
      <c r="V140" s="4">
        <v>60</v>
      </c>
      <c r="W140" s="24">
        <v>0</v>
      </c>
      <c r="X140" s="24">
        <v>2</v>
      </c>
      <c r="Y140" s="24">
        <v>0.35</v>
      </c>
      <c r="Z140" s="24">
        <v>2.5</v>
      </c>
      <c r="AA140" s="24">
        <v>0.35</v>
      </c>
      <c r="AB140" s="24">
        <v>0</v>
      </c>
      <c r="AC140" s="24">
        <v>0</v>
      </c>
      <c r="AD140" s="24">
        <v>0</v>
      </c>
      <c r="AE140" s="24" t="s">
        <v>47</v>
      </c>
      <c r="AF140" s="138" t="s">
        <v>143</v>
      </c>
      <c r="AG140" s="114" t="s">
        <v>43</v>
      </c>
      <c r="AI140" s="104">
        <v>2037</v>
      </c>
      <c r="AJ140">
        <v>1323</v>
      </c>
    </row>
    <row r="141" spans="2:36" hidden="1" x14ac:dyDescent="0.25">
      <c r="B141" s="24" t="s">
        <v>135</v>
      </c>
      <c r="C141" s="24">
        <v>2</v>
      </c>
      <c r="D141" s="24"/>
      <c r="E141" s="23">
        <v>39161</v>
      </c>
      <c r="F141" s="104">
        <f t="shared" si="18"/>
        <v>2617</v>
      </c>
      <c r="G141" s="23">
        <v>41198</v>
      </c>
      <c r="H141" s="25">
        <v>41778</v>
      </c>
      <c r="I141" s="104">
        <f t="shared" si="17"/>
        <v>2037</v>
      </c>
      <c r="J141" s="19">
        <f t="shared" si="23"/>
        <v>580</v>
      </c>
      <c r="K141" t="s">
        <v>69</v>
      </c>
      <c r="L141" s="24">
        <v>5.16</v>
      </c>
      <c r="M141" s="19">
        <f t="shared" si="19"/>
        <v>1</v>
      </c>
      <c r="N141" s="19">
        <f t="shared" si="20"/>
        <v>1</v>
      </c>
      <c r="O141" s="19">
        <f t="shared" si="21"/>
        <v>1</v>
      </c>
      <c r="P141" s="19">
        <f t="shared" si="22"/>
        <v>1</v>
      </c>
      <c r="Q141" s="24">
        <v>57</v>
      </c>
      <c r="R141" s="24">
        <v>17</v>
      </c>
      <c r="S141" s="24">
        <v>0</v>
      </c>
      <c r="T141" s="127">
        <v>0</v>
      </c>
      <c r="U141" s="127">
        <v>0</v>
      </c>
      <c r="V141" s="4">
        <v>60</v>
      </c>
      <c r="W141" s="24">
        <v>0</v>
      </c>
      <c r="X141" s="24">
        <v>2</v>
      </c>
      <c r="Y141" s="24">
        <v>0.35</v>
      </c>
      <c r="Z141" s="24">
        <v>2.5</v>
      </c>
      <c r="AA141" s="24">
        <v>0.35</v>
      </c>
      <c r="AB141" s="24">
        <v>0</v>
      </c>
      <c r="AC141" s="24">
        <v>0</v>
      </c>
      <c r="AD141" s="24">
        <v>0</v>
      </c>
      <c r="AE141" s="24" t="s">
        <v>47</v>
      </c>
      <c r="AF141" s="138" t="s">
        <v>42</v>
      </c>
      <c r="AG141" s="114" t="s">
        <v>43</v>
      </c>
      <c r="AI141" s="104">
        <v>2047</v>
      </c>
      <c r="AJ141">
        <v>1330</v>
      </c>
    </row>
    <row r="142" spans="2:36" hidden="1" x14ac:dyDescent="0.25">
      <c r="B142" s="24" t="s">
        <v>135</v>
      </c>
      <c r="C142" s="24">
        <v>2</v>
      </c>
      <c r="D142" s="24"/>
      <c r="E142" s="23">
        <v>39161</v>
      </c>
      <c r="F142" s="104">
        <f t="shared" si="18"/>
        <v>2617</v>
      </c>
      <c r="G142" s="23">
        <v>41208</v>
      </c>
      <c r="H142" s="25">
        <v>41778</v>
      </c>
      <c r="I142" s="104">
        <f t="shared" si="17"/>
        <v>2047</v>
      </c>
      <c r="J142" s="19">
        <f t="shared" si="23"/>
        <v>570</v>
      </c>
      <c r="K142" t="s">
        <v>69</v>
      </c>
      <c r="L142" s="24">
        <v>5.16</v>
      </c>
      <c r="M142" s="19">
        <f t="shared" si="19"/>
        <v>1</v>
      </c>
      <c r="N142" s="19">
        <f t="shared" si="20"/>
        <v>1</v>
      </c>
      <c r="O142" s="19">
        <f t="shared" si="21"/>
        <v>1</v>
      </c>
      <c r="P142" s="19">
        <f t="shared" si="22"/>
        <v>1</v>
      </c>
      <c r="Q142" s="24">
        <v>0</v>
      </c>
      <c r="R142" s="24">
        <v>68</v>
      </c>
      <c r="S142" s="24">
        <v>0</v>
      </c>
      <c r="T142" s="127">
        <v>0</v>
      </c>
      <c r="U142" s="127">
        <v>0</v>
      </c>
      <c r="V142" s="4">
        <v>60</v>
      </c>
      <c r="W142" s="24">
        <v>0</v>
      </c>
      <c r="X142" s="24">
        <v>2</v>
      </c>
      <c r="Y142" s="24">
        <v>0.35</v>
      </c>
      <c r="Z142" s="24">
        <v>2.5</v>
      </c>
      <c r="AA142" s="24">
        <v>0.35</v>
      </c>
      <c r="AB142" s="24">
        <v>0</v>
      </c>
      <c r="AC142" s="24">
        <v>0</v>
      </c>
      <c r="AD142" s="24">
        <v>0</v>
      </c>
      <c r="AE142" s="24" t="s">
        <v>47</v>
      </c>
      <c r="AF142" s="138" t="s">
        <v>42</v>
      </c>
      <c r="AG142" s="114" t="s">
        <v>43</v>
      </c>
      <c r="AI142" s="104">
        <v>2190</v>
      </c>
      <c r="AJ142">
        <v>1331</v>
      </c>
    </row>
    <row r="143" spans="2:36" hidden="1" x14ac:dyDescent="0.25">
      <c r="B143" s="24" t="s">
        <v>135</v>
      </c>
      <c r="C143" s="24">
        <v>2</v>
      </c>
      <c r="D143" s="24"/>
      <c r="E143" s="23">
        <v>39161</v>
      </c>
      <c r="F143" s="104">
        <f t="shared" si="18"/>
        <v>2617</v>
      </c>
      <c r="G143" s="23">
        <v>41351</v>
      </c>
      <c r="H143" s="25">
        <v>41778</v>
      </c>
      <c r="I143" s="104">
        <f t="shared" si="17"/>
        <v>2190</v>
      </c>
      <c r="J143" s="19">
        <f t="shared" si="23"/>
        <v>427</v>
      </c>
      <c r="K143" t="s">
        <v>69</v>
      </c>
      <c r="L143" s="24">
        <v>5.15</v>
      </c>
      <c r="M143" s="19">
        <f t="shared" si="19"/>
        <v>0</v>
      </c>
      <c r="N143" s="19">
        <f t="shared" si="20"/>
        <v>1</v>
      </c>
      <c r="O143" s="19">
        <f t="shared" si="21"/>
        <v>1</v>
      </c>
      <c r="P143" s="19">
        <f t="shared" si="22"/>
        <v>1</v>
      </c>
      <c r="Q143" s="24">
        <f>63+36</f>
        <v>99</v>
      </c>
      <c r="R143" s="24">
        <v>0</v>
      </c>
      <c r="S143" s="24">
        <v>0</v>
      </c>
      <c r="T143" s="127">
        <v>0</v>
      </c>
      <c r="U143" s="127">
        <v>0</v>
      </c>
      <c r="V143" s="4">
        <v>60</v>
      </c>
      <c r="W143" s="24">
        <v>1</v>
      </c>
      <c r="X143" s="24">
        <v>2</v>
      </c>
      <c r="Y143" s="24">
        <v>0.35</v>
      </c>
      <c r="Z143" s="24">
        <v>2.5</v>
      </c>
      <c r="AA143" s="24">
        <v>0.35</v>
      </c>
      <c r="AB143" s="24">
        <v>0</v>
      </c>
      <c r="AC143" s="24">
        <v>0</v>
      </c>
      <c r="AD143" s="24">
        <v>0</v>
      </c>
      <c r="AE143" s="24" t="s">
        <v>47</v>
      </c>
      <c r="AF143" s="138" t="s">
        <v>42</v>
      </c>
      <c r="AG143" s="114" t="s">
        <v>28</v>
      </c>
      <c r="AI143" s="104">
        <v>2267</v>
      </c>
      <c r="AJ143">
        <v>1336</v>
      </c>
    </row>
    <row r="144" spans="2:36" hidden="1" x14ac:dyDescent="0.25">
      <c r="B144" s="24" t="s">
        <v>135</v>
      </c>
      <c r="C144" s="24">
        <v>2</v>
      </c>
      <c r="D144" s="24"/>
      <c r="E144" s="23">
        <v>39161</v>
      </c>
      <c r="F144" s="104">
        <f t="shared" si="18"/>
        <v>2617</v>
      </c>
      <c r="G144" s="27">
        <v>41428</v>
      </c>
      <c r="H144" s="25">
        <v>41778</v>
      </c>
      <c r="I144" s="104">
        <f t="shared" si="17"/>
        <v>2267</v>
      </c>
      <c r="J144" s="19">
        <f t="shared" si="23"/>
        <v>350</v>
      </c>
      <c r="K144" t="s">
        <v>69</v>
      </c>
      <c r="L144" s="24">
        <v>5.14</v>
      </c>
      <c r="M144" s="19">
        <f t="shared" si="19"/>
        <v>0</v>
      </c>
      <c r="N144" s="19">
        <f t="shared" si="20"/>
        <v>0</v>
      </c>
      <c r="O144" s="19">
        <f t="shared" si="21"/>
        <v>1</v>
      </c>
      <c r="P144" s="19">
        <f t="shared" si="22"/>
        <v>1</v>
      </c>
      <c r="Q144" s="24">
        <f>67+32</f>
        <v>99</v>
      </c>
      <c r="R144" s="24">
        <f>1+2</f>
        <v>3</v>
      </c>
      <c r="S144" s="24">
        <v>0</v>
      </c>
      <c r="T144" s="127">
        <v>0</v>
      </c>
      <c r="U144" s="127">
        <v>0</v>
      </c>
      <c r="V144" s="4">
        <v>60</v>
      </c>
      <c r="W144" s="24">
        <v>1</v>
      </c>
      <c r="X144" s="24">
        <v>2</v>
      </c>
      <c r="Y144" s="24">
        <v>0.35</v>
      </c>
      <c r="Z144" s="24">
        <v>2.5</v>
      </c>
      <c r="AA144" s="24">
        <v>0.35</v>
      </c>
      <c r="AB144" s="24">
        <v>0</v>
      </c>
      <c r="AC144" s="24">
        <v>0</v>
      </c>
      <c r="AD144" s="24">
        <v>0</v>
      </c>
      <c r="AE144" s="24" t="s">
        <v>47</v>
      </c>
      <c r="AF144" s="138" t="s">
        <v>42</v>
      </c>
      <c r="AG144" s="114" t="s">
        <v>28</v>
      </c>
      <c r="AI144" s="104">
        <v>2386</v>
      </c>
      <c r="AJ144">
        <v>1337</v>
      </c>
    </row>
    <row r="145" spans="2:36" hidden="1" x14ac:dyDescent="0.25">
      <c r="B145" s="24" t="s">
        <v>135</v>
      </c>
      <c r="C145" s="24">
        <v>2</v>
      </c>
      <c r="D145" s="24"/>
      <c r="E145" s="23">
        <v>39161</v>
      </c>
      <c r="F145" s="104">
        <f t="shared" si="18"/>
        <v>2617</v>
      </c>
      <c r="G145" s="27">
        <v>41547</v>
      </c>
      <c r="H145" s="25">
        <v>41778</v>
      </c>
      <c r="I145" s="104">
        <f t="shared" si="17"/>
        <v>2386</v>
      </c>
      <c r="J145" s="19">
        <f t="shared" si="23"/>
        <v>231</v>
      </c>
      <c r="K145" t="s">
        <v>69</v>
      </c>
      <c r="L145" s="24">
        <v>5.12</v>
      </c>
      <c r="M145" s="19">
        <f t="shared" si="19"/>
        <v>0</v>
      </c>
      <c r="N145" s="19">
        <f t="shared" si="20"/>
        <v>0</v>
      </c>
      <c r="O145" s="19">
        <f t="shared" si="21"/>
        <v>1</v>
      </c>
      <c r="P145" s="19">
        <f t="shared" si="22"/>
        <v>1</v>
      </c>
      <c r="Q145" s="24">
        <f>65+35</f>
        <v>100</v>
      </c>
      <c r="R145" s="24">
        <f>15+8</f>
        <v>23</v>
      </c>
      <c r="S145" s="24">
        <v>0</v>
      </c>
      <c r="T145" s="127">
        <v>0</v>
      </c>
      <c r="U145" s="127">
        <v>0</v>
      </c>
      <c r="V145" s="4">
        <v>60</v>
      </c>
      <c r="W145" s="24">
        <v>1</v>
      </c>
      <c r="X145" s="24">
        <v>2</v>
      </c>
      <c r="Y145" s="24">
        <v>0.35</v>
      </c>
      <c r="Z145" s="24">
        <v>2.5</v>
      </c>
      <c r="AA145" s="24">
        <v>0.35</v>
      </c>
      <c r="AB145" s="24">
        <v>0</v>
      </c>
      <c r="AC145" s="24">
        <v>0</v>
      </c>
      <c r="AD145" s="24">
        <v>0</v>
      </c>
      <c r="AE145" s="24" t="s">
        <v>47</v>
      </c>
      <c r="AF145" s="138" t="s">
        <v>42</v>
      </c>
      <c r="AG145" s="114" t="s">
        <v>28</v>
      </c>
      <c r="AI145" s="104">
        <v>2562</v>
      </c>
      <c r="AJ145">
        <v>1342</v>
      </c>
    </row>
    <row r="146" spans="2:36" hidden="1" x14ac:dyDescent="0.25">
      <c r="B146" s="24" t="s">
        <v>135</v>
      </c>
      <c r="C146" s="24">
        <v>2</v>
      </c>
      <c r="D146" s="24"/>
      <c r="E146" s="23">
        <v>39161</v>
      </c>
      <c r="F146" s="104">
        <f t="shared" si="18"/>
        <v>2617</v>
      </c>
      <c r="G146" s="27">
        <v>41723</v>
      </c>
      <c r="H146" s="25">
        <v>41778</v>
      </c>
      <c r="I146" s="104">
        <f t="shared" si="17"/>
        <v>2562</v>
      </c>
      <c r="J146" s="19">
        <f t="shared" si="23"/>
        <v>55</v>
      </c>
      <c r="K146" t="s">
        <v>69</v>
      </c>
      <c r="L146" s="24">
        <v>5.04</v>
      </c>
      <c r="M146" s="19">
        <f t="shared" si="19"/>
        <v>0</v>
      </c>
      <c r="N146" s="19">
        <f t="shared" si="20"/>
        <v>0</v>
      </c>
      <c r="O146" s="19">
        <f t="shared" si="21"/>
        <v>0</v>
      </c>
      <c r="P146" s="19">
        <f t="shared" si="22"/>
        <v>0</v>
      </c>
      <c r="Q146" s="24">
        <f>68+31</f>
        <v>99</v>
      </c>
      <c r="R146" s="24">
        <f>21+10</f>
        <v>31</v>
      </c>
      <c r="S146" s="24">
        <v>0</v>
      </c>
      <c r="T146" s="127">
        <v>0</v>
      </c>
      <c r="U146" s="127">
        <v>0</v>
      </c>
      <c r="V146" s="4">
        <v>60</v>
      </c>
      <c r="W146" s="24">
        <v>1</v>
      </c>
      <c r="X146" s="24">
        <v>2</v>
      </c>
      <c r="Y146" s="24">
        <v>0.35</v>
      </c>
      <c r="Z146" s="24">
        <v>2.5</v>
      </c>
      <c r="AA146" s="24">
        <v>0.35</v>
      </c>
      <c r="AB146" s="24">
        <v>0</v>
      </c>
      <c r="AC146" s="24">
        <v>0</v>
      </c>
      <c r="AD146" s="24">
        <v>0</v>
      </c>
      <c r="AE146" s="24" t="s">
        <v>47</v>
      </c>
      <c r="AF146" s="138" t="s">
        <v>42</v>
      </c>
      <c r="AG146" s="114" t="s">
        <v>28</v>
      </c>
      <c r="AI146" s="104">
        <v>2617</v>
      </c>
      <c r="AJ146">
        <v>1351</v>
      </c>
    </row>
    <row r="147" spans="2:36" hidden="1" x14ac:dyDescent="0.25">
      <c r="B147" s="24" t="s">
        <v>135</v>
      </c>
      <c r="C147" s="24">
        <v>2</v>
      </c>
      <c r="E147" s="27">
        <v>39161</v>
      </c>
      <c r="F147" s="104">
        <f t="shared" si="18"/>
        <v>2617</v>
      </c>
      <c r="G147" s="25">
        <v>41778</v>
      </c>
      <c r="H147" s="25">
        <v>41778</v>
      </c>
      <c r="I147" s="104">
        <f t="shared" si="17"/>
        <v>2617</v>
      </c>
      <c r="J147" s="19">
        <f t="shared" si="23"/>
        <v>0</v>
      </c>
      <c r="K147" t="s">
        <v>69</v>
      </c>
      <c r="L147" s="4">
        <v>4.97</v>
      </c>
      <c r="M147" s="19">
        <f t="shared" si="19"/>
        <v>0</v>
      </c>
      <c r="N147" s="19">
        <f t="shared" si="20"/>
        <v>0</v>
      </c>
      <c r="O147" s="19">
        <f t="shared" si="21"/>
        <v>0</v>
      </c>
      <c r="P147" s="19">
        <f t="shared" si="22"/>
        <v>0</v>
      </c>
      <c r="Q147" s="4">
        <f>44+19</f>
        <v>63</v>
      </c>
      <c r="R147" s="4">
        <f>52+19</f>
        <v>71</v>
      </c>
      <c r="S147" s="24">
        <v>0</v>
      </c>
      <c r="T147" s="127">
        <v>0</v>
      </c>
      <c r="U147" s="127">
        <v>0</v>
      </c>
      <c r="V147" s="4">
        <v>60</v>
      </c>
      <c r="W147" s="4">
        <v>1</v>
      </c>
      <c r="X147" s="4">
        <v>2</v>
      </c>
      <c r="Y147" s="4">
        <v>0.35</v>
      </c>
      <c r="Z147" s="4">
        <v>2.5</v>
      </c>
      <c r="AA147" s="4">
        <v>0.35</v>
      </c>
      <c r="AB147" s="24">
        <v>0</v>
      </c>
      <c r="AC147" s="24">
        <v>0</v>
      </c>
      <c r="AD147" s="24">
        <v>0</v>
      </c>
      <c r="AE147" s="4" t="s">
        <v>47</v>
      </c>
      <c r="AF147" s="138" t="s">
        <v>42</v>
      </c>
      <c r="AG147" s="118" t="s">
        <v>106</v>
      </c>
      <c r="AI147" s="104">
        <v>1522</v>
      </c>
      <c r="AJ147">
        <v>1351</v>
      </c>
    </row>
    <row r="148" spans="2:36" x14ac:dyDescent="0.25">
      <c r="B148" s="24" t="s">
        <v>171</v>
      </c>
      <c r="C148" s="24">
        <v>2</v>
      </c>
      <c r="D148" s="24"/>
      <c r="E148" s="42">
        <v>39045</v>
      </c>
      <c r="F148" s="104">
        <f t="shared" si="18"/>
        <v>3043</v>
      </c>
      <c r="G148" s="23">
        <v>40567</v>
      </c>
      <c r="H148" s="43">
        <v>42088</v>
      </c>
      <c r="I148" s="104">
        <f t="shared" si="17"/>
        <v>1522</v>
      </c>
      <c r="J148" s="19">
        <f t="shared" si="23"/>
        <v>1521</v>
      </c>
      <c r="K148" s="83" t="s">
        <v>65</v>
      </c>
      <c r="L148" s="40">
        <v>5.27</v>
      </c>
      <c r="M148" s="19">
        <f t="shared" si="19"/>
        <v>1</v>
      </c>
      <c r="N148" s="19">
        <f t="shared" si="20"/>
        <v>1</v>
      </c>
      <c r="O148" s="19">
        <f t="shared" si="21"/>
        <v>1</v>
      </c>
      <c r="P148" s="19">
        <f t="shared" si="22"/>
        <v>1</v>
      </c>
      <c r="Q148" s="24">
        <v>0</v>
      </c>
      <c r="R148" s="24">
        <v>0</v>
      </c>
      <c r="S148" s="24">
        <v>0</v>
      </c>
      <c r="T148" s="129">
        <v>0</v>
      </c>
      <c r="U148" s="129">
        <v>0</v>
      </c>
      <c r="V148" s="24">
        <v>50</v>
      </c>
      <c r="W148" s="24">
        <v>0</v>
      </c>
      <c r="X148" s="24">
        <v>2.5</v>
      </c>
      <c r="Y148" s="24">
        <v>0.35</v>
      </c>
      <c r="Z148" s="24">
        <v>2.5</v>
      </c>
      <c r="AA148" s="24">
        <v>0.35</v>
      </c>
      <c r="AB148" s="24">
        <v>0</v>
      </c>
      <c r="AC148" s="24">
        <v>0</v>
      </c>
      <c r="AD148" s="24">
        <v>0</v>
      </c>
      <c r="AE148" s="24" t="s">
        <v>67</v>
      </c>
      <c r="AF148" s="114" t="s">
        <v>42</v>
      </c>
      <c r="AG148" s="114" t="s">
        <v>69</v>
      </c>
      <c r="AI148" s="104">
        <v>1663</v>
      </c>
      <c r="AJ148">
        <v>1356</v>
      </c>
    </row>
    <row r="149" spans="2:36" x14ac:dyDescent="0.25">
      <c r="B149" s="24" t="s">
        <v>171</v>
      </c>
      <c r="C149" s="24">
        <v>2</v>
      </c>
      <c r="D149" s="24"/>
      <c r="E149" s="42">
        <v>39045</v>
      </c>
      <c r="F149" s="104">
        <f t="shared" si="18"/>
        <v>3043</v>
      </c>
      <c r="G149" s="23">
        <v>40708</v>
      </c>
      <c r="H149" s="43">
        <v>42088</v>
      </c>
      <c r="I149" s="104">
        <f t="shared" si="17"/>
        <v>1663</v>
      </c>
      <c r="J149" s="19">
        <f t="shared" si="23"/>
        <v>1380</v>
      </c>
      <c r="K149" s="83" t="s">
        <v>65</v>
      </c>
      <c r="L149" s="24">
        <v>5.51</v>
      </c>
      <c r="M149" s="19">
        <f t="shared" si="19"/>
        <v>1</v>
      </c>
      <c r="N149" s="19">
        <f t="shared" si="20"/>
        <v>1</v>
      </c>
      <c r="O149" s="19">
        <f t="shared" si="21"/>
        <v>1</v>
      </c>
      <c r="P149" s="19">
        <f t="shared" si="22"/>
        <v>1</v>
      </c>
      <c r="Q149" s="24">
        <v>0</v>
      </c>
      <c r="R149" s="24">
        <v>0</v>
      </c>
      <c r="S149" s="24">
        <v>0</v>
      </c>
      <c r="T149" s="129">
        <v>0</v>
      </c>
      <c r="U149" s="129">
        <v>1</v>
      </c>
      <c r="V149" s="24">
        <v>50</v>
      </c>
      <c r="W149" s="24">
        <v>0</v>
      </c>
      <c r="X149" s="24">
        <v>2.5</v>
      </c>
      <c r="Y149" s="24">
        <v>0.35</v>
      </c>
      <c r="Z149" s="24">
        <v>2.5</v>
      </c>
      <c r="AA149" s="24">
        <v>0.35</v>
      </c>
      <c r="AB149" s="24">
        <v>0</v>
      </c>
      <c r="AC149" s="24">
        <v>0</v>
      </c>
      <c r="AD149" s="24">
        <v>0</v>
      </c>
      <c r="AE149" s="24" t="s">
        <v>67</v>
      </c>
      <c r="AF149" s="114" t="s">
        <v>46</v>
      </c>
      <c r="AG149" s="114" t="s">
        <v>69</v>
      </c>
      <c r="AI149" s="104">
        <v>2048</v>
      </c>
      <c r="AJ149">
        <v>1358</v>
      </c>
    </row>
    <row r="150" spans="2:36" x14ac:dyDescent="0.25">
      <c r="B150" s="24" t="s">
        <v>171</v>
      </c>
      <c r="C150" s="24">
        <v>2</v>
      </c>
      <c r="D150" s="24"/>
      <c r="E150" s="42">
        <v>39045</v>
      </c>
      <c r="F150" s="104">
        <f t="shared" si="18"/>
        <v>3043</v>
      </c>
      <c r="G150" s="27">
        <v>41093</v>
      </c>
      <c r="H150" s="43">
        <v>42088</v>
      </c>
      <c r="I150" s="104">
        <f t="shared" si="17"/>
        <v>2048</v>
      </c>
      <c r="J150" s="19">
        <f t="shared" si="23"/>
        <v>995</v>
      </c>
      <c r="K150" s="83" t="s">
        <v>65</v>
      </c>
      <c r="L150" s="40">
        <v>5.18</v>
      </c>
      <c r="M150" s="19">
        <f t="shared" si="19"/>
        <v>1</v>
      </c>
      <c r="N150" s="19">
        <f t="shared" si="20"/>
        <v>1</v>
      </c>
      <c r="O150" s="19">
        <f t="shared" si="21"/>
        <v>1</v>
      </c>
      <c r="P150" s="19">
        <f t="shared" si="22"/>
        <v>1</v>
      </c>
      <c r="Q150" s="24">
        <v>1</v>
      </c>
      <c r="R150" s="24">
        <v>0</v>
      </c>
      <c r="S150" s="24">
        <v>0</v>
      </c>
      <c r="T150" s="127">
        <v>0</v>
      </c>
      <c r="U150" s="127">
        <v>1</v>
      </c>
      <c r="V150" s="24">
        <v>50</v>
      </c>
      <c r="W150" s="24">
        <v>0</v>
      </c>
      <c r="X150" s="24">
        <v>2.5</v>
      </c>
      <c r="Y150" s="24">
        <v>0.35</v>
      </c>
      <c r="Z150" s="24">
        <v>2.5</v>
      </c>
      <c r="AA150" s="24">
        <v>0.35</v>
      </c>
      <c r="AB150" s="24">
        <v>0</v>
      </c>
      <c r="AC150" s="24">
        <v>0</v>
      </c>
      <c r="AD150" s="24">
        <v>0</v>
      </c>
      <c r="AE150" s="24" t="s">
        <v>67</v>
      </c>
      <c r="AF150" s="145" t="s">
        <v>46</v>
      </c>
      <c r="AG150" s="114" t="s">
        <v>69</v>
      </c>
      <c r="AI150" s="104">
        <v>2266</v>
      </c>
      <c r="AJ150">
        <v>1360</v>
      </c>
    </row>
    <row r="151" spans="2:36" x14ac:dyDescent="0.25">
      <c r="B151" s="24" t="s">
        <v>171</v>
      </c>
      <c r="C151" s="24">
        <v>2</v>
      </c>
      <c r="D151" s="24"/>
      <c r="E151" s="42">
        <v>39045</v>
      </c>
      <c r="F151" s="104">
        <f t="shared" si="18"/>
        <v>3043</v>
      </c>
      <c r="G151" s="27">
        <v>41311</v>
      </c>
      <c r="H151" s="43">
        <v>42088</v>
      </c>
      <c r="I151" s="104">
        <f t="shared" si="17"/>
        <v>2266</v>
      </c>
      <c r="J151" s="19">
        <f t="shared" si="23"/>
        <v>777</v>
      </c>
      <c r="K151" s="83" t="s">
        <v>65</v>
      </c>
      <c r="L151" s="24">
        <v>5.15</v>
      </c>
      <c r="M151" s="19">
        <f t="shared" si="19"/>
        <v>1</v>
      </c>
      <c r="N151" s="19">
        <f t="shared" si="20"/>
        <v>1</v>
      </c>
      <c r="O151" s="19">
        <f t="shared" si="21"/>
        <v>1</v>
      </c>
      <c r="P151" s="19">
        <f t="shared" si="22"/>
        <v>1</v>
      </c>
      <c r="Q151" s="24">
        <v>1</v>
      </c>
      <c r="R151" s="24">
        <v>0</v>
      </c>
      <c r="S151" s="24">
        <v>0</v>
      </c>
      <c r="T151" s="127">
        <v>0</v>
      </c>
      <c r="U151" s="127">
        <v>0</v>
      </c>
      <c r="V151" s="24">
        <v>50</v>
      </c>
      <c r="W151" s="24">
        <v>0</v>
      </c>
      <c r="X151" s="24">
        <v>2.5</v>
      </c>
      <c r="Y151" s="24">
        <v>0.35</v>
      </c>
      <c r="Z151" s="24">
        <v>2.5</v>
      </c>
      <c r="AA151" s="24">
        <v>0.35</v>
      </c>
      <c r="AB151" s="24">
        <v>0</v>
      </c>
      <c r="AC151" s="24">
        <v>0</v>
      </c>
      <c r="AD151" s="24">
        <v>0</v>
      </c>
      <c r="AE151" s="24" t="s">
        <v>67</v>
      </c>
      <c r="AF151" s="145" t="s">
        <v>42</v>
      </c>
      <c r="AG151" s="114" t="s">
        <v>69</v>
      </c>
      <c r="AI151" s="104">
        <v>2377</v>
      </c>
      <c r="AJ151">
        <v>1365</v>
      </c>
    </row>
    <row r="152" spans="2:36" x14ac:dyDescent="0.25">
      <c r="B152" s="24" t="s">
        <v>171</v>
      </c>
      <c r="C152" s="24">
        <v>2</v>
      </c>
      <c r="D152" s="24"/>
      <c r="E152" s="42">
        <v>39045</v>
      </c>
      <c r="F152" s="104">
        <f t="shared" si="18"/>
        <v>3043</v>
      </c>
      <c r="G152" s="27">
        <v>41422</v>
      </c>
      <c r="H152" s="43">
        <v>42088</v>
      </c>
      <c r="I152" s="104">
        <f t="shared" si="17"/>
        <v>2377</v>
      </c>
      <c r="J152" s="19">
        <f t="shared" si="23"/>
        <v>666</v>
      </c>
      <c r="K152" s="83" t="s">
        <v>65</v>
      </c>
      <c r="L152" s="24">
        <v>5.15</v>
      </c>
      <c r="M152" s="19">
        <f t="shared" si="19"/>
        <v>1</v>
      </c>
      <c r="N152" s="19">
        <f t="shared" si="20"/>
        <v>1</v>
      </c>
      <c r="O152" s="19">
        <f t="shared" si="21"/>
        <v>1</v>
      </c>
      <c r="P152" s="19">
        <f t="shared" si="22"/>
        <v>1</v>
      </c>
      <c r="Q152" s="24">
        <v>1</v>
      </c>
      <c r="R152" s="24">
        <v>0</v>
      </c>
      <c r="S152" s="24">
        <v>0</v>
      </c>
      <c r="T152" s="129">
        <v>0</v>
      </c>
      <c r="U152" s="129">
        <v>0</v>
      </c>
      <c r="V152" s="24">
        <v>50</v>
      </c>
      <c r="W152" s="24">
        <v>0</v>
      </c>
      <c r="X152" s="24">
        <v>2.5</v>
      </c>
      <c r="Y152" s="24">
        <v>0.35</v>
      </c>
      <c r="Z152" s="24">
        <v>2.5</v>
      </c>
      <c r="AA152" s="24">
        <v>0.35</v>
      </c>
      <c r="AB152" s="24">
        <v>0</v>
      </c>
      <c r="AC152" s="24">
        <v>0</v>
      </c>
      <c r="AD152" s="24">
        <v>0</v>
      </c>
      <c r="AE152" s="24" t="s">
        <v>67</v>
      </c>
      <c r="AF152" s="114" t="s">
        <v>42</v>
      </c>
      <c r="AG152" s="114" t="s">
        <v>69</v>
      </c>
      <c r="AI152" s="104">
        <v>2483</v>
      </c>
      <c r="AJ152">
        <v>1365</v>
      </c>
    </row>
    <row r="153" spans="2:36" x14ac:dyDescent="0.25">
      <c r="B153" s="24" t="s">
        <v>171</v>
      </c>
      <c r="C153" s="24">
        <v>2</v>
      </c>
      <c r="D153" s="24"/>
      <c r="E153" s="42">
        <v>39045</v>
      </c>
      <c r="F153" s="104">
        <f t="shared" si="18"/>
        <v>3043</v>
      </c>
      <c r="G153" s="27">
        <v>41528</v>
      </c>
      <c r="H153" s="43">
        <v>42088</v>
      </c>
      <c r="I153" s="104">
        <f t="shared" si="17"/>
        <v>2483</v>
      </c>
      <c r="J153" s="19">
        <f t="shared" si="23"/>
        <v>560</v>
      </c>
      <c r="K153" s="83" t="s">
        <v>65</v>
      </c>
      <c r="L153" s="24">
        <v>5.14</v>
      </c>
      <c r="M153" s="19">
        <f t="shared" si="19"/>
        <v>1</v>
      </c>
      <c r="N153" s="19">
        <f t="shared" si="20"/>
        <v>1</v>
      </c>
      <c r="O153" s="19">
        <f t="shared" si="21"/>
        <v>1</v>
      </c>
      <c r="P153" s="19">
        <f t="shared" si="22"/>
        <v>1</v>
      </c>
      <c r="Q153" s="24">
        <v>1</v>
      </c>
      <c r="R153" s="24">
        <v>0</v>
      </c>
      <c r="S153" s="24">
        <v>0</v>
      </c>
      <c r="T153" s="129">
        <v>0</v>
      </c>
      <c r="U153" s="129">
        <v>0</v>
      </c>
      <c r="V153" s="24">
        <v>50</v>
      </c>
      <c r="W153" s="24">
        <v>0</v>
      </c>
      <c r="X153" s="24">
        <v>2.5</v>
      </c>
      <c r="Y153" s="24">
        <v>0.35</v>
      </c>
      <c r="Z153" s="24">
        <v>2.5</v>
      </c>
      <c r="AA153" s="24">
        <v>0.35</v>
      </c>
      <c r="AB153" s="24">
        <v>0</v>
      </c>
      <c r="AC153" s="24">
        <v>0</v>
      </c>
      <c r="AD153" s="24">
        <v>0</v>
      </c>
      <c r="AE153" s="24" t="s">
        <v>67</v>
      </c>
      <c r="AF153" s="114" t="s">
        <v>42</v>
      </c>
      <c r="AG153" s="114" t="s">
        <v>69</v>
      </c>
      <c r="AI153" s="104">
        <v>2664</v>
      </c>
      <c r="AJ153">
        <v>1366</v>
      </c>
    </row>
    <row r="154" spans="2:36" x14ac:dyDescent="0.25">
      <c r="B154" s="24" t="s">
        <v>171</v>
      </c>
      <c r="C154" s="24">
        <v>2</v>
      </c>
      <c r="D154" s="24"/>
      <c r="E154" s="42">
        <v>39045</v>
      </c>
      <c r="F154" s="104">
        <f t="shared" si="18"/>
        <v>3043</v>
      </c>
      <c r="G154" s="43">
        <v>41709</v>
      </c>
      <c r="H154" s="43">
        <v>42088</v>
      </c>
      <c r="I154" s="104">
        <f t="shared" si="17"/>
        <v>2664</v>
      </c>
      <c r="J154" s="19">
        <f t="shared" si="23"/>
        <v>379</v>
      </c>
      <c r="K154" s="83" t="s">
        <v>65</v>
      </c>
      <c r="L154" s="2">
        <v>5.13</v>
      </c>
      <c r="M154" s="19">
        <f t="shared" si="19"/>
        <v>0</v>
      </c>
      <c r="N154" s="19">
        <f t="shared" si="20"/>
        <v>1</v>
      </c>
      <c r="O154" s="19">
        <f t="shared" si="21"/>
        <v>1</v>
      </c>
      <c r="P154" s="19">
        <f t="shared" si="22"/>
        <v>1</v>
      </c>
      <c r="Q154" s="24">
        <v>1</v>
      </c>
      <c r="R154" s="24">
        <v>0</v>
      </c>
      <c r="S154" s="24">
        <v>0</v>
      </c>
      <c r="T154" s="125">
        <v>1</v>
      </c>
      <c r="U154" s="125">
        <v>0</v>
      </c>
      <c r="V154" s="24">
        <v>50</v>
      </c>
      <c r="W154" s="24">
        <v>0</v>
      </c>
      <c r="X154" s="24">
        <v>2.5</v>
      </c>
      <c r="Y154" s="24">
        <v>0.35</v>
      </c>
      <c r="Z154" s="24">
        <v>2.5</v>
      </c>
      <c r="AA154" s="24">
        <v>0.35</v>
      </c>
      <c r="AB154" s="24">
        <v>0</v>
      </c>
      <c r="AC154" s="24">
        <v>0</v>
      </c>
      <c r="AD154" s="24">
        <v>0</v>
      </c>
      <c r="AE154" s="24" t="s">
        <v>67</v>
      </c>
      <c r="AF154" s="118" t="s">
        <v>45</v>
      </c>
      <c r="AG154" s="114" t="s">
        <v>69</v>
      </c>
      <c r="AI154" s="104">
        <v>2812</v>
      </c>
      <c r="AJ154">
        <v>1369</v>
      </c>
    </row>
    <row r="155" spans="2:36" x14ac:dyDescent="0.25">
      <c r="B155" s="24" t="s">
        <v>171</v>
      </c>
      <c r="C155" s="24">
        <v>2</v>
      </c>
      <c r="D155" s="24"/>
      <c r="E155" s="42">
        <v>39045</v>
      </c>
      <c r="F155" s="104">
        <f t="shared" si="18"/>
        <v>3043</v>
      </c>
      <c r="G155" s="43">
        <v>41857</v>
      </c>
      <c r="H155" s="43">
        <v>42088</v>
      </c>
      <c r="I155" s="104">
        <f t="shared" si="17"/>
        <v>2812</v>
      </c>
      <c r="J155" s="19">
        <f t="shared" si="23"/>
        <v>231</v>
      </c>
      <c r="K155" s="83" t="s">
        <v>65</v>
      </c>
      <c r="L155" s="2">
        <v>5.07</v>
      </c>
      <c r="M155" s="19">
        <f t="shared" si="19"/>
        <v>0</v>
      </c>
      <c r="N155" s="19">
        <f t="shared" si="20"/>
        <v>0</v>
      </c>
      <c r="O155" s="19">
        <f t="shared" si="21"/>
        <v>1</v>
      </c>
      <c r="P155" s="19">
        <f t="shared" si="22"/>
        <v>1</v>
      </c>
      <c r="Q155" s="24">
        <v>3</v>
      </c>
      <c r="R155" s="24">
        <v>0</v>
      </c>
      <c r="S155" s="24">
        <v>0</v>
      </c>
      <c r="T155" s="129">
        <v>1</v>
      </c>
      <c r="U155" s="129">
        <v>0</v>
      </c>
      <c r="V155" s="24">
        <v>50</v>
      </c>
      <c r="W155" s="24">
        <v>0</v>
      </c>
      <c r="X155" s="24">
        <v>2.5</v>
      </c>
      <c r="Y155" s="24">
        <v>0.35</v>
      </c>
      <c r="Z155" s="24">
        <v>2.5</v>
      </c>
      <c r="AA155" s="24">
        <v>0.35</v>
      </c>
      <c r="AB155" s="24">
        <v>0</v>
      </c>
      <c r="AC155" s="24">
        <v>0</v>
      </c>
      <c r="AD155" s="24">
        <v>0</v>
      </c>
      <c r="AE155" s="24" t="s">
        <v>67</v>
      </c>
      <c r="AF155" s="114" t="s">
        <v>45</v>
      </c>
      <c r="AG155" s="114" t="s">
        <v>69</v>
      </c>
      <c r="AI155" s="104">
        <v>2852</v>
      </c>
      <c r="AJ155">
        <v>1379</v>
      </c>
    </row>
    <row r="156" spans="2:36" x14ac:dyDescent="0.25">
      <c r="B156" s="24" t="s">
        <v>171</v>
      </c>
      <c r="C156" s="24">
        <v>2</v>
      </c>
      <c r="D156" s="24"/>
      <c r="E156" s="42">
        <v>39045</v>
      </c>
      <c r="F156" s="104">
        <f t="shared" si="18"/>
        <v>3043</v>
      </c>
      <c r="G156" s="43">
        <v>41897</v>
      </c>
      <c r="H156" s="43">
        <v>42088</v>
      </c>
      <c r="I156" s="104">
        <f t="shared" si="17"/>
        <v>2852</v>
      </c>
      <c r="J156" s="19">
        <f t="shared" si="23"/>
        <v>191</v>
      </c>
      <c r="K156" s="83" t="s">
        <v>65</v>
      </c>
      <c r="L156" s="2">
        <v>5.05</v>
      </c>
      <c r="M156" s="19">
        <f t="shared" si="19"/>
        <v>0</v>
      </c>
      <c r="N156" s="19">
        <f t="shared" si="20"/>
        <v>0</v>
      </c>
      <c r="O156" s="19">
        <f t="shared" si="21"/>
        <v>1</v>
      </c>
      <c r="P156" s="19">
        <f t="shared" si="22"/>
        <v>1</v>
      </c>
      <c r="Q156" s="24">
        <v>4</v>
      </c>
      <c r="R156" s="24">
        <v>0</v>
      </c>
      <c r="S156" s="24">
        <v>0</v>
      </c>
      <c r="T156" s="125">
        <v>2</v>
      </c>
      <c r="U156" s="125">
        <v>0</v>
      </c>
      <c r="V156" s="24">
        <v>50</v>
      </c>
      <c r="W156" s="24">
        <v>0</v>
      </c>
      <c r="X156" s="24">
        <v>2.5</v>
      </c>
      <c r="Y156" s="24">
        <v>0.35</v>
      </c>
      <c r="Z156" s="24">
        <v>2.5</v>
      </c>
      <c r="AA156" s="24">
        <v>0.35</v>
      </c>
      <c r="AB156" s="24">
        <v>0</v>
      </c>
      <c r="AC156" s="24">
        <v>0</v>
      </c>
      <c r="AD156" s="24">
        <v>0</v>
      </c>
      <c r="AE156" s="24" t="s">
        <v>67</v>
      </c>
      <c r="AF156" s="118" t="s">
        <v>172</v>
      </c>
      <c r="AG156" s="114" t="s">
        <v>69</v>
      </c>
      <c r="AI156" s="104">
        <v>2937</v>
      </c>
      <c r="AJ156">
        <v>1383</v>
      </c>
    </row>
    <row r="157" spans="2:36" x14ac:dyDescent="0.25">
      <c r="B157" s="24" t="s">
        <v>171</v>
      </c>
      <c r="C157" s="24">
        <v>2</v>
      </c>
      <c r="D157" s="24"/>
      <c r="E157" s="42">
        <v>39045</v>
      </c>
      <c r="F157" s="104">
        <f t="shared" si="18"/>
        <v>3043</v>
      </c>
      <c r="G157" s="43">
        <v>41982</v>
      </c>
      <c r="H157" s="43">
        <v>42088</v>
      </c>
      <c r="I157" s="104">
        <f t="shared" si="17"/>
        <v>2937</v>
      </c>
      <c r="J157" s="19">
        <f t="shared" si="23"/>
        <v>106</v>
      </c>
      <c r="K157" s="83" t="s">
        <v>65</v>
      </c>
      <c r="L157" s="2">
        <v>4.9400000000000004</v>
      </c>
      <c r="M157" s="19">
        <f t="shared" si="19"/>
        <v>0</v>
      </c>
      <c r="N157" s="19">
        <f t="shared" si="20"/>
        <v>0</v>
      </c>
      <c r="O157" s="19">
        <f t="shared" si="21"/>
        <v>0</v>
      </c>
      <c r="P157" s="19">
        <f t="shared" si="22"/>
        <v>1</v>
      </c>
      <c r="Q157" s="24">
        <v>3</v>
      </c>
      <c r="R157" s="24">
        <v>0</v>
      </c>
      <c r="S157" s="24">
        <v>0</v>
      </c>
      <c r="T157" s="125">
        <v>0</v>
      </c>
      <c r="U157" s="125">
        <v>0</v>
      </c>
      <c r="V157" s="24">
        <v>50</v>
      </c>
      <c r="W157" s="24">
        <v>0</v>
      </c>
      <c r="X157" s="24">
        <v>2.5</v>
      </c>
      <c r="Y157" s="24">
        <v>0.35</v>
      </c>
      <c r="Z157" s="24">
        <v>2.5</v>
      </c>
      <c r="AA157" s="24">
        <v>0.35</v>
      </c>
      <c r="AB157" s="24">
        <v>0</v>
      </c>
      <c r="AC157" s="24">
        <v>0</v>
      </c>
      <c r="AD157" s="24">
        <v>0</v>
      </c>
      <c r="AE157" s="24" t="s">
        <v>67</v>
      </c>
      <c r="AF157" s="118" t="s">
        <v>42</v>
      </c>
      <c r="AG157" s="114" t="s">
        <v>69</v>
      </c>
      <c r="AI157" s="104">
        <v>3043</v>
      </c>
      <c r="AJ157">
        <v>1396</v>
      </c>
    </row>
    <row r="158" spans="2:36" x14ac:dyDescent="0.25">
      <c r="B158" s="24" t="s">
        <v>171</v>
      </c>
      <c r="C158" s="24">
        <v>2</v>
      </c>
      <c r="D158" s="24"/>
      <c r="E158" s="42">
        <v>39045</v>
      </c>
      <c r="F158" s="104">
        <f t="shared" si="18"/>
        <v>3043</v>
      </c>
      <c r="G158" s="43">
        <v>42088</v>
      </c>
      <c r="H158" s="43">
        <v>42088</v>
      </c>
      <c r="I158" s="104">
        <f t="shared" si="17"/>
        <v>3043</v>
      </c>
      <c r="J158" s="19">
        <f t="shared" si="23"/>
        <v>0</v>
      </c>
      <c r="K158" s="83" t="s">
        <v>65</v>
      </c>
      <c r="L158" s="2">
        <v>4.7</v>
      </c>
      <c r="M158" s="19">
        <f t="shared" si="19"/>
        <v>0</v>
      </c>
      <c r="N158" s="19">
        <f t="shared" si="20"/>
        <v>0</v>
      </c>
      <c r="O158" s="19">
        <f t="shared" si="21"/>
        <v>0</v>
      </c>
      <c r="P158" s="19">
        <f t="shared" si="22"/>
        <v>0</v>
      </c>
      <c r="Q158" s="24">
        <v>2</v>
      </c>
      <c r="R158" s="24">
        <v>0</v>
      </c>
      <c r="S158" s="24">
        <v>0</v>
      </c>
      <c r="T158" s="125">
        <v>1</v>
      </c>
      <c r="U158" s="125">
        <v>0</v>
      </c>
      <c r="V158" s="24">
        <v>50</v>
      </c>
      <c r="W158" s="24">
        <v>0</v>
      </c>
      <c r="X158" s="24">
        <v>2.5</v>
      </c>
      <c r="Y158" s="24">
        <v>0.35</v>
      </c>
      <c r="Z158" s="24">
        <v>2.5</v>
      </c>
      <c r="AA158" s="24">
        <v>0.35</v>
      </c>
      <c r="AB158" s="24">
        <v>0</v>
      </c>
      <c r="AC158" s="24">
        <v>0</v>
      </c>
      <c r="AD158" s="24">
        <v>0</v>
      </c>
      <c r="AE158" s="24" t="s">
        <v>67</v>
      </c>
      <c r="AF158" s="118" t="s">
        <v>45</v>
      </c>
      <c r="AG158" s="114" t="s">
        <v>69</v>
      </c>
      <c r="AI158" s="104">
        <v>1002</v>
      </c>
      <c r="AJ158">
        <v>1400</v>
      </c>
    </row>
    <row r="159" spans="2:36" hidden="1" x14ac:dyDescent="0.25">
      <c r="B159" s="24" t="s">
        <v>320</v>
      </c>
      <c r="C159" s="24">
        <v>1</v>
      </c>
      <c r="E159" s="27">
        <v>39244</v>
      </c>
      <c r="F159" s="104">
        <f t="shared" si="18"/>
        <v>1263</v>
      </c>
      <c r="G159" s="25">
        <v>40246</v>
      </c>
      <c r="H159" s="45">
        <v>40507</v>
      </c>
      <c r="I159" s="104">
        <f t="shared" si="17"/>
        <v>1002</v>
      </c>
      <c r="J159" s="19">
        <f t="shared" si="23"/>
        <v>261</v>
      </c>
      <c r="K159" t="s">
        <v>69</v>
      </c>
      <c r="L159" s="4">
        <v>6.06</v>
      </c>
      <c r="M159" s="19">
        <f t="shared" si="19"/>
        <v>0</v>
      </c>
      <c r="N159" s="19">
        <f t="shared" si="20"/>
        <v>0</v>
      </c>
      <c r="O159" s="19">
        <f t="shared" si="21"/>
        <v>1</v>
      </c>
      <c r="P159" s="19">
        <f t="shared" si="22"/>
        <v>1</v>
      </c>
      <c r="Q159" s="24">
        <v>0</v>
      </c>
      <c r="R159" s="4">
        <f>58+30</f>
        <v>88</v>
      </c>
      <c r="S159" s="24">
        <v>0</v>
      </c>
      <c r="T159" s="127">
        <v>2</v>
      </c>
      <c r="U159" s="127">
        <v>12</v>
      </c>
      <c r="V159" s="24">
        <v>50</v>
      </c>
      <c r="W159" s="4">
        <v>1</v>
      </c>
      <c r="X159" s="24">
        <v>0</v>
      </c>
      <c r="Y159" s="24">
        <v>0</v>
      </c>
      <c r="Z159" s="4">
        <v>2.5</v>
      </c>
      <c r="AA159" s="4">
        <v>0.35</v>
      </c>
      <c r="AB159" s="24">
        <v>0</v>
      </c>
      <c r="AC159" s="24">
        <v>0</v>
      </c>
      <c r="AD159" s="24">
        <v>0</v>
      </c>
      <c r="AE159" s="4" t="s">
        <v>67</v>
      </c>
      <c r="AF159" s="138" t="s">
        <v>319</v>
      </c>
      <c r="AG159" s="118">
        <v>1</v>
      </c>
      <c r="AI159" s="104">
        <v>1250</v>
      </c>
      <c r="AJ159">
        <v>1403</v>
      </c>
    </row>
    <row r="160" spans="2:36" hidden="1" x14ac:dyDescent="0.25">
      <c r="B160" s="24" t="s">
        <v>320</v>
      </c>
      <c r="C160" s="24">
        <v>1</v>
      </c>
      <c r="E160" s="27">
        <v>39244</v>
      </c>
      <c r="F160" s="104">
        <f t="shared" si="18"/>
        <v>1263</v>
      </c>
      <c r="G160" s="45">
        <v>40494</v>
      </c>
      <c r="H160" s="45">
        <v>40507</v>
      </c>
      <c r="I160" s="104">
        <f t="shared" si="17"/>
        <v>1250</v>
      </c>
      <c r="J160" s="19">
        <f t="shared" si="23"/>
        <v>13</v>
      </c>
      <c r="K160" t="s">
        <v>69</v>
      </c>
      <c r="L160" s="4">
        <v>5.87</v>
      </c>
      <c r="M160" s="19">
        <f t="shared" si="19"/>
        <v>0</v>
      </c>
      <c r="N160" s="19">
        <f t="shared" si="20"/>
        <v>0</v>
      </c>
      <c r="O160" s="19">
        <f t="shared" si="21"/>
        <v>0</v>
      </c>
      <c r="P160" s="19">
        <f t="shared" si="22"/>
        <v>0</v>
      </c>
      <c r="R160" s="4">
        <f>58+32</f>
        <v>90</v>
      </c>
      <c r="S160" s="24">
        <v>0</v>
      </c>
      <c r="T160" s="125">
        <v>0</v>
      </c>
      <c r="U160" s="125">
        <v>0</v>
      </c>
      <c r="V160" s="24">
        <v>50</v>
      </c>
      <c r="W160" s="4">
        <v>1</v>
      </c>
      <c r="X160" s="24">
        <v>0</v>
      </c>
      <c r="Y160" s="24">
        <v>0</v>
      </c>
      <c r="Z160" s="4">
        <v>2.5</v>
      </c>
      <c r="AA160" s="4">
        <v>0.35</v>
      </c>
      <c r="AB160" s="24">
        <v>0</v>
      </c>
      <c r="AC160" s="24">
        <v>0</v>
      </c>
      <c r="AD160" s="24">
        <v>0</v>
      </c>
      <c r="AE160" s="4" t="s">
        <v>67</v>
      </c>
      <c r="AF160" s="118" t="s">
        <v>42</v>
      </c>
      <c r="AG160" s="118">
        <v>1</v>
      </c>
      <c r="AI160" s="104">
        <v>1255</v>
      </c>
      <c r="AJ160">
        <v>1407</v>
      </c>
    </row>
    <row r="161" spans="2:36" hidden="1" x14ac:dyDescent="0.25">
      <c r="B161" s="24" t="s">
        <v>320</v>
      </c>
      <c r="C161" s="24">
        <v>1</v>
      </c>
      <c r="E161" s="27">
        <v>39244</v>
      </c>
      <c r="F161" s="104">
        <f t="shared" si="18"/>
        <v>1263</v>
      </c>
      <c r="G161" s="45">
        <v>40499</v>
      </c>
      <c r="H161" s="45">
        <v>40507</v>
      </c>
      <c r="I161" s="104">
        <f t="shared" si="17"/>
        <v>1255</v>
      </c>
      <c r="J161" s="19">
        <f t="shared" si="23"/>
        <v>8</v>
      </c>
      <c r="K161" t="s">
        <v>69</v>
      </c>
      <c r="L161" s="4">
        <v>5.87</v>
      </c>
      <c r="M161" s="19">
        <f t="shared" si="19"/>
        <v>0</v>
      </c>
      <c r="N161" s="19">
        <f t="shared" si="20"/>
        <v>0</v>
      </c>
      <c r="O161" s="19">
        <f t="shared" si="21"/>
        <v>0</v>
      </c>
      <c r="P161" s="19">
        <f t="shared" si="22"/>
        <v>0</v>
      </c>
      <c r="R161" s="4">
        <f>88+5</f>
        <v>93</v>
      </c>
      <c r="S161" s="24">
        <v>0</v>
      </c>
      <c r="T161" s="125">
        <v>0</v>
      </c>
      <c r="U161" s="125">
        <v>0</v>
      </c>
      <c r="V161" s="4">
        <v>70</v>
      </c>
      <c r="W161" s="4">
        <v>1</v>
      </c>
      <c r="X161" s="24">
        <v>0</v>
      </c>
      <c r="Y161" s="24">
        <v>0</v>
      </c>
      <c r="Z161" s="4">
        <v>2.5</v>
      </c>
      <c r="AA161" s="4">
        <v>0.35</v>
      </c>
      <c r="AB161" s="24">
        <v>0</v>
      </c>
      <c r="AC161" s="24">
        <v>0</v>
      </c>
      <c r="AD161" s="24">
        <v>0</v>
      </c>
      <c r="AE161" s="4" t="s">
        <v>105</v>
      </c>
      <c r="AF161" s="118" t="s">
        <v>42</v>
      </c>
      <c r="AG161" s="118">
        <v>1</v>
      </c>
      <c r="AI161" s="104">
        <v>1263</v>
      </c>
      <c r="AJ161">
        <v>1413</v>
      </c>
    </row>
    <row r="162" spans="2:36" hidden="1" x14ac:dyDescent="0.25">
      <c r="B162" s="24" t="s">
        <v>320</v>
      </c>
      <c r="C162" s="24">
        <v>1</v>
      </c>
      <c r="E162" s="27">
        <v>39244</v>
      </c>
      <c r="F162" s="104">
        <f t="shared" si="18"/>
        <v>1263</v>
      </c>
      <c r="G162" s="45">
        <v>40507</v>
      </c>
      <c r="H162" s="45">
        <v>40507</v>
      </c>
      <c r="I162" s="104">
        <f t="shared" si="17"/>
        <v>1263</v>
      </c>
      <c r="J162" s="19">
        <f t="shared" si="23"/>
        <v>0</v>
      </c>
      <c r="K162" t="s">
        <v>69</v>
      </c>
      <c r="L162" s="4">
        <v>5.85</v>
      </c>
      <c r="M162" s="19">
        <f t="shared" si="19"/>
        <v>0</v>
      </c>
      <c r="N162" s="19">
        <f t="shared" si="20"/>
        <v>0</v>
      </c>
      <c r="O162" s="19">
        <f t="shared" si="21"/>
        <v>0</v>
      </c>
      <c r="P162" s="19">
        <f t="shared" si="22"/>
        <v>0</v>
      </c>
      <c r="R162" s="4">
        <v>78</v>
      </c>
      <c r="S162" s="24">
        <v>0</v>
      </c>
      <c r="T162" s="125">
        <v>1</v>
      </c>
      <c r="U162" s="125">
        <v>1</v>
      </c>
      <c r="V162" s="4">
        <v>60</v>
      </c>
      <c r="W162" s="4">
        <v>0</v>
      </c>
      <c r="X162" s="24">
        <v>0</v>
      </c>
      <c r="Y162" s="24">
        <v>0</v>
      </c>
      <c r="Z162" s="4">
        <v>2.5</v>
      </c>
      <c r="AA162" s="4">
        <v>0.35</v>
      </c>
      <c r="AB162" s="24">
        <v>0</v>
      </c>
      <c r="AC162" s="24">
        <v>0</v>
      </c>
      <c r="AD162" s="24">
        <v>0</v>
      </c>
      <c r="AE162" s="4" t="s">
        <v>47</v>
      </c>
      <c r="AF162" s="140" t="s">
        <v>324</v>
      </c>
      <c r="AG162" s="118" t="s">
        <v>325</v>
      </c>
      <c r="AI162" s="104">
        <v>1715</v>
      </c>
      <c r="AJ162">
        <v>1418</v>
      </c>
    </row>
    <row r="163" spans="2:36" hidden="1" x14ac:dyDescent="0.25">
      <c r="B163" s="24" t="s">
        <v>328</v>
      </c>
      <c r="C163" s="24">
        <v>1</v>
      </c>
      <c r="E163" s="27">
        <v>39119</v>
      </c>
      <c r="F163" s="104">
        <f t="shared" si="18"/>
        <v>2947</v>
      </c>
      <c r="G163" s="25">
        <v>40834</v>
      </c>
      <c r="H163" s="25">
        <v>42066</v>
      </c>
      <c r="I163" s="104">
        <f t="shared" si="17"/>
        <v>1715</v>
      </c>
      <c r="J163" s="19">
        <f t="shared" si="23"/>
        <v>1232</v>
      </c>
      <c r="K163" t="s">
        <v>69</v>
      </c>
      <c r="L163" s="4">
        <v>5.86</v>
      </c>
      <c r="M163" s="19">
        <f t="shared" si="19"/>
        <v>1</v>
      </c>
      <c r="N163" s="19">
        <f t="shared" si="20"/>
        <v>1</v>
      </c>
      <c r="O163" s="19">
        <f t="shared" si="21"/>
        <v>1</v>
      </c>
      <c r="P163" s="19">
        <f t="shared" si="22"/>
        <v>1</v>
      </c>
      <c r="R163" s="4">
        <v>11</v>
      </c>
      <c r="S163" s="24">
        <v>0</v>
      </c>
      <c r="T163" s="127">
        <v>2</v>
      </c>
      <c r="U163" s="127">
        <v>0</v>
      </c>
      <c r="V163" s="4">
        <v>50</v>
      </c>
      <c r="W163" s="4">
        <v>0</v>
      </c>
      <c r="X163" s="24">
        <v>0</v>
      </c>
      <c r="Y163" s="24">
        <v>0</v>
      </c>
      <c r="Z163" s="4">
        <v>2.5</v>
      </c>
      <c r="AA163" s="4">
        <v>0.6</v>
      </c>
      <c r="AB163" s="24">
        <v>0</v>
      </c>
      <c r="AC163" s="24">
        <v>0</v>
      </c>
      <c r="AD163" s="24">
        <v>0</v>
      </c>
      <c r="AE163" s="4">
        <v>50</v>
      </c>
      <c r="AF163" s="138" t="s">
        <v>172</v>
      </c>
      <c r="AG163" s="118" t="s">
        <v>69</v>
      </c>
      <c r="AI163" s="104">
        <v>1918</v>
      </c>
      <c r="AJ163">
        <v>1421</v>
      </c>
    </row>
    <row r="164" spans="2:36" hidden="1" x14ac:dyDescent="0.25">
      <c r="B164" s="24" t="s">
        <v>328</v>
      </c>
      <c r="C164" s="24">
        <v>1</v>
      </c>
      <c r="E164" s="27">
        <v>39119</v>
      </c>
      <c r="F164" s="104">
        <f t="shared" si="18"/>
        <v>2947</v>
      </c>
      <c r="G164" s="46">
        <v>41037</v>
      </c>
      <c r="H164" s="25">
        <v>42066</v>
      </c>
      <c r="I164" s="104">
        <f t="shared" si="17"/>
        <v>1918</v>
      </c>
      <c r="J164" s="19">
        <f t="shared" si="23"/>
        <v>1029</v>
      </c>
      <c r="K164" t="s">
        <v>69</v>
      </c>
      <c r="L164" s="4">
        <v>5.47</v>
      </c>
      <c r="M164" s="19">
        <f t="shared" si="19"/>
        <v>1</v>
      </c>
      <c r="N164" s="19">
        <f t="shared" si="20"/>
        <v>1</v>
      </c>
      <c r="O164" s="19">
        <f t="shared" si="21"/>
        <v>1</v>
      </c>
      <c r="P164" s="19">
        <f t="shared" si="22"/>
        <v>1</v>
      </c>
      <c r="R164" s="4">
        <v>10</v>
      </c>
      <c r="S164" s="24">
        <v>0</v>
      </c>
      <c r="T164" s="125">
        <v>0</v>
      </c>
      <c r="U164" s="125">
        <v>0</v>
      </c>
      <c r="V164" s="4">
        <v>50</v>
      </c>
      <c r="W164" s="4">
        <v>0</v>
      </c>
      <c r="X164" s="24">
        <v>0</v>
      </c>
      <c r="Y164" s="24">
        <v>0</v>
      </c>
      <c r="Z164" s="4">
        <v>2.5</v>
      </c>
      <c r="AA164" s="4">
        <v>0.6</v>
      </c>
      <c r="AB164" s="24">
        <v>0</v>
      </c>
      <c r="AC164" s="24">
        <v>0</v>
      </c>
      <c r="AD164" s="24">
        <v>0</v>
      </c>
      <c r="AE164" s="4">
        <v>50</v>
      </c>
      <c r="AF164" s="118" t="s">
        <v>42</v>
      </c>
      <c r="AG164" s="118" t="s">
        <v>69</v>
      </c>
      <c r="AI164" s="104">
        <v>2107</v>
      </c>
      <c r="AJ164">
        <v>1428</v>
      </c>
    </row>
    <row r="165" spans="2:36" hidden="1" x14ac:dyDescent="0.25">
      <c r="B165" s="24" t="s">
        <v>328</v>
      </c>
      <c r="C165" s="24">
        <v>1</v>
      </c>
      <c r="E165" s="27">
        <v>39119</v>
      </c>
      <c r="F165" s="104">
        <f t="shared" si="18"/>
        <v>2947</v>
      </c>
      <c r="G165" s="25">
        <v>41226</v>
      </c>
      <c r="H165" s="25">
        <v>42066</v>
      </c>
      <c r="I165" s="104">
        <f t="shared" si="17"/>
        <v>2107</v>
      </c>
      <c r="J165" s="19">
        <f t="shared" si="23"/>
        <v>840</v>
      </c>
      <c r="K165" t="s">
        <v>69</v>
      </c>
      <c r="L165" s="4">
        <v>5.3</v>
      </c>
      <c r="M165" s="19">
        <f t="shared" si="19"/>
        <v>1</v>
      </c>
      <c r="N165" s="19">
        <f t="shared" si="20"/>
        <v>1</v>
      </c>
      <c r="O165" s="19">
        <f t="shared" si="21"/>
        <v>1</v>
      </c>
      <c r="P165" s="19">
        <f t="shared" si="22"/>
        <v>1</v>
      </c>
      <c r="R165" s="4">
        <v>9</v>
      </c>
      <c r="S165" s="24">
        <v>0</v>
      </c>
      <c r="T165" s="125">
        <v>0</v>
      </c>
      <c r="U165" s="125">
        <v>0</v>
      </c>
      <c r="V165" s="4">
        <v>50</v>
      </c>
      <c r="W165" s="4">
        <v>0</v>
      </c>
      <c r="X165" s="24">
        <v>0</v>
      </c>
      <c r="Y165" s="24">
        <v>0</v>
      </c>
      <c r="Z165" s="4">
        <v>2.5</v>
      </c>
      <c r="AA165" s="4">
        <v>0.6</v>
      </c>
      <c r="AB165" s="24">
        <v>0</v>
      </c>
      <c r="AC165" s="24">
        <v>0</v>
      </c>
      <c r="AD165" s="24">
        <v>0</v>
      </c>
      <c r="AE165" s="4">
        <v>50</v>
      </c>
      <c r="AF165" s="118" t="s">
        <v>42</v>
      </c>
      <c r="AG165" s="118" t="s">
        <v>69</v>
      </c>
      <c r="AI165" s="104">
        <v>2289</v>
      </c>
      <c r="AJ165">
        <v>1448</v>
      </c>
    </row>
    <row r="166" spans="2:36" hidden="1" x14ac:dyDescent="0.25">
      <c r="B166" s="24" t="s">
        <v>328</v>
      </c>
      <c r="C166" s="24">
        <v>1</v>
      </c>
      <c r="E166" s="27">
        <v>39119</v>
      </c>
      <c r="F166" s="104">
        <f t="shared" si="18"/>
        <v>2947</v>
      </c>
      <c r="G166" s="25">
        <v>41408</v>
      </c>
      <c r="H166" s="25">
        <v>42066</v>
      </c>
      <c r="I166" s="104">
        <f t="shared" si="17"/>
        <v>2289</v>
      </c>
      <c r="J166" s="19">
        <f t="shared" si="23"/>
        <v>658</v>
      </c>
      <c r="K166" t="s">
        <v>69</v>
      </c>
      <c r="L166" s="4">
        <v>5.21</v>
      </c>
      <c r="M166" s="19">
        <f t="shared" si="19"/>
        <v>1</v>
      </c>
      <c r="N166" s="19">
        <f t="shared" si="20"/>
        <v>1</v>
      </c>
      <c r="O166" s="19">
        <f t="shared" si="21"/>
        <v>1</v>
      </c>
      <c r="P166" s="19">
        <f t="shared" si="22"/>
        <v>1</v>
      </c>
      <c r="R166" s="4">
        <v>8</v>
      </c>
      <c r="S166" s="24">
        <v>0</v>
      </c>
      <c r="T166" s="125">
        <v>0</v>
      </c>
      <c r="U166" s="125">
        <v>0</v>
      </c>
      <c r="V166" s="4">
        <v>50</v>
      </c>
      <c r="W166" s="4">
        <v>0</v>
      </c>
      <c r="X166" s="24">
        <v>0</v>
      </c>
      <c r="Y166" s="24">
        <v>0</v>
      </c>
      <c r="Z166" s="4">
        <v>2.5</v>
      </c>
      <c r="AA166" s="4">
        <v>0.6</v>
      </c>
      <c r="AB166" s="24">
        <v>0</v>
      </c>
      <c r="AC166" s="24">
        <v>0</v>
      </c>
      <c r="AD166" s="24">
        <v>0</v>
      </c>
      <c r="AE166" s="4">
        <v>50</v>
      </c>
      <c r="AF166" s="118" t="s">
        <v>42</v>
      </c>
      <c r="AG166" s="118" t="s">
        <v>69</v>
      </c>
      <c r="AI166" s="104">
        <v>2409</v>
      </c>
      <c r="AJ166">
        <v>1449</v>
      </c>
    </row>
    <row r="167" spans="2:36" hidden="1" x14ac:dyDescent="0.25">
      <c r="B167" s="24" t="s">
        <v>328</v>
      </c>
      <c r="C167" s="24">
        <v>1</v>
      </c>
      <c r="E167" s="27">
        <v>39119</v>
      </c>
      <c r="F167" s="104">
        <f t="shared" si="18"/>
        <v>2947</v>
      </c>
      <c r="G167" s="25">
        <v>41528</v>
      </c>
      <c r="H167" s="25">
        <v>42066</v>
      </c>
      <c r="I167" s="104">
        <f t="shared" si="17"/>
        <v>2409</v>
      </c>
      <c r="J167" s="19">
        <f t="shared" si="23"/>
        <v>538</v>
      </c>
      <c r="K167" t="s">
        <v>69</v>
      </c>
      <c r="L167" s="4">
        <v>5.18</v>
      </c>
      <c r="M167" s="19">
        <f t="shared" si="19"/>
        <v>0</v>
      </c>
      <c r="N167" s="19">
        <f t="shared" si="20"/>
        <v>1</v>
      </c>
      <c r="O167" s="19">
        <f t="shared" si="21"/>
        <v>1</v>
      </c>
      <c r="P167" s="19">
        <f t="shared" si="22"/>
        <v>1</v>
      </c>
      <c r="R167" s="4">
        <v>16</v>
      </c>
      <c r="S167" s="24">
        <v>0</v>
      </c>
      <c r="T167" s="125">
        <v>0</v>
      </c>
      <c r="U167" s="125">
        <v>0</v>
      </c>
      <c r="V167" s="4">
        <v>50</v>
      </c>
      <c r="W167" s="4">
        <v>0</v>
      </c>
      <c r="X167" s="24">
        <v>0</v>
      </c>
      <c r="Y167" s="24">
        <v>0</v>
      </c>
      <c r="Z167" s="4">
        <v>2.5</v>
      </c>
      <c r="AA167" s="4">
        <v>0.6</v>
      </c>
      <c r="AB167" s="24">
        <v>0</v>
      </c>
      <c r="AC167" s="24">
        <v>0</v>
      </c>
      <c r="AD167" s="24">
        <v>0</v>
      </c>
      <c r="AE167" s="4">
        <v>50</v>
      </c>
      <c r="AF167" s="118" t="s">
        <v>42</v>
      </c>
      <c r="AG167" s="118" t="s">
        <v>69</v>
      </c>
      <c r="AI167" s="104">
        <v>2583</v>
      </c>
      <c r="AJ167">
        <v>1454</v>
      </c>
    </row>
    <row r="168" spans="2:36" hidden="1" x14ac:dyDescent="0.25">
      <c r="B168" s="24" t="s">
        <v>328</v>
      </c>
      <c r="C168" s="24">
        <v>1</v>
      </c>
      <c r="E168" s="27">
        <v>39119</v>
      </c>
      <c r="F168" s="104">
        <f t="shared" si="18"/>
        <v>2947</v>
      </c>
      <c r="G168" s="25">
        <v>41702</v>
      </c>
      <c r="H168" s="25">
        <v>42066</v>
      </c>
      <c r="I168" s="104">
        <f t="shared" si="17"/>
        <v>2583</v>
      </c>
      <c r="J168" s="19">
        <f t="shared" si="23"/>
        <v>364</v>
      </c>
      <c r="K168" t="s">
        <v>69</v>
      </c>
      <c r="L168" s="4">
        <v>5.17</v>
      </c>
      <c r="M168" s="19">
        <f t="shared" si="19"/>
        <v>0</v>
      </c>
      <c r="N168" s="19">
        <f t="shared" si="20"/>
        <v>1</v>
      </c>
      <c r="O168" s="19">
        <f t="shared" si="21"/>
        <v>1</v>
      </c>
      <c r="P168" s="19">
        <f t="shared" si="22"/>
        <v>1</v>
      </c>
      <c r="R168" s="4">
        <v>5</v>
      </c>
      <c r="S168" s="24">
        <v>0</v>
      </c>
      <c r="T168" s="125">
        <v>0</v>
      </c>
      <c r="U168" s="125">
        <v>0</v>
      </c>
      <c r="V168" s="4">
        <v>50</v>
      </c>
      <c r="W168" s="4">
        <v>0</v>
      </c>
      <c r="X168" s="24">
        <v>0</v>
      </c>
      <c r="Y168" s="24">
        <v>0</v>
      </c>
      <c r="Z168" s="4">
        <v>2.5</v>
      </c>
      <c r="AA168" s="4">
        <v>0.6</v>
      </c>
      <c r="AB168" s="24">
        <v>0</v>
      </c>
      <c r="AC168" s="24">
        <v>0</v>
      </c>
      <c r="AD168" s="24">
        <v>0</v>
      </c>
      <c r="AE168" s="4">
        <v>50</v>
      </c>
      <c r="AF168" s="118" t="s">
        <v>42</v>
      </c>
      <c r="AG168" s="118" t="s">
        <v>69</v>
      </c>
      <c r="AI168" s="104">
        <v>2687</v>
      </c>
      <c r="AJ168">
        <v>1456</v>
      </c>
    </row>
    <row r="169" spans="2:36" hidden="1" x14ac:dyDescent="0.25">
      <c r="B169" s="24" t="s">
        <v>328</v>
      </c>
      <c r="C169" s="24">
        <v>1</v>
      </c>
      <c r="E169" s="27">
        <v>39119</v>
      </c>
      <c r="F169" s="104">
        <f t="shared" si="18"/>
        <v>2947</v>
      </c>
      <c r="G169" s="25">
        <v>41806</v>
      </c>
      <c r="H169" s="25">
        <v>42066</v>
      </c>
      <c r="I169" s="104">
        <f t="shared" si="17"/>
        <v>2687</v>
      </c>
      <c r="J169" s="19">
        <f t="shared" si="23"/>
        <v>260</v>
      </c>
      <c r="K169" t="s">
        <v>69</v>
      </c>
      <c r="L169" s="4">
        <v>5.15</v>
      </c>
      <c r="M169" s="19">
        <f t="shared" si="19"/>
        <v>0</v>
      </c>
      <c r="N169" s="19">
        <f t="shared" si="20"/>
        <v>0</v>
      </c>
      <c r="O169" s="19">
        <f t="shared" si="21"/>
        <v>1</v>
      </c>
      <c r="P169" s="19">
        <f t="shared" si="22"/>
        <v>1</v>
      </c>
      <c r="R169" s="4">
        <v>5</v>
      </c>
      <c r="S169" s="24">
        <v>0</v>
      </c>
      <c r="T169" s="125">
        <v>0</v>
      </c>
      <c r="U169" s="125">
        <v>0</v>
      </c>
      <c r="V169" s="4">
        <v>50</v>
      </c>
      <c r="W169" s="4">
        <v>0</v>
      </c>
      <c r="X169" s="24">
        <v>0</v>
      </c>
      <c r="Y169" s="24">
        <v>0</v>
      </c>
      <c r="Z169" s="4">
        <v>2.5</v>
      </c>
      <c r="AA169" s="4">
        <v>0.6</v>
      </c>
      <c r="AB169" s="24">
        <v>0</v>
      </c>
      <c r="AC169" s="24">
        <v>0</v>
      </c>
      <c r="AD169" s="24">
        <v>0</v>
      </c>
      <c r="AE169" s="4">
        <v>50</v>
      </c>
      <c r="AF169" s="118" t="s">
        <v>42</v>
      </c>
      <c r="AG169" s="118" t="s">
        <v>69</v>
      </c>
      <c r="AI169" s="104">
        <v>2772</v>
      </c>
      <c r="AJ169">
        <v>1463</v>
      </c>
    </row>
    <row r="170" spans="2:36" hidden="1" x14ac:dyDescent="0.25">
      <c r="B170" s="24" t="s">
        <v>328</v>
      </c>
      <c r="C170" s="24">
        <v>1</v>
      </c>
      <c r="E170" s="27">
        <v>39119</v>
      </c>
      <c r="F170" s="104">
        <f t="shared" si="18"/>
        <v>2947</v>
      </c>
      <c r="G170" s="27">
        <v>41891</v>
      </c>
      <c r="H170" s="25">
        <v>42066</v>
      </c>
      <c r="I170" s="104">
        <f t="shared" si="17"/>
        <v>2772</v>
      </c>
      <c r="J170" s="19">
        <f t="shared" si="23"/>
        <v>175</v>
      </c>
      <c r="K170" t="s">
        <v>69</v>
      </c>
      <c r="L170" s="24">
        <v>5.15</v>
      </c>
      <c r="M170" s="19">
        <f t="shared" si="19"/>
        <v>0</v>
      </c>
      <c r="N170" s="19">
        <f t="shared" si="20"/>
        <v>0</v>
      </c>
      <c r="O170" s="19">
        <f t="shared" si="21"/>
        <v>0</v>
      </c>
      <c r="P170" s="19">
        <f t="shared" si="22"/>
        <v>1</v>
      </c>
      <c r="R170" s="24">
        <v>6</v>
      </c>
      <c r="S170" s="24">
        <v>0</v>
      </c>
      <c r="T170" s="125">
        <v>0</v>
      </c>
      <c r="U170" s="125">
        <v>0</v>
      </c>
      <c r="V170" s="4">
        <v>50</v>
      </c>
      <c r="W170" s="4">
        <v>0</v>
      </c>
      <c r="X170" s="4">
        <v>0</v>
      </c>
      <c r="Y170" s="4">
        <v>0</v>
      </c>
      <c r="Z170" s="4">
        <v>2.5</v>
      </c>
      <c r="AA170" s="4">
        <v>0.6</v>
      </c>
      <c r="AB170" s="1">
        <v>0</v>
      </c>
      <c r="AC170" s="1">
        <v>0</v>
      </c>
      <c r="AD170" s="24">
        <v>0</v>
      </c>
      <c r="AE170" s="4">
        <v>50</v>
      </c>
      <c r="AF170" s="118" t="s">
        <v>42</v>
      </c>
      <c r="AG170" s="118" t="s">
        <v>69</v>
      </c>
      <c r="AI170" s="104">
        <v>2947</v>
      </c>
      <c r="AJ170">
        <v>1464</v>
      </c>
    </row>
    <row r="171" spans="2:36" hidden="1" x14ac:dyDescent="0.25">
      <c r="B171" s="24" t="s">
        <v>328</v>
      </c>
      <c r="C171" s="24">
        <v>1</v>
      </c>
      <c r="E171" s="27">
        <v>39119</v>
      </c>
      <c r="F171" s="104">
        <f t="shared" si="18"/>
        <v>2947</v>
      </c>
      <c r="G171" s="25">
        <v>42066</v>
      </c>
      <c r="H171" s="25">
        <v>42066</v>
      </c>
      <c r="I171" s="104">
        <f t="shared" si="17"/>
        <v>2947</v>
      </c>
      <c r="J171" s="19">
        <f t="shared" si="23"/>
        <v>0</v>
      </c>
      <c r="K171" t="s">
        <v>69</v>
      </c>
      <c r="L171" s="4">
        <v>5.14</v>
      </c>
      <c r="M171" s="19">
        <f t="shared" si="19"/>
        <v>0</v>
      </c>
      <c r="N171" s="19">
        <f t="shared" si="20"/>
        <v>0</v>
      </c>
      <c r="O171" s="19">
        <f t="shared" si="21"/>
        <v>0</v>
      </c>
      <c r="P171" s="19">
        <f t="shared" si="22"/>
        <v>0</v>
      </c>
      <c r="R171" s="4">
        <v>5</v>
      </c>
      <c r="S171" s="24">
        <v>0</v>
      </c>
      <c r="T171" s="125">
        <v>0</v>
      </c>
      <c r="U171" s="125">
        <v>2</v>
      </c>
      <c r="V171" s="4">
        <v>50</v>
      </c>
      <c r="W171" s="4">
        <v>0</v>
      </c>
      <c r="X171" s="24">
        <v>0</v>
      </c>
      <c r="Y171" s="24">
        <v>0</v>
      </c>
      <c r="Z171" s="4">
        <v>2.5</v>
      </c>
      <c r="AA171" s="4">
        <v>0.6</v>
      </c>
      <c r="AB171" s="1">
        <v>0</v>
      </c>
      <c r="AC171" s="1">
        <v>0</v>
      </c>
      <c r="AD171" s="24">
        <v>0</v>
      </c>
      <c r="AE171" s="4">
        <v>50</v>
      </c>
      <c r="AF171" s="118" t="s">
        <v>77</v>
      </c>
      <c r="AG171" s="118" t="s">
        <v>69</v>
      </c>
      <c r="AI171" s="104">
        <v>1673</v>
      </c>
      <c r="AJ171">
        <v>1478</v>
      </c>
    </row>
    <row r="172" spans="2:36" x14ac:dyDescent="0.25">
      <c r="B172" s="24" t="s">
        <v>173</v>
      </c>
      <c r="C172" s="24">
        <v>2</v>
      </c>
      <c r="D172" s="24"/>
      <c r="E172" s="42">
        <v>39161</v>
      </c>
      <c r="F172" s="104">
        <f t="shared" si="18"/>
        <v>3040</v>
      </c>
      <c r="G172" s="23">
        <v>40834</v>
      </c>
      <c r="H172" s="27">
        <v>42201</v>
      </c>
      <c r="I172" s="104">
        <f t="shared" si="17"/>
        <v>1673</v>
      </c>
      <c r="J172" s="19">
        <f t="shared" si="23"/>
        <v>1367</v>
      </c>
      <c r="K172" s="83" t="s">
        <v>65</v>
      </c>
      <c r="L172" s="24">
        <v>5.47</v>
      </c>
      <c r="M172" s="19">
        <f t="shared" si="19"/>
        <v>1</v>
      </c>
      <c r="N172" s="19">
        <f t="shared" si="20"/>
        <v>1</v>
      </c>
      <c r="O172" s="19">
        <f t="shared" si="21"/>
        <v>1</v>
      </c>
      <c r="P172" s="19">
        <f t="shared" si="22"/>
        <v>1</v>
      </c>
      <c r="Q172" s="24">
        <v>1</v>
      </c>
      <c r="R172" s="24">
        <v>0</v>
      </c>
      <c r="S172" s="24">
        <v>0</v>
      </c>
      <c r="T172" s="129">
        <v>0</v>
      </c>
      <c r="U172" s="129">
        <v>0</v>
      </c>
      <c r="V172" s="4">
        <v>50</v>
      </c>
      <c r="W172" s="24">
        <v>0</v>
      </c>
      <c r="X172" s="24">
        <v>2.5</v>
      </c>
      <c r="Y172" s="24">
        <v>0.35</v>
      </c>
      <c r="Z172" s="24">
        <v>3</v>
      </c>
      <c r="AA172" s="24">
        <v>0.35</v>
      </c>
      <c r="AB172" s="24">
        <v>0</v>
      </c>
      <c r="AC172" s="24">
        <v>0</v>
      </c>
      <c r="AD172" s="24">
        <v>0</v>
      </c>
      <c r="AE172" s="24" t="s">
        <v>67</v>
      </c>
      <c r="AF172" s="114" t="s">
        <v>42</v>
      </c>
      <c r="AG172" s="114" t="s">
        <v>69</v>
      </c>
      <c r="AI172" s="104">
        <v>1855</v>
      </c>
      <c r="AJ172">
        <v>1481</v>
      </c>
    </row>
    <row r="173" spans="2:36" x14ac:dyDescent="0.25">
      <c r="B173" s="24" t="s">
        <v>173</v>
      </c>
      <c r="C173" s="24">
        <v>2</v>
      </c>
      <c r="D173" s="24"/>
      <c r="E173" s="42">
        <v>39161</v>
      </c>
      <c r="F173" s="104">
        <f t="shared" si="18"/>
        <v>3040</v>
      </c>
      <c r="G173" s="23">
        <v>41016</v>
      </c>
      <c r="H173" s="27">
        <v>42201</v>
      </c>
      <c r="I173" s="104">
        <f t="shared" si="17"/>
        <v>1855</v>
      </c>
      <c r="J173" s="19">
        <f t="shared" si="23"/>
        <v>1185</v>
      </c>
      <c r="K173" s="83" t="s">
        <v>65</v>
      </c>
      <c r="L173" s="40">
        <v>5.29</v>
      </c>
      <c r="M173" s="19">
        <f t="shared" si="19"/>
        <v>1</v>
      </c>
      <c r="N173" s="19">
        <f t="shared" si="20"/>
        <v>1</v>
      </c>
      <c r="O173" s="19">
        <f t="shared" si="21"/>
        <v>1</v>
      </c>
      <c r="P173" s="19">
        <f t="shared" si="22"/>
        <v>1</v>
      </c>
      <c r="Q173" s="24">
        <v>0</v>
      </c>
      <c r="R173" s="24">
        <v>0</v>
      </c>
      <c r="S173" s="24">
        <v>0</v>
      </c>
      <c r="T173" s="129">
        <v>0</v>
      </c>
      <c r="U173" s="129">
        <v>1</v>
      </c>
      <c r="V173" s="4">
        <v>50</v>
      </c>
      <c r="W173" s="24">
        <v>0</v>
      </c>
      <c r="X173" s="24">
        <v>2.5</v>
      </c>
      <c r="Y173" s="24">
        <v>0.35</v>
      </c>
      <c r="Z173" s="24">
        <v>3</v>
      </c>
      <c r="AA173" s="24">
        <v>0.35</v>
      </c>
      <c r="AB173" s="24">
        <v>0</v>
      </c>
      <c r="AC173" s="24">
        <v>0</v>
      </c>
      <c r="AD173" s="24">
        <v>0</v>
      </c>
      <c r="AE173" s="24" t="s">
        <v>67</v>
      </c>
      <c r="AF173" s="114" t="s">
        <v>46</v>
      </c>
      <c r="AG173" s="114" t="s">
        <v>69</v>
      </c>
      <c r="AI173" s="104">
        <v>1967</v>
      </c>
      <c r="AJ173">
        <v>1481</v>
      </c>
    </row>
    <row r="174" spans="2:36" x14ac:dyDescent="0.25">
      <c r="B174" s="24" t="s">
        <v>173</v>
      </c>
      <c r="C174" s="24">
        <v>2</v>
      </c>
      <c r="D174" s="24"/>
      <c r="E174" s="42">
        <v>39161</v>
      </c>
      <c r="F174" s="104">
        <f t="shared" si="18"/>
        <v>3040</v>
      </c>
      <c r="G174" s="27">
        <v>41128</v>
      </c>
      <c r="H174" s="27">
        <v>42201</v>
      </c>
      <c r="I174" s="104">
        <f t="shared" si="17"/>
        <v>1967</v>
      </c>
      <c r="J174" s="19">
        <f t="shared" si="23"/>
        <v>1073</v>
      </c>
      <c r="K174" s="83" t="s">
        <v>65</v>
      </c>
      <c r="L174" s="40">
        <v>5.23</v>
      </c>
      <c r="M174" s="19">
        <f t="shared" si="19"/>
        <v>1</v>
      </c>
      <c r="N174" s="19">
        <f t="shared" si="20"/>
        <v>1</v>
      </c>
      <c r="O174" s="19">
        <f t="shared" si="21"/>
        <v>1</v>
      </c>
      <c r="P174" s="19">
        <f t="shared" si="22"/>
        <v>1</v>
      </c>
      <c r="Q174" s="24">
        <v>0</v>
      </c>
      <c r="R174" s="24">
        <v>0</v>
      </c>
      <c r="S174" s="24">
        <v>0</v>
      </c>
      <c r="T174" s="127">
        <v>0</v>
      </c>
      <c r="U174" s="127">
        <v>0</v>
      </c>
      <c r="V174" s="4">
        <v>50</v>
      </c>
      <c r="W174" s="24">
        <v>0</v>
      </c>
      <c r="X174" s="24">
        <v>2.5</v>
      </c>
      <c r="Y174" s="24">
        <v>0.35</v>
      </c>
      <c r="Z174" s="24">
        <v>3</v>
      </c>
      <c r="AA174" s="24">
        <v>0.35</v>
      </c>
      <c r="AB174" s="24">
        <v>0</v>
      </c>
      <c r="AC174" s="24">
        <v>0</v>
      </c>
      <c r="AD174" s="24">
        <v>0</v>
      </c>
      <c r="AE174" s="24" t="s">
        <v>67</v>
      </c>
      <c r="AF174" s="145" t="s">
        <v>42</v>
      </c>
      <c r="AG174" s="114" t="s">
        <v>69</v>
      </c>
      <c r="AI174" s="104">
        <v>2170</v>
      </c>
      <c r="AJ174">
        <v>1485</v>
      </c>
    </row>
    <row r="175" spans="2:36" x14ac:dyDescent="0.25">
      <c r="B175" s="24" t="s">
        <v>173</v>
      </c>
      <c r="C175" s="24">
        <v>2</v>
      </c>
      <c r="D175" s="24"/>
      <c r="E175" s="42">
        <v>39161</v>
      </c>
      <c r="F175" s="104">
        <f t="shared" si="18"/>
        <v>3040</v>
      </c>
      <c r="G175" s="27">
        <v>41331</v>
      </c>
      <c r="H175" s="27">
        <v>42201</v>
      </c>
      <c r="I175" s="104">
        <f t="shared" si="17"/>
        <v>2170</v>
      </c>
      <c r="J175" s="19">
        <f t="shared" si="23"/>
        <v>870</v>
      </c>
      <c r="K175" s="83" t="s">
        <v>65</v>
      </c>
      <c r="L175" s="24">
        <v>5.17</v>
      </c>
      <c r="M175" s="19">
        <f t="shared" si="19"/>
        <v>1</v>
      </c>
      <c r="N175" s="19">
        <f t="shared" si="20"/>
        <v>1</v>
      </c>
      <c r="O175" s="19">
        <f t="shared" si="21"/>
        <v>1</v>
      </c>
      <c r="P175" s="19">
        <f t="shared" si="22"/>
        <v>1</v>
      </c>
      <c r="Q175" s="24">
        <v>0</v>
      </c>
      <c r="R175" s="24">
        <v>0</v>
      </c>
      <c r="S175" s="24">
        <v>0</v>
      </c>
      <c r="T175" s="127">
        <v>0</v>
      </c>
      <c r="U175" s="127">
        <v>0</v>
      </c>
      <c r="V175" s="4">
        <v>50</v>
      </c>
      <c r="W175" s="24">
        <v>0</v>
      </c>
      <c r="X175" s="24">
        <v>2.5</v>
      </c>
      <c r="Y175" s="24">
        <v>0.35</v>
      </c>
      <c r="Z175" s="24">
        <v>3</v>
      </c>
      <c r="AA175" s="24">
        <v>0.35</v>
      </c>
      <c r="AB175" s="24">
        <v>0</v>
      </c>
      <c r="AC175" s="24">
        <v>0</v>
      </c>
      <c r="AD175" s="24">
        <v>0</v>
      </c>
      <c r="AE175" s="24" t="s">
        <v>67</v>
      </c>
      <c r="AF175" s="145" t="s">
        <v>42</v>
      </c>
      <c r="AG175" s="114" t="s">
        <v>69</v>
      </c>
      <c r="AI175" s="104">
        <v>2367</v>
      </c>
      <c r="AJ175">
        <v>1488</v>
      </c>
    </row>
    <row r="176" spans="2:36" x14ac:dyDescent="0.25">
      <c r="B176" s="24" t="s">
        <v>173</v>
      </c>
      <c r="C176" s="24">
        <v>2</v>
      </c>
      <c r="D176" s="24"/>
      <c r="E176" s="42">
        <v>39161</v>
      </c>
      <c r="F176" s="104">
        <f t="shared" si="18"/>
        <v>3040</v>
      </c>
      <c r="G176" s="27">
        <v>41528</v>
      </c>
      <c r="H176" s="27">
        <v>42201</v>
      </c>
      <c r="I176" s="104">
        <f t="shared" si="17"/>
        <v>2367</v>
      </c>
      <c r="J176" s="19">
        <f t="shared" si="23"/>
        <v>673</v>
      </c>
      <c r="K176" s="83" t="s">
        <v>65</v>
      </c>
      <c r="L176" s="24">
        <v>5.16</v>
      </c>
      <c r="M176" s="19">
        <f t="shared" si="19"/>
        <v>1</v>
      </c>
      <c r="N176" s="19">
        <f t="shared" si="20"/>
        <v>1</v>
      </c>
      <c r="O176" s="19">
        <f t="shared" si="21"/>
        <v>1</v>
      </c>
      <c r="P176" s="19">
        <f t="shared" si="22"/>
        <v>1</v>
      </c>
      <c r="Q176" s="24">
        <v>0</v>
      </c>
      <c r="R176" s="24">
        <v>0</v>
      </c>
      <c r="S176" s="24">
        <v>0</v>
      </c>
      <c r="T176" s="129">
        <v>0</v>
      </c>
      <c r="U176" s="129">
        <v>0</v>
      </c>
      <c r="V176" s="24">
        <v>40</v>
      </c>
      <c r="W176" s="24">
        <v>0</v>
      </c>
      <c r="X176" s="24">
        <v>2.5</v>
      </c>
      <c r="Y176" s="24">
        <v>0.35</v>
      </c>
      <c r="Z176" s="24">
        <v>3</v>
      </c>
      <c r="AA176" s="24">
        <v>0.35</v>
      </c>
      <c r="AB176" s="24">
        <v>0</v>
      </c>
      <c r="AC176" s="24">
        <v>0</v>
      </c>
      <c r="AD176" s="24">
        <v>0</v>
      </c>
      <c r="AE176" s="24" t="s">
        <v>110</v>
      </c>
      <c r="AF176" s="114" t="s">
        <v>42</v>
      </c>
      <c r="AG176" s="114" t="s">
        <v>69</v>
      </c>
      <c r="AI176" s="104">
        <v>2371</v>
      </c>
      <c r="AJ176">
        <v>1488</v>
      </c>
    </row>
    <row r="177" spans="2:36" x14ac:dyDescent="0.25">
      <c r="B177" s="24" t="s">
        <v>173</v>
      </c>
      <c r="C177" s="24">
        <v>2</v>
      </c>
      <c r="D177" s="24"/>
      <c r="E177" s="42">
        <v>39161</v>
      </c>
      <c r="F177" s="104">
        <f t="shared" si="18"/>
        <v>3040</v>
      </c>
      <c r="G177" s="25">
        <v>41532</v>
      </c>
      <c r="H177" s="27">
        <v>42201</v>
      </c>
      <c r="I177" s="104">
        <f t="shared" si="17"/>
        <v>2371</v>
      </c>
      <c r="J177" s="19">
        <f t="shared" si="23"/>
        <v>669</v>
      </c>
      <c r="K177" s="83" t="s">
        <v>65</v>
      </c>
      <c r="L177" s="4">
        <v>5.1100000000000003</v>
      </c>
      <c r="M177" s="19">
        <f t="shared" si="19"/>
        <v>1</v>
      </c>
      <c r="N177" s="19">
        <f t="shared" si="20"/>
        <v>1</v>
      </c>
      <c r="O177" s="19">
        <f t="shared" si="21"/>
        <v>1</v>
      </c>
      <c r="P177" s="19">
        <f t="shared" si="22"/>
        <v>1</v>
      </c>
      <c r="Q177" s="4">
        <v>0</v>
      </c>
      <c r="R177" s="4">
        <v>0</v>
      </c>
      <c r="S177" s="24">
        <v>0</v>
      </c>
      <c r="T177" s="129">
        <v>0</v>
      </c>
      <c r="U177" s="129">
        <v>0</v>
      </c>
      <c r="V177" s="24">
        <v>40</v>
      </c>
      <c r="W177" s="24">
        <v>0</v>
      </c>
      <c r="X177" s="24">
        <v>2.5</v>
      </c>
      <c r="Y177" s="24">
        <v>0.35</v>
      </c>
      <c r="Z177" s="24">
        <v>3</v>
      </c>
      <c r="AA177" s="24">
        <v>0.35</v>
      </c>
      <c r="AB177" s="24">
        <v>0</v>
      </c>
      <c r="AC177" s="24">
        <v>0</v>
      </c>
      <c r="AD177" s="24">
        <v>0</v>
      </c>
      <c r="AE177" s="24" t="s">
        <v>110</v>
      </c>
      <c r="AF177" s="114" t="s">
        <v>42</v>
      </c>
      <c r="AG177" s="114" t="s">
        <v>69</v>
      </c>
      <c r="AI177" s="104">
        <v>2548</v>
      </c>
      <c r="AJ177">
        <v>1489</v>
      </c>
    </row>
    <row r="178" spans="2:36" x14ac:dyDescent="0.25">
      <c r="B178" s="24" t="s">
        <v>173</v>
      </c>
      <c r="C178" s="24">
        <v>2</v>
      </c>
      <c r="D178" s="24"/>
      <c r="E178" s="42">
        <v>39161</v>
      </c>
      <c r="F178" s="104">
        <f t="shared" si="18"/>
        <v>3040</v>
      </c>
      <c r="G178" s="27">
        <v>41709</v>
      </c>
      <c r="H178" s="27">
        <v>42201</v>
      </c>
      <c r="I178" s="104">
        <f t="shared" si="17"/>
        <v>2548</v>
      </c>
      <c r="J178" s="19">
        <f t="shared" si="23"/>
        <v>492</v>
      </c>
      <c r="K178" s="83" t="s">
        <v>65</v>
      </c>
      <c r="L178" s="24">
        <v>5.14</v>
      </c>
      <c r="M178" s="19">
        <f t="shared" si="19"/>
        <v>0</v>
      </c>
      <c r="N178" s="19">
        <f t="shared" si="20"/>
        <v>1</v>
      </c>
      <c r="O178" s="19">
        <f t="shared" si="21"/>
        <v>1</v>
      </c>
      <c r="P178" s="19">
        <f t="shared" si="22"/>
        <v>1</v>
      </c>
      <c r="Q178" s="24">
        <v>0</v>
      </c>
      <c r="R178" s="24">
        <v>0</v>
      </c>
      <c r="S178" s="24">
        <v>0</v>
      </c>
      <c r="T178" s="129">
        <v>0</v>
      </c>
      <c r="U178" s="129">
        <v>0</v>
      </c>
      <c r="V178" s="24">
        <v>40</v>
      </c>
      <c r="W178" s="24">
        <v>0</v>
      </c>
      <c r="X178" s="24">
        <v>2.5</v>
      </c>
      <c r="Y178" s="24">
        <v>0.35</v>
      </c>
      <c r="Z178" s="24">
        <v>3</v>
      </c>
      <c r="AA178" s="24">
        <v>0.35</v>
      </c>
      <c r="AB178" s="24">
        <v>0</v>
      </c>
      <c r="AC178" s="24">
        <v>0</v>
      </c>
      <c r="AD178" s="24">
        <v>0</v>
      </c>
      <c r="AE178" s="24" t="s">
        <v>110</v>
      </c>
      <c r="AF178" s="114" t="s">
        <v>42</v>
      </c>
      <c r="AG178" s="114" t="s">
        <v>69</v>
      </c>
      <c r="AI178" s="104">
        <v>2970</v>
      </c>
      <c r="AJ178">
        <v>1491</v>
      </c>
    </row>
    <row r="179" spans="2:36" x14ac:dyDescent="0.25">
      <c r="B179" s="24" t="s">
        <v>173</v>
      </c>
      <c r="C179" s="24">
        <v>2</v>
      </c>
      <c r="D179" s="24"/>
      <c r="E179" s="42">
        <v>39161</v>
      </c>
      <c r="F179" s="104">
        <f t="shared" si="18"/>
        <v>3040</v>
      </c>
      <c r="G179" s="25">
        <v>42131</v>
      </c>
      <c r="H179" s="27">
        <v>42201</v>
      </c>
      <c r="I179" s="104">
        <f t="shared" si="17"/>
        <v>2970</v>
      </c>
      <c r="J179" s="19">
        <f t="shared" si="23"/>
        <v>70</v>
      </c>
      <c r="K179" s="83" t="s">
        <v>65</v>
      </c>
      <c r="L179" s="4">
        <v>4.8099999999999996</v>
      </c>
      <c r="M179" s="19">
        <f t="shared" si="19"/>
        <v>0</v>
      </c>
      <c r="N179" s="19">
        <f t="shared" si="20"/>
        <v>0</v>
      </c>
      <c r="O179" s="19">
        <f t="shared" si="21"/>
        <v>0</v>
      </c>
      <c r="P179" s="19">
        <f t="shared" si="22"/>
        <v>0</v>
      </c>
      <c r="Q179" s="24">
        <v>0</v>
      </c>
      <c r="R179" s="24">
        <v>0</v>
      </c>
      <c r="S179" s="4">
        <v>0</v>
      </c>
      <c r="T179" s="125">
        <v>0</v>
      </c>
      <c r="U179" s="125">
        <v>2</v>
      </c>
      <c r="V179" s="24">
        <v>40</v>
      </c>
      <c r="W179" s="24">
        <v>0</v>
      </c>
      <c r="X179" s="24">
        <v>2</v>
      </c>
      <c r="Y179" s="24">
        <v>0.35</v>
      </c>
      <c r="Z179" s="24">
        <v>2.5</v>
      </c>
      <c r="AA179" s="24">
        <v>0.35</v>
      </c>
      <c r="AB179" s="24">
        <v>0</v>
      </c>
      <c r="AC179" s="24">
        <v>0</v>
      </c>
      <c r="AD179" s="4">
        <v>0</v>
      </c>
      <c r="AE179" s="24" t="s">
        <v>110</v>
      </c>
      <c r="AF179" s="118" t="s">
        <v>77</v>
      </c>
      <c r="AG179" s="114" t="s">
        <v>69</v>
      </c>
      <c r="AI179" s="104">
        <v>3040</v>
      </c>
      <c r="AJ179">
        <v>1491</v>
      </c>
    </row>
    <row r="180" spans="2:36" x14ac:dyDescent="0.25">
      <c r="B180" s="24" t="s">
        <v>173</v>
      </c>
      <c r="C180" s="24">
        <v>2</v>
      </c>
      <c r="D180" s="24"/>
      <c r="E180" s="42">
        <v>39161</v>
      </c>
      <c r="F180" s="104">
        <f t="shared" si="18"/>
        <v>3040</v>
      </c>
      <c r="G180" s="88">
        <v>42201</v>
      </c>
      <c r="H180" s="88">
        <v>42201</v>
      </c>
      <c r="I180" s="104">
        <f t="shared" si="17"/>
        <v>3040</v>
      </c>
      <c r="J180" s="19">
        <f t="shared" si="23"/>
        <v>0</v>
      </c>
      <c r="K180" s="83" t="s">
        <v>65</v>
      </c>
      <c r="L180" s="83">
        <v>4.66</v>
      </c>
      <c r="M180" s="19">
        <f t="shared" si="19"/>
        <v>0</v>
      </c>
      <c r="N180" s="19">
        <f t="shared" si="20"/>
        <v>0</v>
      </c>
      <c r="O180" s="19">
        <f t="shared" si="21"/>
        <v>0</v>
      </c>
      <c r="P180" s="19">
        <f t="shared" si="22"/>
        <v>0</v>
      </c>
      <c r="Q180" s="83">
        <v>0</v>
      </c>
      <c r="R180" s="83">
        <v>0</v>
      </c>
      <c r="S180" s="83">
        <v>0</v>
      </c>
      <c r="T180" s="133">
        <v>0</v>
      </c>
      <c r="U180" s="133">
        <v>2</v>
      </c>
      <c r="V180" s="24">
        <v>40</v>
      </c>
      <c r="W180" s="83">
        <v>0</v>
      </c>
      <c r="X180" s="83">
        <v>2</v>
      </c>
      <c r="Y180" s="83">
        <v>0.35</v>
      </c>
      <c r="Z180" s="83">
        <v>2.5</v>
      </c>
      <c r="AA180" s="83">
        <v>0.35</v>
      </c>
      <c r="AB180" s="90">
        <v>0</v>
      </c>
      <c r="AC180" s="90">
        <v>0</v>
      </c>
      <c r="AD180" s="83">
        <v>0</v>
      </c>
      <c r="AE180" s="83" t="s">
        <v>110</v>
      </c>
      <c r="AF180" s="116" t="s">
        <v>77</v>
      </c>
      <c r="AG180" s="116" t="s">
        <v>69</v>
      </c>
      <c r="AI180" s="104">
        <v>1001</v>
      </c>
      <c r="AJ180">
        <v>1491</v>
      </c>
    </row>
    <row r="181" spans="2:36" x14ac:dyDescent="0.25">
      <c r="B181" s="24" t="s">
        <v>311</v>
      </c>
      <c r="C181" s="24">
        <v>2</v>
      </c>
      <c r="E181" s="27">
        <v>39119</v>
      </c>
      <c r="F181" s="104">
        <f t="shared" si="18"/>
        <v>2212</v>
      </c>
      <c r="G181" s="25">
        <v>40120</v>
      </c>
      <c r="H181" s="27">
        <v>41331</v>
      </c>
      <c r="I181" s="104">
        <f t="shared" si="17"/>
        <v>1001</v>
      </c>
      <c r="J181" s="19">
        <f t="shared" si="23"/>
        <v>1211</v>
      </c>
      <c r="K181" s="83" t="s">
        <v>65</v>
      </c>
      <c r="L181" s="4">
        <v>5.83</v>
      </c>
      <c r="M181" s="19">
        <f t="shared" si="19"/>
        <v>1</v>
      </c>
      <c r="N181" s="19">
        <f t="shared" si="20"/>
        <v>1</v>
      </c>
      <c r="O181" s="19">
        <f t="shared" si="21"/>
        <v>1</v>
      </c>
      <c r="P181" s="19">
        <f t="shared" si="22"/>
        <v>1</v>
      </c>
      <c r="Q181" s="4">
        <v>61</v>
      </c>
      <c r="R181" s="4">
        <v>7</v>
      </c>
      <c r="S181" s="90">
        <v>0</v>
      </c>
      <c r="T181" s="127">
        <v>0</v>
      </c>
      <c r="U181" s="127">
        <v>0</v>
      </c>
      <c r="V181" s="4">
        <v>60</v>
      </c>
      <c r="W181" s="4">
        <v>0</v>
      </c>
      <c r="X181" s="4">
        <v>4</v>
      </c>
      <c r="Y181" s="4">
        <v>0.6</v>
      </c>
      <c r="Z181" s="4">
        <v>2.5</v>
      </c>
      <c r="AA181" s="4">
        <v>0.5</v>
      </c>
      <c r="AB181" s="24">
        <v>0</v>
      </c>
      <c r="AC181" s="24">
        <v>0</v>
      </c>
      <c r="AD181" s="90">
        <v>0</v>
      </c>
      <c r="AE181" s="4" t="s">
        <v>47</v>
      </c>
      <c r="AF181" s="138" t="s">
        <v>42</v>
      </c>
      <c r="AG181" s="118" t="s">
        <v>285</v>
      </c>
      <c r="AI181" s="104">
        <v>1183</v>
      </c>
      <c r="AJ181">
        <v>1493</v>
      </c>
    </row>
    <row r="182" spans="2:36" x14ac:dyDescent="0.25">
      <c r="B182" s="24" t="s">
        <v>311</v>
      </c>
      <c r="C182" s="24">
        <v>2</v>
      </c>
      <c r="E182" s="27">
        <v>39119</v>
      </c>
      <c r="F182" s="104">
        <f t="shared" si="18"/>
        <v>2212</v>
      </c>
      <c r="G182" s="25">
        <v>40302</v>
      </c>
      <c r="H182" s="27">
        <v>41331</v>
      </c>
      <c r="I182" s="104">
        <f t="shared" si="17"/>
        <v>1183</v>
      </c>
      <c r="J182" s="19">
        <f t="shared" si="23"/>
        <v>1029</v>
      </c>
      <c r="K182" s="83" t="s">
        <v>65</v>
      </c>
      <c r="L182" s="4">
        <v>5.39</v>
      </c>
      <c r="M182" s="19">
        <f t="shared" si="19"/>
        <v>1</v>
      </c>
      <c r="N182" s="19">
        <f t="shared" si="20"/>
        <v>1</v>
      </c>
      <c r="O182" s="19">
        <f t="shared" si="21"/>
        <v>1</v>
      </c>
      <c r="P182" s="19">
        <f t="shared" si="22"/>
        <v>1</v>
      </c>
      <c r="Q182" s="4">
        <v>57</v>
      </c>
      <c r="R182" s="4">
        <v>1</v>
      </c>
      <c r="S182" s="90">
        <v>0</v>
      </c>
      <c r="T182" s="127">
        <v>0</v>
      </c>
      <c r="U182" s="127">
        <v>1</v>
      </c>
      <c r="V182" s="4">
        <v>60</v>
      </c>
      <c r="W182" s="4">
        <v>0</v>
      </c>
      <c r="X182" s="4">
        <v>4</v>
      </c>
      <c r="Y182" s="4">
        <v>0.6</v>
      </c>
      <c r="Z182" s="4">
        <v>2.5</v>
      </c>
      <c r="AA182" s="4">
        <v>0.5</v>
      </c>
      <c r="AB182" s="24">
        <v>0</v>
      </c>
      <c r="AC182" s="24">
        <v>0</v>
      </c>
      <c r="AD182" s="90">
        <v>0</v>
      </c>
      <c r="AE182" s="4" t="s">
        <v>47</v>
      </c>
      <c r="AF182" s="138" t="s">
        <v>46</v>
      </c>
      <c r="AG182" s="118" t="s">
        <v>285</v>
      </c>
      <c r="AI182" s="104">
        <v>952</v>
      </c>
      <c r="AJ182">
        <v>1499</v>
      </c>
    </row>
    <row r="183" spans="2:36" x14ac:dyDescent="0.25">
      <c r="B183" s="24" t="s">
        <v>146</v>
      </c>
      <c r="C183" s="24">
        <v>2</v>
      </c>
      <c r="E183" s="27">
        <v>39140</v>
      </c>
      <c r="F183" s="104">
        <f t="shared" si="18"/>
        <v>2191</v>
      </c>
      <c r="G183" s="25">
        <v>40092</v>
      </c>
      <c r="H183" s="27">
        <v>41331</v>
      </c>
      <c r="I183" s="104">
        <f t="shared" si="17"/>
        <v>952</v>
      </c>
      <c r="J183" s="19">
        <f t="shared" si="23"/>
        <v>1239</v>
      </c>
      <c r="K183" s="83" t="s">
        <v>65</v>
      </c>
      <c r="L183" s="4">
        <v>6.16</v>
      </c>
      <c r="M183" s="19">
        <f t="shared" si="19"/>
        <v>1</v>
      </c>
      <c r="N183" s="19">
        <f t="shared" si="20"/>
        <v>1</v>
      </c>
      <c r="O183" s="19">
        <f t="shared" si="21"/>
        <v>1</v>
      </c>
      <c r="P183" s="19">
        <f t="shared" si="22"/>
        <v>1</v>
      </c>
      <c r="Q183" s="4">
        <v>4</v>
      </c>
      <c r="R183" s="4">
        <v>37</v>
      </c>
      <c r="S183" s="90">
        <v>0</v>
      </c>
      <c r="T183" s="127">
        <v>0</v>
      </c>
      <c r="U183" s="127">
        <v>0</v>
      </c>
      <c r="V183" s="4">
        <v>60</v>
      </c>
      <c r="W183" s="4">
        <v>0</v>
      </c>
      <c r="X183" s="4">
        <v>2</v>
      </c>
      <c r="Y183" s="4">
        <v>0.35</v>
      </c>
      <c r="Z183" s="4">
        <v>3</v>
      </c>
      <c r="AA183" s="4">
        <v>0.35</v>
      </c>
      <c r="AB183" s="24">
        <v>0</v>
      </c>
      <c r="AC183" s="24">
        <v>0</v>
      </c>
      <c r="AD183" s="90">
        <v>0</v>
      </c>
      <c r="AE183" s="4" t="s">
        <v>47</v>
      </c>
      <c r="AF183" s="138" t="s">
        <v>42</v>
      </c>
      <c r="AG183" s="118" t="s">
        <v>285</v>
      </c>
      <c r="AI183" s="104">
        <v>1162</v>
      </c>
      <c r="AJ183">
        <v>1499</v>
      </c>
    </row>
    <row r="184" spans="2:36" x14ac:dyDescent="0.25">
      <c r="B184" s="24" t="s">
        <v>146</v>
      </c>
      <c r="C184" s="24">
        <v>2</v>
      </c>
      <c r="E184" s="27">
        <v>39140</v>
      </c>
      <c r="F184" s="104">
        <f t="shared" si="18"/>
        <v>2191</v>
      </c>
      <c r="G184" s="25">
        <v>40302</v>
      </c>
      <c r="H184" s="27">
        <v>41331</v>
      </c>
      <c r="I184" s="104">
        <f t="shared" si="17"/>
        <v>1162</v>
      </c>
      <c r="J184" s="19">
        <f t="shared" si="23"/>
        <v>1029</v>
      </c>
      <c r="K184" s="83" t="s">
        <v>65</v>
      </c>
      <c r="L184" s="4">
        <v>5.93</v>
      </c>
      <c r="M184" s="19">
        <f t="shared" si="19"/>
        <v>1</v>
      </c>
      <c r="N184" s="19">
        <f t="shared" si="20"/>
        <v>1</v>
      </c>
      <c r="O184" s="19">
        <f t="shared" si="21"/>
        <v>1</v>
      </c>
      <c r="P184" s="19">
        <f t="shared" si="22"/>
        <v>1</v>
      </c>
      <c r="Q184" s="4">
        <v>4</v>
      </c>
      <c r="R184" s="4">
        <v>25</v>
      </c>
      <c r="S184" s="90">
        <v>0</v>
      </c>
      <c r="T184" s="125">
        <v>1</v>
      </c>
      <c r="U184" s="125">
        <v>0</v>
      </c>
      <c r="V184" s="4">
        <v>60</v>
      </c>
      <c r="W184" s="4">
        <v>0</v>
      </c>
      <c r="X184" s="4">
        <v>2</v>
      </c>
      <c r="Y184" s="4">
        <v>0.35</v>
      </c>
      <c r="Z184" s="4">
        <v>3</v>
      </c>
      <c r="AA184" s="4">
        <v>0.35</v>
      </c>
      <c r="AB184" s="24">
        <v>0</v>
      </c>
      <c r="AC184" s="24">
        <v>0</v>
      </c>
      <c r="AD184" s="90">
        <v>0</v>
      </c>
      <c r="AE184" s="4" t="s">
        <v>47</v>
      </c>
      <c r="AF184" s="118" t="s">
        <v>45</v>
      </c>
      <c r="AG184" s="118" t="s">
        <v>285</v>
      </c>
      <c r="AI184" s="104">
        <v>1575</v>
      </c>
      <c r="AJ184">
        <v>1505</v>
      </c>
    </row>
    <row r="185" spans="2:36" x14ac:dyDescent="0.25">
      <c r="B185" s="24" t="s">
        <v>146</v>
      </c>
      <c r="C185" s="24">
        <v>2</v>
      </c>
      <c r="D185" s="24"/>
      <c r="E185" s="23">
        <v>39140</v>
      </c>
      <c r="F185" s="104">
        <f t="shared" si="18"/>
        <v>2191</v>
      </c>
      <c r="G185" s="23">
        <v>40715</v>
      </c>
      <c r="H185" s="27">
        <v>41331</v>
      </c>
      <c r="I185" s="104">
        <f t="shared" si="17"/>
        <v>1575</v>
      </c>
      <c r="J185" s="19">
        <f t="shared" si="23"/>
        <v>616</v>
      </c>
      <c r="K185" s="83" t="s">
        <v>65</v>
      </c>
      <c r="L185" s="24">
        <v>5.3</v>
      </c>
      <c r="M185" s="19">
        <f t="shared" si="19"/>
        <v>1</v>
      </c>
      <c r="N185" s="19">
        <f t="shared" si="20"/>
        <v>1</v>
      </c>
      <c r="O185" s="19">
        <f t="shared" si="21"/>
        <v>1</v>
      </c>
      <c r="P185" s="19">
        <f t="shared" si="22"/>
        <v>1</v>
      </c>
      <c r="Q185" s="24">
        <v>5</v>
      </c>
      <c r="R185" s="24">
        <v>38</v>
      </c>
      <c r="S185" s="24">
        <v>0</v>
      </c>
      <c r="T185" s="129">
        <v>1</v>
      </c>
      <c r="U185" s="129">
        <v>0</v>
      </c>
      <c r="V185" s="4">
        <v>60</v>
      </c>
      <c r="W185" s="24">
        <v>0</v>
      </c>
      <c r="X185" s="24">
        <v>2</v>
      </c>
      <c r="Y185" s="24">
        <v>0.35</v>
      </c>
      <c r="Z185" s="24">
        <v>3</v>
      </c>
      <c r="AA185" s="24">
        <v>0.35</v>
      </c>
      <c r="AB185" s="24">
        <v>0</v>
      </c>
      <c r="AC185" s="24">
        <v>0</v>
      </c>
      <c r="AD185" s="24">
        <v>0</v>
      </c>
      <c r="AE185" s="24" t="s">
        <v>47</v>
      </c>
      <c r="AF185" s="114" t="s">
        <v>45</v>
      </c>
      <c r="AG185" s="114" t="s">
        <v>43</v>
      </c>
      <c r="AI185" s="104">
        <v>1800</v>
      </c>
      <c r="AJ185">
        <v>1509</v>
      </c>
    </row>
    <row r="186" spans="2:36" x14ac:dyDescent="0.25">
      <c r="B186" s="24" t="s">
        <v>146</v>
      </c>
      <c r="C186" s="24">
        <v>2</v>
      </c>
      <c r="D186" s="24"/>
      <c r="E186" s="23">
        <v>39140</v>
      </c>
      <c r="F186" s="104">
        <f t="shared" si="18"/>
        <v>2191</v>
      </c>
      <c r="G186" s="23">
        <v>40940</v>
      </c>
      <c r="H186" s="27">
        <v>41331</v>
      </c>
      <c r="I186" s="104">
        <f t="shared" si="17"/>
        <v>1800</v>
      </c>
      <c r="J186" s="19">
        <f t="shared" si="23"/>
        <v>391</v>
      </c>
      <c r="K186" s="83" t="s">
        <v>65</v>
      </c>
      <c r="L186" s="24">
        <v>5.18</v>
      </c>
      <c r="M186" s="19">
        <f t="shared" si="19"/>
        <v>0</v>
      </c>
      <c r="N186" s="19">
        <f t="shared" si="20"/>
        <v>1</v>
      </c>
      <c r="O186" s="19">
        <f t="shared" si="21"/>
        <v>1</v>
      </c>
      <c r="P186" s="19">
        <f t="shared" si="22"/>
        <v>1</v>
      </c>
      <c r="Q186" s="24">
        <v>6</v>
      </c>
      <c r="R186" s="24">
        <v>36</v>
      </c>
      <c r="S186" s="24">
        <v>0</v>
      </c>
      <c r="T186" s="129">
        <v>0</v>
      </c>
      <c r="U186" s="129">
        <v>0</v>
      </c>
      <c r="V186" s="4">
        <v>60</v>
      </c>
      <c r="W186" s="24">
        <v>0</v>
      </c>
      <c r="X186" s="24">
        <v>2</v>
      </c>
      <c r="Y186" s="24">
        <v>0.35</v>
      </c>
      <c r="Z186" s="24">
        <v>3</v>
      </c>
      <c r="AA186" s="24">
        <v>0.35</v>
      </c>
      <c r="AB186" s="24">
        <v>0</v>
      </c>
      <c r="AC186" s="24">
        <v>0</v>
      </c>
      <c r="AD186" s="24">
        <v>0</v>
      </c>
      <c r="AE186" s="24" t="s">
        <v>47</v>
      </c>
      <c r="AF186" s="114" t="s">
        <v>42</v>
      </c>
      <c r="AG186" s="114" t="s">
        <v>43</v>
      </c>
      <c r="AI186" s="104">
        <v>1568</v>
      </c>
      <c r="AJ186">
        <v>1522</v>
      </c>
    </row>
    <row r="187" spans="2:36" x14ac:dyDescent="0.25">
      <c r="B187" s="24" t="s">
        <v>133</v>
      </c>
      <c r="C187" s="24">
        <v>2</v>
      </c>
      <c r="D187" s="24"/>
      <c r="E187" s="23">
        <v>39119</v>
      </c>
      <c r="F187" s="104">
        <f t="shared" si="18"/>
        <v>2212</v>
      </c>
      <c r="G187" s="23">
        <v>40687</v>
      </c>
      <c r="H187" s="27">
        <v>41331</v>
      </c>
      <c r="I187" s="104">
        <f t="shared" si="17"/>
        <v>1568</v>
      </c>
      <c r="J187" s="19">
        <f t="shared" si="23"/>
        <v>644</v>
      </c>
      <c r="K187" s="83" t="s">
        <v>65</v>
      </c>
      <c r="L187" s="24">
        <v>5.15</v>
      </c>
      <c r="M187" s="19">
        <f t="shared" si="19"/>
        <v>1</v>
      </c>
      <c r="N187" s="19">
        <f t="shared" si="20"/>
        <v>1</v>
      </c>
      <c r="O187" s="19">
        <f t="shared" si="21"/>
        <v>1</v>
      </c>
      <c r="P187" s="19">
        <f t="shared" si="22"/>
        <v>1</v>
      </c>
      <c r="Q187" s="24">
        <v>70</v>
      </c>
      <c r="R187" s="24">
        <v>3</v>
      </c>
      <c r="S187" s="24">
        <v>0</v>
      </c>
      <c r="T187" s="129">
        <v>0</v>
      </c>
      <c r="U187" s="129">
        <v>1</v>
      </c>
      <c r="V187" s="4">
        <v>60</v>
      </c>
      <c r="W187" s="24">
        <v>0</v>
      </c>
      <c r="X187" s="24">
        <v>4.5</v>
      </c>
      <c r="Y187" s="24">
        <v>0.6</v>
      </c>
      <c r="Z187" s="24">
        <v>2.5</v>
      </c>
      <c r="AA187" s="24">
        <v>0.5</v>
      </c>
      <c r="AB187" s="24">
        <v>0</v>
      </c>
      <c r="AC187" s="24">
        <v>0</v>
      </c>
      <c r="AD187" s="24">
        <v>0</v>
      </c>
      <c r="AE187" s="24" t="s">
        <v>47</v>
      </c>
      <c r="AF187" s="114" t="s">
        <v>46</v>
      </c>
      <c r="AG187" s="114" t="s">
        <v>43</v>
      </c>
      <c r="AI187" s="104">
        <v>1617</v>
      </c>
      <c r="AJ187">
        <v>1524</v>
      </c>
    </row>
    <row r="188" spans="2:36" x14ac:dyDescent="0.25">
      <c r="B188" s="24" t="s">
        <v>133</v>
      </c>
      <c r="C188" s="24">
        <v>2</v>
      </c>
      <c r="D188" s="24"/>
      <c r="E188" s="23">
        <v>39119</v>
      </c>
      <c r="F188" s="104">
        <f t="shared" si="18"/>
        <v>2212</v>
      </c>
      <c r="G188" s="23">
        <v>40736</v>
      </c>
      <c r="H188" s="27">
        <v>41331</v>
      </c>
      <c r="I188" s="104">
        <f t="shared" si="17"/>
        <v>1617</v>
      </c>
      <c r="J188" s="19">
        <f t="shared" si="23"/>
        <v>595</v>
      </c>
      <c r="K188" s="83" t="s">
        <v>65</v>
      </c>
      <c r="L188" s="24">
        <v>5.14</v>
      </c>
      <c r="M188" s="19">
        <f t="shared" si="19"/>
        <v>1</v>
      </c>
      <c r="N188" s="19">
        <f t="shared" si="20"/>
        <v>1</v>
      </c>
      <c r="O188" s="19">
        <f t="shared" si="21"/>
        <v>1</v>
      </c>
      <c r="P188" s="19">
        <f t="shared" si="22"/>
        <v>1</v>
      </c>
      <c r="Q188" s="24">
        <v>74</v>
      </c>
      <c r="R188" s="24">
        <v>31</v>
      </c>
      <c r="S188" s="24">
        <v>0</v>
      </c>
      <c r="T188" s="127">
        <v>0</v>
      </c>
      <c r="U188" s="127">
        <v>0</v>
      </c>
      <c r="V188" s="4">
        <v>60</v>
      </c>
      <c r="W188" s="24">
        <v>0</v>
      </c>
      <c r="X188" s="24">
        <v>4.5</v>
      </c>
      <c r="Y188" s="24">
        <v>0.6</v>
      </c>
      <c r="Z188" s="24">
        <v>2.5</v>
      </c>
      <c r="AA188" s="24">
        <v>0.5</v>
      </c>
      <c r="AB188" s="24">
        <v>0</v>
      </c>
      <c r="AC188" s="24">
        <v>0</v>
      </c>
      <c r="AD188" s="24">
        <v>0</v>
      </c>
      <c r="AE188" s="24" t="s">
        <v>47</v>
      </c>
      <c r="AF188" s="138" t="s">
        <v>42</v>
      </c>
      <c r="AG188" s="114" t="s">
        <v>43</v>
      </c>
      <c r="AI188" s="104">
        <v>1715</v>
      </c>
      <c r="AJ188">
        <v>1526</v>
      </c>
    </row>
    <row r="189" spans="2:36" x14ac:dyDescent="0.25">
      <c r="B189" s="24" t="s">
        <v>133</v>
      </c>
      <c r="C189" s="24">
        <v>2</v>
      </c>
      <c r="D189" s="24"/>
      <c r="E189" s="23">
        <v>39119</v>
      </c>
      <c r="F189" s="104">
        <f t="shared" si="18"/>
        <v>2212</v>
      </c>
      <c r="G189" s="23">
        <v>40834</v>
      </c>
      <c r="H189" s="27">
        <v>41331</v>
      </c>
      <c r="I189" s="104">
        <f t="shared" si="17"/>
        <v>1715</v>
      </c>
      <c r="J189" s="19">
        <f t="shared" si="23"/>
        <v>497</v>
      </c>
      <c r="K189" s="83" t="s">
        <v>65</v>
      </c>
      <c r="L189" s="24">
        <v>5.14</v>
      </c>
      <c r="M189" s="19">
        <f t="shared" si="19"/>
        <v>0</v>
      </c>
      <c r="N189" s="19">
        <f t="shared" si="20"/>
        <v>1</v>
      </c>
      <c r="O189" s="19">
        <f t="shared" si="21"/>
        <v>1</v>
      </c>
      <c r="P189" s="19">
        <f t="shared" si="22"/>
        <v>1</v>
      </c>
      <c r="Q189" s="24">
        <v>70</v>
      </c>
      <c r="R189" s="24">
        <v>29</v>
      </c>
      <c r="S189" s="24">
        <v>0</v>
      </c>
      <c r="T189" s="127">
        <v>0</v>
      </c>
      <c r="U189" s="127">
        <v>0</v>
      </c>
      <c r="V189" s="4">
        <v>60</v>
      </c>
      <c r="W189" s="24">
        <v>0</v>
      </c>
      <c r="X189" s="24">
        <v>4.5</v>
      </c>
      <c r="Y189" s="24">
        <v>0.6</v>
      </c>
      <c r="Z189" s="24">
        <v>2.5</v>
      </c>
      <c r="AA189" s="24">
        <v>0.5</v>
      </c>
      <c r="AB189" s="24">
        <v>0</v>
      </c>
      <c r="AC189" s="24">
        <v>0</v>
      </c>
      <c r="AD189" s="24">
        <v>0</v>
      </c>
      <c r="AE189" s="24" t="s">
        <v>47</v>
      </c>
      <c r="AF189" s="138" t="s">
        <v>42</v>
      </c>
      <c r="AG189" s="114" t="s">
        <v>43</v>
      </c>
      <c r="AI189" s="104">
        <v>1821</v>
      </c>
      <c r="AJ189">
        <v>1526</v>
      </c>
    </row>
    <row r="190" spans="2:36" x14ac:dyDescent="0.25">
      <c r="B190" s="24" t="s">
        <v>133</v>
      </c>
      <c r="C190" s="24">
        <v>2</v>
      </c>
      <c r="D190" s="24"/>
      <c r="E190" s="23">
        <v>39119</v>
      </c>
      <c r="F190" s="104">
        <f t="shared" si="18"/>
        <v>2212</v>
      </c>
      <c r="G190" s="23">
        <v>40940</v>
      </c>
      <c r="H190" s="27">
        <v>41331</v>
      </c>
      <c r="I190" s="104">
        <f t="shared" si="17"/>
        <v>1821</v>
      </c>
      <c r="J190" s="19">
        <f t="shared" si="23"/>
        <v>391</v>
      </c>
      <c r="K190" s="83" t="s">
        <v>65</v>
      </c>
      <c r="L190" s="24">
        <v>5.13</v>
      </c>
      <c r="M190" s="19">
        <f t="shared" si="19"/>
        <v>0</v>
      </c>
      <c r="N190" s="19">
        <f t="shared" si="20"/>
        <v>1</v>
      </c>
      <c r="O190" s="19">
        <f t="shared" si="21"/>
        <v>1</v>
      </c>
      <c r="P190" s="19">
        <f t="shared" si="22"/>
        <v>1</v>
      </c>
      <c r="Q190" s="24">
        <v>69</v>
      </c>
      <c r="R190" s="24">
        <v>5</v>
      </c>
      <c r="S190" s="24">
        <v>0</v>
      </c>
      <c r="T190" s="127">
        <v>0</v>
      </c>
      <c r="U190" s="127">
        <v>0</v>
      </c>
      <c r="V190" s="4">
        <v>60</v>
      </c>
      <c r="W190" s="24">
        <v>0</v>
      </c>
      <c r="X190" s="24">
        <v>4.5</v>
      </c>
      <c r="Y190" s="24">
        <v>0.6</v>
      </c>
      <c r="Z190" s="24">
        <v>2.5</v>
      </c>
      <c r="AA190" s="24">
        <v>0.5</v>
      </c>
      <c r="AB190" s="24">
        <v>0</v>
      </c>
      <c r="AC190" s="24">
        <v>0</v>
      </c>
      <c r="AD190" s="24">
        <v>0</v>
      </c>
      <c r="AE190" s="24" t="s">
        <v>47</v>
      </c>
      <c r="AF190" s="138" t="s">
        <v>42</v>
      </c>
      <c r="AG190" s="114" t="s">
        <v>43</v>
      </c>
      <c r="AI190" s="104">
        <v>1981</v>
      </c>
      <c r="AJ190">
        <v>1527</v>
      </c>
    </row>
    <row r="191" spans="2:36" x14ac:dyDescent="0.25">
      <c r="B191" s="24" t="s">
        <v>133</v>
      </c>
      <c r="C191" s="24">
        <v>2</v>
      </c>
      <c r="D191" s="24"/>
      <c r="E191" s="23">
        <v>39119</v>
      </c>
      <c r="F191" s="104">
        <f t="shared" si="18"/>
        <v>2212</v>
      </c>
      <c r="G191" s="23">
        <v>41100</v>
      </c>
      <c r="H191" s="27">
        <v>41331</v>
      </c>
      <c r="I191" s="104">
        <f t="shared" si="17"/>
        <v>1981</v>
      </c>
      <c r="J191" s="19">
        <f t="shared" si="23"/>
        <v>231</v>
      </c>
      <c r="K191" s="83" t="s">
        <v>65</v>
      </c>
      <c r="L191" s="24">
        <v>5.07</v>
      </c>
      <c r="M191" s="19">
        <f t="shared" si="19"/>
        <v>0</v>
      </c>
      <c r="N191" s="19">
        <f t="shared" si="20"/>
        <v>0</v>
      </c>
      <c r="O191" s="19">
        <f t="shared" si="21"/>
        <v>1</v>
      </c>
      <c r="P191" s="19">
        <f t="shared" si="22"/>
        <v>1</v>
      </c>
      <c r="Q191" s="24">
        <v>64</v>
      </c>
      <c r="R191" s="24">
        <v>21</v>
      </c>
      <c r="S191" s="24">
        <v>0</v>
      </c>
      <c r="T191" s="127">
        <v>0</v>
      </c>
      <c r="U191" s="127">
        <v>0</v>
      </c>
      <c r="V191" s="4">
        <v>60</v>
      </c>
      <c r="W191" s="24">
        <v>0</v>
      </c>
      <c r="X191" s="24">
        <v>3</v>
      </c>
      <c r="Y191" s="24">
        <v>0.6</v>
      </c>
      <c r="Z191" s="24">
        <v>3</v>
      </c>
      <c r="AA191" s="24">
        <v>0.5</v>
      </c>
      <c r="AB191" s="24">
        <v>0</v>
      </c>
      <c r="AC191" s="24">
        <v>0</v>
      </c>
      <c r="AD191" s="24">
        <v>0</v>
      </c>
      <c r="AE191" s="24" t="s">
        <v>47</v>
      </c>
      <c r="AF191" s="138" t="s">
        <v>42</v>
      </c>
      <c r="AG191" s="114" t="s">
        <v>43</v>
      </c>
      <c r="AI191" s="104">
        <v>2212</v>
      </c>
      <c r="AJ191">
        <v>1530</v>
      </c>
    </row>
    <row r="192" spans="2:36" x14ac:dyDescent="0.25">
      <c r="B192" s="24" t="s">
        <v>133</v>
      </c>
      <c r="C192" s="24">
        <v>2</v>
      </c>
      <c r="D192" s="24"/>
      <c r="E192" s="23">
        <v>39119</v>
      </c>
      <c r="F192" s="104">
        <f t="shared" si="18"/>
        <v>2212</v>
      </c>
      <c r="G192" s="27">
        <v>41331</v>
      </c>
      <c r="H192" s="27">
        <v>41331</v>
      </c>
      <c r="I192" s="104">
        <f t="shared" si="17"/>
        <v>2212</v>
      </c>
      <c r="J192" s="19">
        <f t="shared" si="23"/>
        <v>0</v>
      </c>
      <c r="K192" s="83" t="s">
        <v>65</v>
      </c>
      <c r="L192" s="24">
        <v>4.72</v>
      </c>
      <c r="M192" s="19">
        <f t="shared" si="19"/>
        <v>0</v>
      </c>
      <c r="N192" s="19">
        <f t="shared" si="20"/>
        <v>0</v>
      </c>
      <c r="O192" s="19">
        <f t="shared" si="21"/>
        <v>0</v>
      </c>
      <c r="P192" s="19">
        <f t="shared" si="22"/>
        <v>0</v>
      </c>
      <c r="Q192" s="24">
        <v>60</v>
      </c>
      <c r="R192" s="24">
        <v>20</v>
      </c>
      <c r="S192" s="24">
        <v>0</v>
      </c>
      <c r="T192" s="127">
        <v>0</v>
      </c>
      <c r="U192" s="127">
        <v>0</v>
      </c>
      <c r="V192" s="4">
        <v>60</v>
      </c>
      <c r="W192" s="24">
        <v>1</v>
      </c>
      <c r="X192" s="24">
        <v>3</v>
      </c>
      <c r="Y192" s="24">
        <v>0.6</v>
      </c>
      <c r="Z192" s="24">
        <v>3</v>
      </c>
      <c r="AA192" s="24">
        <v>0.5</v>
      </c>
      <c r="AB192" s="24">
        <v>0</v>
      </c>
      <c r="AC192" s="24">
        <v>0</v>
      </c>
      <c r="AD192" s="24">
        <v>0</v>
      </c>
      <c r="AE192" s="24" t="s">
        <v>47</v>
      </c>
      <c r="AF192" s="138" t="s">
        <v>42</v>
      </c>
      <c r="AG192" s="114" t="s">
        <v>28</v>
      </c>
      <c r="AI192" s="104">
        <v>1041</v>
      </c>
      <c r="AJ192">
        <v>1533</v>
      </c>
    </row>
    <row r="193" spans="2:36" hidden="1" x14ac:dyDescent="0.25">
      <c r="B193" s="24" t="s">
        <v>163</v>
      </c>
      <c r="C193" s="24">
        <v>2</v>
      </c>
      <c r="E193" s="27">
        <v>39147</v>
      </c>
      <c r="F193" s="104">
        <f t="shared" si="18"/>
        <v>2806</v>
      </c>
      <c r="G193" s="25">
        <v>40188</v>
      </c>
      <c r="H193" s="27">
        <v>41953</v>
      </c>
      <c r="I193" s="104">
        <f t="shared" ref="I193:I256" si="24">G193-E193</f>
        <v>1041</v>
      </c>
      <c r="J193" s="19">
        <f t="shared" si="23"/>
        <v>1765</v>
      </c>
      <c r="K193" t="s">
        <v>69</v>
      </c>
      <c r="L193" s="4">
        <v>6.22</v>
      </c>
      <c r="M193" s="19">
        <f t="shared" si="19"/>
        <v>1</v>
      </c>
      <c r="N193" s="19">
        <f t="shared" si="20"/>
        <v>1</v>
      </c>
      <c r="O193" s="19">
        <f t="shared" si="21"/>
        <v>1</v>
      </c>
      <c r="P193" s="19">
        <f t="shared" si="22"/>
        <v>1</v>
      </c>
      <c r="Q193" s="4">
        <v>8</v>
      </c>
      <c r="R193" s="4">
        <v>0</v>
      </c>
      <c r="S193" s="24">
        <v>0</v>
      </c>
      <c r="T193" s="127">
        <v>0</v>
      </c>
      <c r="U193" s="127">
        <v>0</v>
      </c>
      <c r="V193" s="4">
        <v>50</v>
      </c>
      <c r="W193" s="4">
        <v>0</v>
      </c>
      <c r="X193" s="4">
        <v>2.5</v>
      </c>
      <c r="Y193" s="4">
        <v>0.5</v>
      </c>
      <c r="Z193" s="4">
        <v>2.5</v>
      </c>
      <c r="AA193" s="4">
        <v>0.5</v>
      </c>
      <c r="AB193" s="24">
        <v>0</v>
      </c>
      <c r="AC193" s="24">
        <v>0</v>
      </c>
      <c r="AD193" s="24">
        <v>0</v>
      </c>
      <c r="AE193" s="4" t="s">
        <v>67</v>
      </c>
      <c r="AF193" s="138" t="s">
        <v>42</v>
      </c>
      <c r="AG193" s="118" t="s">
        <v>285</v>
      </c>
      <c r="AI193" s="104">
        <v>1679</v>
      </c>
      <c r="AJ193">
        <v>1540</v>
      </c>
    </row>
    <row r="194" spans="2:36" hidden="1" x14ac:dyDescent="0.25">
      <c r="B194" s="24" t="s">
        <v>163</v>
      </c>
      <c r="C194" s="24">
        <v>2</v>
      </c>
      <c r="D194" s="24"/>
      <c r="E194" s="27">
        <v>39147</v>
      </c>
      <c r="F194" s="104">
        <f t="shared" si="18"/>
        <v>2806</v>
      </c>
      <c r="G194" s="23">
        <v>40826</v>
      </c>
      <c r="H194" s="27">
        <v>41953</v>
      </c>
      <c r="I194" s="104">
        <f t="shared" si="24"/>
        <v>1679</v>
      </c>
      <c r="J194" s="19">
        <f t="shared" si="23"/>
        <v>1127</v>
      </c>
      <c r="K194" t="s">
        <v>69</v>
      </c>
      <c r="L194" s="24">
        <v>5.38</v>
      </c>
      <c r="M194" s="19">
        <f t="shared" si="19"/>
        <v>1</v>
      </c>
      <c r="N194" s="19">
        <f t="shared" si="20"/>
        <v>1</v>
      </c>
      <c r="O194" s="19">
        <f t="shared" si="21"/>
        <v>1</v>
      </c>
      <c r="P194" s="19">
        <f t="shared" si="22"/>
        <v>1</v>
      </c>
      <c r="Q194" s="24">
        <v>7</v>
      </c>
      <c r="R194" s="24">
        <v>0</v>
      </c>
      <c r="S194" s="24">
        <v>0</v>
      </c>
      <c r="T194" s="129">
        <v>0</v>
      </c>
      <c r="U194" s="129">
        <v>147</v>
      </c>
      <c r="V194" s="4">
        <v>50</v>
      </c>
      <c r="W194" s="24">
        <v>0</v>
      </c>
      <c r="X194" s="24">
        <v>2.5</v>
      </c>
      <c r="Y194" s="24">
        <v>0.5</v>
      </c>
      <c r="Z194" s="24">
        <v>2.5</v>
      </c>
      <c r="AA194" s="24">
        <v>0.5</v>
      </c>
      <c r="AB194" s="24">
        <v>0</v>
      </c>
      <c r="AC194" s="24">
        <v>0</v>
      </c>
      <c r="AD194" s="24">
        <v>0</v>
      </c>
      <c r="AE194" s="24" t="s">
        <v>67</v>
      </c>
      <c r="AF194" s="114" t="s">
        <v>165</v>
      </c>
      <c r="AG194" s="114" t="s">
        <v>69</v>
      </c>
      <c r="AI194" s="104">
        <v>1869</v>
      </c>
      <c r="AJ194">
        <v>1561</v>
      </c>
    </row>
    <row r="195" spans="2:36" hidden="1" x14ac:dyDescent="0.25">
      <c r="B195" s="24" t="s">
        <v>163</v>
      </c>
      <c r="C195" s="24">
        <v>2</v>
      </c>
      <c r="D195" s="24"/>
      <c r="E195" s="27">
        <v>39147</v>
      </c>
      <c r="F195" s="104">
        <f t="shared" ref="F195:F258" si="25">H195-E195</f>
        <v>2806</v>
      </c>
      <c r="G195" s="23">
        <v>41016</v>
      </c>
      <c r="H195" s="27">
        <v>41953</v>
      </c>
      <c r="I195" s="104">
        <f t="shared" si="24"/>
        <v>1869</v>
      </c>
      <c r="J195" s="19">
        <f t="shared" si="23"/>
        <v>937</v>
      </c>
      <c r="K195" t="s">
        <v>69</v>
      </c>
      <c r="L195" s="40">
        <v>5.25</v>
      </c>
      <c r="M195" s="19">
        <f t="shared" ref="M195:M258" si="26">IF($J195&gt;540,1,0)</f>
        <v>1</v>
      </c>
      <c r="N195" s="19">
        <f t="shared" ref="N195:N258" si="27">IF($J195&gt;360,1,0)</f>
        <v>1</v>
      </c>
      <c r="O195" s="19">
        <f t="shared" ref="O195:O258" si="28">IF($J195&gt;180,1,0)</f>
        <v>1</v>
      </c>
      <c r="P195" s="19">
        <f t="shared" ref="P195:P258" si="29">IF($J195&gt;90,1,0)</f>
        <v>1</v>
      </c>
      <c r="Q195" s="24">
        <v>6</v>
      </c>
      <c r="R195" s="24">
        <v>0</v>
      </c>
      <c r="S195" s="24">
        <v>0</v>
      </c>
      <c r="T195" s="129">
        <v>1</v>
      </c>
      <c r="U195" s="129">
        <v>1277</v>
      </c>
      <c r="V195" s="4">
        <v>50</v>
      </c>
      <c r="W195" s="24">
        <v>0</v>
      </c>
      <c r="X195" s="24">
        <v>2.5</v>
      </c>
      <c r="Y195" s="24">
        <v>0.5</v>
      </c>
      <c r="Z195" s="24">
        <v>2.5</v>
      </c>
      <c r="AA195" s="24">
        <v>0.5</v>
      </c>
      <c r="AB195" s="24">
        <v>0</v>
      </c>
      <c r="AC195" s="24">
        <v>0</v>
      </c>
      <c r="AD195" s="24">
        <v>0</v>
      </c>
      <c r="AE195" s="24" t="s">
        <v>67</v>
      </c>
      <c r="AF195" s="114" t="s">
        <v>166</v>
      </c>
      <c r="AG195" s="114" t="s">
        <v>69</v>
      </c>
      <c r="AI195" s="104">
        <v>1967</v>
      </c>
      <c r="AJ195">
        <v>1565</v>
      </c>
    </row>
    <row r="196" spans="2:36" hidden="1" x14ac:dyDescent="0.25">
      <c r="B196" s="24" t="s">
        <v>163</v>
      </c>
      <c r="C196" s="24">
        <v>2</v>
      </c>
      <c r="E196" s="27">
        <v>39147</v>
      </c>
      <c r="F196" s="104">
        <f t="shared" si="25"/>
        <v>2806</v>
      </c>
      <c r="G196" s="25">
        <v>41114</v>
      </c>
      <c r="H196" s="27">
        <v>41953</v>
      </c>
      <c r="I196" s="104">
        <f t="shared" si="24"/>
        <v>1967</v>
      </c>
      <c r="J196" s="19">
        <f t="shared" si="23"/>
        <v>839</v>
      </c>
      <c r="K196" t="s">
        <v>69</v>
      </c>
      <c r="L196" s="4">
        <v>5.2</v>
      </c>
      <c r="M196" s="19">
        <f t="shared" si="26"/>
        <v>1</v>
      </c>
      <c r="N196" s="19">
        <f t="shared" si="27"/>
        <v>1</v>
      </c>
      <c r="O196" s="19">
        <f t="shared" si="28"/>
        <v>1</v>
      </c>
      <c r="P196" s="19">
        <f t="shared" si="29"/>
        <v>1</v>
      </c>
      <c r="Q196" s="4">
        <v>6</v>
      </c>
      <c r="R196" s="4">
        <v>0</v>
      </c>
      <c r="S196" s="24">
        <v>0</v>
      </c>
      <c r="T196" s="127">
        <v>0</v>
      </c>
      <c r="U196" s="127">
        <v>24</v>
      </c>
      <c r="V196" s="4">
        <v>50</v>
      </c>
      <c r="W196" s="4">
        <v>0</v>
      </c>
      <c r="X196" s="4">
        <v>2.5</v>
      </c>
      <c r="Y196" s="4">
        <v>0.5</v>
      </c>
      <c r="Z196" s="4">
        <v>2.5</v>
      </c>
      <c r="AA196" s="4">
        <v>0.5</v>
      </c>
      <c r="AB196" s="24">
        <v>0</v>
      </c>
      <c r="AC196" s="24">
        <v>0</v>
      </c>
      <c r="AD196" s="24">
        <v>0</v>
      </c>
      <c r="AE196" s="4" t="s">
        <v>67</v>
      </c>
      <c r="AF196" s="138" t="s">
        <v>315</v>
      </c>
      <c r="AG196" s="118" t="s">
        <v>285</v>
      </c>
      <c r="AI196" s="104">
        <v>2048</v>
      </c>
      <c r="AJ196">
        <v>1568</v>
      </c>
    </row>
    <row r="197" spans="2:36" hidden="1" x14ac:dyDescent="0.25">
      <c r="B197" s="24" t="s">
        <v>163</v>
      </c>
      <c r="C197" s="24">
        <v>2</v>
      </c>
      <c r="D197" s="24"/>
      <c r="E197" s="27">
        <v>39147</v>
      </c>
      <c r="F197" s="104">
        <f t="shared" si="25"/>
        <v>2806</v>
      </c>
      <c r="G197" s="27">
        <v>41195</v>
      </c>
      <c r="H197" s="27">
        <v>41953</v>
      </c>
      <c r="I197" s="104">
        <f t="shared" si="24"/>
        <v>2048</v>
      </c>
      <c r="J197" s="19">
        <f t="shared" si="23"/>
        <v>758</v>
      </c>
      <c r="K197" t="s">
        <v>69</v>
      </c>
      <c r="L197" s="40">
        <v>5.18</v>
      </c>
      <c r="M197" s="19">
        <f t="shared" si="26"/>
        <v>1</v>
      </c>
      <c r="N197" s="19">
        <f t="shared" si="27"/>
        <v>1</v>
      </c>
      <c r="O197" s="19">
        <f t="shared" si="28"/>
        <v>1</v>
      </c>
      <c r="P197" s="19">
        <f t="shared" si="29"/>
        <v>1</v>
      </c>
      <c r="Q197" s="24">
        <v>6</v>
      </c>
      <c r="R197" s="24">
        <v>0</v>
      </c>
      <c r="S197" s="24">
        <v>0</v>
      </c>
      <c r="T197" s="127">
        <v>2</v>
      </c>
      <c r="U197" s="127">
        <v>32</v>
      </c>
      <c r="V197" s="4">
        <v>50</v>
      </c>
      <c r="W197" s="24">
        <v>0</v>
      </c>
      <c r="X197" s="24">
        <v>2.5</v>
      </c>
      <c r="Y197" s="24">
        <v>0.5</v>
      </c>
      <c r="Z197" s="24">
        <v>2.5</v>
      </c>
      <c r="AA197" s="24">
        <v>0.5</v>
      </c>
      <c r="AB197" s="24">
        <v>0</v>
      </c>
      <c r="AC197" s="24">
        <v>0</v>
      </c>
      <c r="AD197" s="24">
        <v>0</v>
      </c>
      <c r="AE197" s="24" t="s">
        <v>67</v>
      </c>
      <c r="AF197" s="145" t="s">
        <v>167</v>
      </c>
      <c r="AG197" s="114" t="s">
        <v>69</v>
      </c>
      <c r="AI197" s="104">
        <v>2051</v>
      </c>
      <c r="AJ197">
        <v>1568</v>
      </c>
    </row>
    <row r="198" spans="2:36" hidden="1" x14ac:dyDescent="0.25">
      <c r="B198" s="24" t="s">
        <v>163</v>
      </c>
      <c r="C198" s="24">
        <v>2</v>
      </c>
      <c r="D198" s="24"/>
      <c r="E198" s="27">
        <v>39147</v>
      </c>
      <c r="F198" s="104">
        <f t="shared" si="25"/>
        <v>2806</v>
      </c>
      <c r="G198" s="27">
        <v>41198</v>
      </c>
      <c r="H198" s="27">
        <v>41953</v>
      </c>
      <c r="I198" s="104">
        <f t="shared" si="24"/>
        <v>2051</v>
      </c>
      <c r="J198" s="19">
        <f t="shared" si="23"/>
        <v>755</v>
      </c>
      <c r="K198" t="s">
        <v>69</v>
      </c>
      <c r="L198" s="24">
        <v>5.18</v>
      </c>
      <c r="M198" s="19">
        <f t="shared" si="26"/>
        <v>1</v>
      </c>
      <c r="N198" s="19">
        <f t="shared" si="27"/>
        <v>1</v>
      </c>
      <c r="O198" s="19">
        <f t="shared" si="28"/>
        <v>1</v>
      </c>
      <c r="P198" s="19">
        <f t="shared" si="29"/>
        <v>1</v>
      </c>
      <c r="Q198" s="24">
        <v>6</v>
      </c>
      <c r="R198" s="24">
        <v>0</v>
      </c>
      <c r="S198" s="24">
        <v>0</v>
      </c>
      <c r="T198" s="127">
        <v>2</v>
      </c>
      <c r="U198" s="127">
        <v>41</v>
      </c>
      <c r="V198" s="4">
        <v>50</v>
      </c>
      <c r="W198" s="24">
        <v>0</v>
      </c>
      <c r="X198" s="24">
        <v>2.5</v>
      </c>
      <c r="Y198" s="24">
        <v>0.5</v>
      </c>
      <c r="Z198" s="24">
        <v>2.5</v>
      </c>
      <c r="AA198" s="24">
        <v>0.5</v>
      </c>
      <c r="AB198" s="24">
        <v>0</v>
      </c>
      <c r="AC198" s="24">
        <v>0</v>
      </c>
      <c r="AD198" s="24">
        <v>0</v>
      </c>
      <c r="AE198" s="24" t="s">
        <v>67</v>
      </c>
      <c r="AF198" s="145" t="s">
        <v>168</v>
      </c>
      <c r="AG198" s="114" t="s">
        <v>69</v>
      </c>
      <c r="AI198" s="104">
        <v>2114</v>
      </c>
      <c r="AJ198">
        <v>1572</v>
      </c>
    </row>
    <row r="199" spans="2:36" hidden="1" x14ac:dyDescent="0.25">
      <c r="B199" s="24" t="s">
        <v>163</v>
      </c>
      <c r="C199" s="24">
        <v>2</v>
      </c>
      <c r="D199" s="24"/>
      <c r="E199" s="27">
        <v>39147</v>
      </c>
      <c r="F199" s="104">
        <f t="shared" si="25"/>
        <v>2806</v>
      </c>
      <c r="G199" s="27">
        <v>41261</v>
      </c>
      <c r="H199" s="27">
        <v>41953</v>
      </c>
      <c r="I199" s="104">
        <f t="shared" si="24"/>
        <v>2114</v>
      </c>
      <c r="J199" s="19">
        <f t="shared" ref="J199:J262" si="30">H199-G199</f>
        <v>692</v>
      </c>
      <c r="K199" t="s">
        <v>69</v>
      </c>
      <c r="L199" s="24">
        <v>5.17</v>
      </c>
      <c r="M199" s="19">
        <f t="shared" si="26"/>
        <v>1</v>
      </c>
      <c r="N199" s="19">
        <f t="shared" si="27"/>
        <v>1</v>
      </c>
      <c r="O199" s="19">
        <f t="shared" si="28"/>
        <v>1</v>
      </c>
      <c r="P199" s="19">
        <f t="shared" si="29"/>
        <v>1</v>
      </c>
      <c r="Q199" s="24">
        <v>7</v>
      </c>
      <c r="R199" s="24">
        <v>0</v>
      </c>
      <c r="S199" s="24">
        <v>0</v>
      </c>
      <c r="T199" s="129">
        <v>0</v>
      </c>
      <c r="U199" s="129">
        <v>9</v>
      </c>
      <c r="V199" s="4">
        <v>50</v>
      </c>
      <c r="W199" s="24">
        <v>0</v>
      </c>
      <c r="X199" s="24">
        <v>2.5</v>
      </c>
      <c r="Y199" s="24">
        <v>0.5</v>
      </c>
      <c r="Z199" s="24">
        <v>2.5</v>
      </c>
      <c r="AA199" s="24">
        <v>0.5</v>
      </c>
      <c r="AB199" s="24">
        <v>0</v>
      </c>
      <c r="AC199" s="24">
        <v>0</v>
      </c>
      <c r="AD199" s="24">
        <v>0</v>
      </c>
      <c r="AE199" s="24" t="s">
        <v>67</v>
      </c>
      <c r="AF199" s="114" t="s">
        <v>169</v>
      </c>
      <c r="AG199" s="114" t="s">
        <v>69</v>
      </c>
      <c r="AI199" s="104">
        <v>2127</v>
      </c>
      <c r="AJ199">
        <v>1574</v>
      </c>
    </row>
    <row r="200" spans="2:36" hidden="1" x14ac:dyDescent="0.25">
      <c r="B200" s="24" t="s">
        <v>163</v>
      </c>
      <c r="C200" s="24">
        <v>2</v>
      </c>
      <c r="E200" s="27">
        <v>39147</v>
      </c>
      <c r="F200" s="104">
        <f t="shared" si="25"/>
        <v>2806</v>
      </c>
      <c r="G200" s="25">
        <v>41274</v>
      </c>
      <c r="H200" s="27">
        <v>41953</v>
      </c>
      <c r="I200" s="104">
        <f t="shared" si="24"/>
        <v>2127</v>
      </c>
      <c r="J200" s="19">
        <f t="shared" si="30"/>
        <v>679</v>
      </c>
      <c r="K200" t="s">
        <v>69</v>
      </c>
      <c r="L200" s="4">
        <v>5.17</v>
      </c>
      <c r="M200" s="19">
        <f t="shared" si="26"/>
        <v>1</v>
      </c>
      <c r="N200" s="19">
        <f t="shared" si="27"/>
        <v>1</v>
      </c>
      <c r="O200" s="19">
        <f t="shared" si="28"/>
        <v>1</v>
      </c>
      <c r="P200" s="19">
        <f t="shared" si="29"/>
        <v>1</v>
      </c>
      <c r="Q200" s="4">
        <v>58</v>
      </c>
      <c r="R200" s="4">
        <v>0</v>
      </c>
      <c r="S200" s="24">
        <v>0</v>
      </c>
      <c r="T200" s="125">
        <v>0</v>
      </c>
      <c r="U200" s="125">
        <v>36</v>
      </c>
      <c r="V200" s="4">
        <v>60</v>
      </c>
      <c r="W200" s="4">
        <v>0</v>
      </c>
      <c r="X200" s="4">
        <v>3</v>
      </c>
      <c r="Y200" s="4">
        <v>0.5</v>
      </c>
      <c r="Z200" s="4">
        <v>2.5</v>
      </c>
      <c r="AA200" s="4">
        <v>0.5</v>
      </c>
      <c r="AB200" s="24">
        <v>0</v>
      </c>
      <c r="AC200" s="24">
        <v>0</v>
      </c>
      <c r="AD200" s="24">
        <v>0</v>
      </c>
      <c r="AE200" s="4" t="s">
        <v>47</v>
      </c>
      <c r="AF200" s="118" t="s">
        <v>316</v>
      </c>
      <c r="AG200" s="118" t="s">
        <v>285</v>
      </c>
      <c r="AI200" s="104">
        <v>2149</v>
      </c>
      <c r="AJ200">
        <v>1574</v>
      </c>
    </row>
    <row r="201" spans="2:36" hidden="1" x14ac:dyDescent="0.25">
      <c r="B201" s="24" t="s">
        <v>163</v>
      </c>
      <c r="C201" s="24">
        <v>2</v>
      </c>
      <c r="D201" s="24"/>
      <c r="E201" s="27">
        <v>39147</v>
      </c>
      <c r="F201" s="104">
        <f t="shared" si="25"/>
        <v>2806</v>
      </c>
      <c r="G201" s="27">
        <v>41296</v>
      </c>
      <c r="H201" s="27">
        <v>41953</v>
      </c>
      <c r="I201" s="104">
        <f t="shared" si="24"/>
        <v>2149</v>
      </c>
      <c r="J201" s="19">
        <f t="shared" si="30"/>
        <v>657</v>
      </c>
      <c r="K201" t="s">
        <v>69</v>
      </c>
      <c r="L201" s="24">
        <v>5.17</v>
      </c>
      <c r="M201" s="19">
        <f t="shared" si="26"/>
        <v>1</v>
      </c>
      <c r="N201" s="19">
        <f t="shared" si="27"/>
        <v>1</v>
      </c>
      <c r="O201" s="19">
        <f t="shared" si="28"/>
        <v>1</v>
      </c>
      <c r="P201" s="19">
        <f t="shared" si="29"/>
        <v>1</v>
      </c>
      <c r="Q201" s="24">
        <v>79</v>
      </c>
      <c r="R201" s="24">
        <v>0</v>
      </c>
      <c r="S201" s="24">
        <v>0</v>
      </c>
      <c r="T201" s="129">
        <v>0</v>
      </c>
      <c r="U201" s="129">
        <v>0</v>
      </c>
      <c r="V201" s="4">
        <v>60</v>
      </c>
      <c r="W201" s="24">
        <v>0</v>
      </c>
      <c r="X201" s="24">
        <v>3</v>
      </c>
      <c r="Y201" s="24">
        <v>0.5</v>
      </c>
      <c r="Z201" s="24">
        <v>2.5</v>
      </c>
      <c r="AA201" s="24">
        <v>0.5</v>
      </c>
      <c r="AB201" s="24">
        <v>0</v>
      </c>
      <c r="AC201" s="24">
        <v>0</v>
      </c>
      <c r="AD201" s="24">
        <v>0</v>
      </c>
      <c r="AE201" s="24" t="s">
        <v>47</v>
      </c>
      <c r="AF201" s="114" t="s">
        <v>42</v>
      </c>
      <c r="AG201" s="114" t="s">
        <v>69</v>
      </c>
      <c r="AI201" s="104">
        <v>2284</v>
      </c>
      <c r="AJ201">
        <v>1575</v>
      </c>
    </row>
    <row r="202" spans="2:36" hidden="1" x14ac:dyDescent="0.25">
      <c r="B202" s="24" t="s">
        <v>163</v>
      </c>
      <c r="C202" s="24">
        <v>2</v>
      </c>
      <c r="D202" s="24"/>
      <c r="E202" s="27">
        <v>39147</v>
      </c>
      <c r="F202" s="104">
        <f t="shared" si="25"/>
        <v>2806</v>
      </c>
      <c r="G202" s="27">
        <v>41431</v>
      </c>
      <c r="H202" s="27">
        <v>41953</v>
      </c>
      <c r="I202" s="104">
        <f t="shared" si="24"/>
        <v>2284</v>
      </c>
      <c r="J202" s="19">
        <f t="shared" si="30"/>
        <v>522</v>
      </c>
      <c r="K202" t="s">
        <v>69</v>
      </c>
      <c r="L202" s="24">
        <v>5.15</v>
      </c>
      <c r="M202" s="19">
        <f t="shared" si="26"/>
        <v>0</v>
      </c>
      <c r="N202" s="19">
        <f t="shared" si="27"/>
        <v>1</v>
      </c>
      <c r="O202" s="19">
        <f t="shared" si="28"/>
        <v>1</v>
      </c>
      <c r="P202" s="19">
        <f t="shared" si="29"/>
        <v>1</v>
      </c>
      <c r="Q202" s="24">
        <v>76</v>
      </c>
      <c r="R202" s="24">
        <v>0</v>
      </c>
      <c r="S202" s="24">
        <v>0</v>
      </c>
      <c r="T202" s="129">
        <v>1</v>
      </c>
      <c r="U202" s="129">
        <v>0</v>
      </c>
      <c r="V202" s="4">
        <v>60</v>
      </c>
      <c r="W202" s="24">
        <v>0</v>
      </c>
      <c r="X202" s="24">
        <v>2</v>
      </c>
      <c r="Y202" s="24">
        <v>0.5</v>
      </c>
      <c r="Z202" s="24">
        <v>3</v>
      </c>
      <c r="AA202" s="24">
        <v>0.5</v>
      </c>
      <c r="AB202" s="24">
        <v>0</v>
      </c>
      <c r="AC202" s="24">
        <v>0</v>
      </c>
      <c r="AD202" s="24">
        <v>0</v>
      </c>
      <c r="AE202" s="24" t="s">
        <v>47</v>
      </c>
      <c r="AF202" s="114" t="s">
        <v>45</v>
      </c>
      <c r="AG202" s="114" t="s">
        <v>69</v>
      </c>
      <c r="AI202" s="104">
        <v>2457</v>
      </c>
      <c r="AJ202">
        <v>1575</v>
      </c>
    </row>
    <row r="203" spans="2:36" hidden="1" x14ac:dyDescent="0.25">
      <c r="B203" s="24" t="s">
        <v>163</v>
      </c>
      <c r="C203" s="24">
        <v>2</v>
      </c>
      <c r="D203" s="24"/>
      <c r="E203" s="27">
        <v>39147</v>
      </c>
      <c r="F203" s="104">
        <f t="shared" si="25"/>
        <v>2806</v>
      </c>
      <c r="G203" s="27">
        <v>41604</v>
      </c>
      <c r="H203" s="27">
        <v>41953</v>
      </c>
      <c r="I203" s="104">
        <f t="shared" si="24"/>
        <v>2457</v>
      </c>
      <c r="J203" s="19">
        <f t="shared" si="30"/>
        <v>349</v>
      </c>
      <c r="K203" t="s">
        <v>69</v>
      </c>
      <c r="L203" s="24">
        <v>5.13</v>
      </c>
      <c r="M203" s="19">
        <f t="shared" si="26"/>
        <v>0</v>
      </c>
      <c r="N203" s="19">
        <f t="shared" si="27"/>
        <v>0</v>
      </c>
      <c r="O203" s="19">
        <f t="shared" si="28"/>
        <v>1</v>
      </c>
      <c r="P203" s="19">
        <f t="shared" si="29"/>
        <v>1</v>
      </c>
      <c r="Q203" s="24">
        <v>87</v>
      </c>
      <c r="R203" s="24">
        <v>0</v>
      </c>
      <c r="S203" s="24">
        <v>0</v>
      </c>
      <c r="T203" s="129">
        <v>2</v>
      </c>
      <c r="U203" s="129">
        <v>2</v>
      </c>
      <c r="V203" s="4">
        <v>60</v>
      </c>
      <c r="W203" s="24">
        <v>0</v>
      </c>
      <c r="X203" s="24">
        <v>2</v>
      </c>
      <c r="Y203" s="24">
        <v>0.5</v>
      </c>
      <c r="Z203" s="24">
        <v>2.5</v>
      </c>
      <c r="AA203" s="24">
        <v>0.6</v>
      </c>
      <c r="AB203" s="24">
        <v>0</v>
      </c>
      <c r="AC203" s="24">
        <v>0</v>
      </c>
      <c r="AD203" s="24">
        <v>0</v>
      </c>
      <c r="AE203" s="24" t="s">
        <v>47</v>
      </c>
      <c r="AF203" s="114" t="s">
        <v>170</v>
      </c>
      <c r="AG203" s="114" t="s">
        <v>69</v>
      </c>
      <c r="AI203" s="104">
        <v>2586</v>
      </c>
      <c r="AJ203">
        <v>1579</v>
      </c>
    </row>
    <row r="204" spans="2:36" hidden="1" x14ac:dyDescent="0.25">
      <c r="B204" s="24" t="s">
        <v>163</v>
      </c>
      <c r="C204" s="24">
        <v>2</v>
      </c>
      <c r="D204" s="24"/>
      <c r="E204" s="27">
        <v>39147</v>
      </c>
      <c r="F204" s="104">
        <f t="shared" si="25"/>
        <v>2806</v>
      </c>
      <c r="G204" s="27">
        <v>41733</v>
      </c>
      <c r="H204" s="27">
        <v>41953</v>
      </c>
      <c r="I204" s="104">
        <f t="shared" si="24"/>
        <v>2586</v>
      </c>
      <c r="J204" s="19">
        <f t="shared" si="30"/>
        <v>220</v>
      </c>
      <c r="K204" t="s">
        <v>69</v>
      </c>
      <c r="L204" s="24">
        <v>5.13</v>
      </c>
      <c r="M204" s="19">
        <f t="shared" si="26"/>
        <v>0</v>
      </c>
      <c r="N204" s="19">
        <f t="shared" si="27"/>
        <v>0</v>
      </c>
      <c r="O204" s="19">
        <f t="shared" si="28"/>
        <v>1</v>
      </c>
      <c r="P204" s="19">
        <f t="shared" si="29"/>
        <v>1</v>
      </c>
      <c r="Q204" s="24">
        <v>87</v>
      </c>
      <c r="R204" s="24">
        <v>0</v>
      </c>
      <c r="S204" s="24">
        <v>0</v>
      </c>
      <c r="T204" s="127">
        <v>2</v>
      </c>
      <c r="U204" s="127">
        <v>4</v>
      </c>
      <c r="V204" s="4">
        <v>60</v>
      </c>
      <c r="W204" s="24">
        <v>0</v>
      </c>
      <c r="X204" s="24">
        <v>2</v>
      </c>
      <c r="Y204" s="24">
        <v>0.5</v>
      </c>
      <c r="Z204" s="24">
        <v>2.5</v>
      </c>
      <c r="AA204" s="24">
        <v>0.6</v>
      </c>
      <c r="AB204" s="24">
        <v>0</v>
      </c>
      <c r="AC204" s="24">
        <v>0</v>
      </c>
      <c r="AD204" s="24">
        <v>0</v>
      </c>
      <c r="AE204" s="24" t="s">
        <v>47</v>
      </c>
      <c r="AF204" s="138" t="s">
        <v>79</v>
      </c>
      <c r="AG204" s="114" t="s">
        <v>69</v>
      </c>
      <c r="AI204" s="104">
        <v>2605</v>
      </c>
      <c r="AJ204">
        <v>1582</v>
      </c>
    </row>
    <row r="205" spans="2:36" hidden="1" x14ac:dyDescent="0.25">
      <c r="B205" s="24" t="s">
        <v>163</v>
      </c>
      <c r="C205" s="24">
        <v>2</v>
      </c>
      <c r="D205" s="24"/>
      <c r="E205" s="27">
        <v>39147</v>
      </c>
      <c r="F205" s="104">
        <f t="shared" si="25"/>
        <v>2806</v>
      </c>
      <c r="G205" s="27">
        <v>41752</v>
      </c>
      <c r="H205" s="27">
        <v>41953</v>
      </c>
      <c r="I205" s="104">
        <f t="shared" si="24"/>
        <v>2605</v>
      </c>
      <c r="J205" s="19">
        <f t="shared" si="30"/>
        <v>201</v>
      </c>
      <c r="K205" t="s">
        <v>69</v>
      </c>
      <c r="L205" s="24">
        <v>5.15</v>
      </c>
      <c r="M205" s="19">
        <f t="shared" si="26"/>
        <v>0</v>
      </c>
      <c r="N205" s="19">
        <f t="shared" si="27"/>
        <v>0</v>
      </c>
      <c r="O205" s="19">
        <f t="shared" si="28"/>
        <v>1</v>
      </c>
      <c r="P205" s="19">
        <f t="shared" si="29"/>
        <v>1</v>
      </c>
      <c r="Q205" s="24">
        <v>80</v>
      </c>
      <c r="R205" s="24">
        <v>0</v>
      </c>
      <c r="S205" s="24">
        <v>0</v>
      </c>
      <c r="T205" s="129">
        <v>0</v>
      </c>
      <c r="U205" s="129">
        <v>0</v>
      </c>
      <c r="V205" s="4">
        <v>60</v>
      </c>
      <c r="W205" s="24">
        <v>0</v>
      </c>
      <c r="X205" s="24">
        <v>3</v>
      </c>
      <c r="Y205" s="24">
        <v>0.5</v>
      </c>
      <c r="Z205" s="24">
        <v>2.5</v>
      </c>
      <c r="AA205" s="24">
        <v>0.5</v>
      </c>
      <c r="AB205" s="24">
        <v>0</v>
      </c>
      <c r="AC205" s="24">
        <v>0</v>
      </c>
      <c r="AD205" s="24">
        <v>0</v>
      </c>
      <c r="AE205" s="24" t="s">
        <v>47</v>
      </c>
      <c r="AF205" s="114" t="s">
        <v>42</v>
      </c>
      <c r="AG205" s="114" t="s">
        <v>69</v>
      </c>
      <c r="AI205" s="104">
        <v>2639</v>
      </c>
      <c r="AJ205">
        <v>1589</v>
      </c>
    </row>
    <row r="206" spans="2:36" hidden="1" x14ac:dyDescent="0.25">
      <c r="B206" s="24" t="s">
        <v>163</v>
      </c>
      <c r="C206" s="24">
        <v>2</v>
      </c>
      <c r="D206" s="24"/>
      <c r="E206" s="27">
        <v>39147</v>
      </c>
      <c r="F206" s="104">
        <f t="shared" si="25"/>
        <v>2806</v>
      </c>
      <c r="G206" s="27">
        <v>41786</v>
      </c>
      <c r="H206" s="27">
        <v>41953</v>
      </c>
      <c r="I206" s="104">
        <f t="shared" si="24"/>
        <v>2639</v>
      </c>
      <c r="J206" s="19">
        <f t="shared" si="30"/>
        <v>167</v>
      </c>
      <c r="K206" t="s">
        <v>69</v>
      </c>
      <c r="L206" s="24">
        <v>5.0999999999999996</v>
      </c>
      <c r="M206" s="19">
        <f t="shared" si="26"/>
        <v>0</v>
      </c>
      <c r="N206" s="19">
        <f t="shared" si="27"/>
        <v>0</v>
      </c>
      <c r="O206" s="19">
        <f t="shared" si="28"/>
        <v>0</v>
      </c>
      <c r="P206" s="19">
        <f t="shared" si="29"/>
        <v>1</v>
      </c>
      <c r="Q206" s="24">
        <v>90</v>
      </c>
      <c r="R206" s="24">
        <v>0</v>
      </c>
      <c r="S206" s="24">
        <v>0</v>
      </c>
      <c r="T206" s="129">
        <v>0</v>
      </c>
      <c r="U206" s="129">
        <v>0</v>
      </c>
      <c r="V206" s="4">
        <v>60</v>
      </c>
      <c r="W206" s="24">
        <v>0</v>
      </c>
      <c r="X206" s="24">
        <v>2</v>
      </c>
      <c r="Y206" s="24">
        <v>0.5</v>
      </c>
      <c r="Z206" s="24">
        <v>2.5</v>
      </c>
      <c r="AA206" s="24">
        <v>0.6</v>
      </c>
      <c r="AB206" s="24">
        <v>0</v>
      </c>
      <c r="AC206" s="24">
        <v>0</v>
      </c>
      <c r="AD206" s="24">
        <v>0</v>
      </c>
      <c r="AE206" s="24" t="s">
        <v>47</v>
      </c>
      <c r="AF206" s="114" t="s">
        <v>42</v>
      </c>
      <c r="AG206" s="114" t="s">
        <v>69</v>
      </c>
      <c r="AI206" s="104">
        <v>2730</v>
      </c>
      <c r="AJ206">
        <v>1589</v>
      </c>
    </row>
    <row r="207" spans="2:36" hidden="1" x14ac:dyDescent="0.25">
      <c r="B207" s="24" t="s">
        <v>163</v>
      </c>
      <c r="C207" s="24">
        <v>2</v>
      </c>
      <c r="D207" s="24"/>
      <c r="E207" s="27">
        <v>39147</v>
      </c>
      <c r="F207" s="104">
        <f t="shared" si="25"/>
        <v>2806</v>
      </c>
      <c r="G207" s="27">
        <v>41877</v>
      </c>
      <c r="H207" s="27">
        <v>41953</v>
      </c>
      <c r="I207" s="104">
        <f t="shared" si="24"/>
        <v>2730</v>
      </c>
      <c r="J207" s="19">
        <f t="shared" si="30"/>
        <v>76</v>
      </c>
      <c r="K207" t="s">
        <v>69</v>
      </c>
      <c r="L207" s="24">
        <v>5.04</v>
      </c>
      <c r="M207" s="19">
        <f t="shared" si="26"/>
        <v>0</v>
      </c>
      <c r="N207" s="19">
        <f t="shared" si="27"/>
        <v>0</v>
      </c>
      <c r="O207" s="19">
        <f t="shared" si="28"/>
        <v>0</v>
      </c>
      <c r="P207" s="19">
        <f t="shared" si="29"/>
        <v>0</v>
      </c>
      <c r="Q207" s="24">
        <v>88</v>
      </c>
      <c r="R207" s="24">
        <v>0</v>
      </c>
      <c r="S207" s="24">
        <v>0</v>
      </c>
      <c r="T207" s="129">
        <v>0</v>
      </c>
      <c r="U207" s="129">
        <v>0</v>
      </c>
      <c r="V207" s="4">
        <v>60</v>
      </c>
      <c r="W207" s="24">
        <v>0</v>
      </c>
      <c r="X207" s="24">
        <v>2</v>
      </c>
      <c r="Y207" s="24">
        <v>0.5</v>
      </c>
      <c r="Z207" s="24">
        <v>2.5</v>
      </c>
      <c r="AA207" s="24">
        <v>0.6</v>
      </c>
      <c r="AB207" s="24">
        <v>0</v>
      </c>
      <c r="AC207" s="24">
        <v>0</v>
      </c>
      <c r="AD207" s="24">
        <v>0</v>
      </c>
      <c r="AE207" s="24" t="s">
        <v>47</v>
      </c>
      <c r="AF207" s="114" t="s">
        <v>42</v>
      </c>
      <c r="AG207" s="114" t="s">
        <v>69</v>
      </c>
      <c r="AI207" s="104">
        <v>2806</v>
      </c>
      <c r="AJ207">
        <v>1603</v>
      </c>
    </row>
    <row r="208" spans="2:36" hidden="1" x14ac:dyDescent="0.25">
      <c r="B208" s="24" t="s">
        <v>163</v>
      </c>
      <c r="C208" s="24">
        <v>2</v>
      </c>
      <c r="D208" s="24"/>
      <c r="E208" s="27">
        <v>39147</v>
      </c>
      <c r="F208" s="104">
        <f t="shared" si="25"/>
        <v>2806</v>
      </c>
      <c r="G208" s="27">
        <v>41953</v>
      </c>
      <c r="H208" s="27">
        <v>41953</v>
      </c>
      <c r="I208" s="104">
        <f t="shared" si="24"/>
        <v>2806</v>
      </c>
      <c r="J208" s="19">
        <f t="shared" si="30"/>
        <v>0</v>
      </c>
      <c r="K208" t="s">
        <v>69</v>
      </c>
      <c r="L208" s="24">
        <v>4.93</v>
      </c>
      <c r="M208" s="19">
        <f t="shared" si="26"/>
        <v>0</v>
      </c>
      <c r="N208" s="19">
        <f t="shared" si="27"/>
        <v>0</v>
      </c>
      <c r="O208" s="19">
        <f t="shared" si="28"/>
        <v>0</v>
      </c>
      <c r="P208" s="19">
        <f t="shared" si="29"/>
        <v>0</v>
      </c>
      <c r="Q208" s="24">
        <v>90</v>
      </c>
      <c r="R208" s="24">
        <v>0</v>
      </c>
      <c r="S208" s="24">
        <v>0</v>
      </c>
      <c r="T208" s="129">
        <v>0</v>
      </c>
      <c r="U208" s="129">
        <v>0</v>
      </c>
      <c r="V208" s="4">
        <v>60</v>
      </c>
      <c r="W208" s="24">
        <v>0</v>
      </c>
      <c r="X208" s="24">
        <v>2</v>
      </c>
      <c r="Y208" s="24">
        <v>0.5</v>
      </c>
      <c r="Z208" s="24">
        <v>2.5</v>
      </c>
      <c r="AA208" s="24">
        <v>0.6</v>
      </c>
      <c r="AB208" s="24">
        <v>0</v>
      </c>
      <c r="AC208" s="24">
        <v>0</v>
      </c>
      <c r="AD208" s="24">
        <v>0</v>
      </c>
      <c r="AE208" s="24" t="s">
        <v>47</v>
      </c>
      <c r="AF208" s="114" t="s">
        <v>42</v>
      </c>
      <c r="AG208" s="114" t="s">
        <v>69</v>
      </c>
      <c r="AI208" s="104">
        <v>1050</v>
      </c>
      <c r="AJ208">
        <v>1604</v>
      </c>
    </row>
    <row r="209" spans="2:36" x14ac:dyDescent="0.25">
      <c r="B209" s="24" t="s">
        <v>97</v>
      </c>
      <c r="C209" s="24">
        <v>2</v>
      </c>
      <c r="E209" s="27">
        <v>39147</v>
      </c>
      <c r="F209" s="104">
        <f t="shared" si="25"/>
        <v>2289</v>
      </c>
      <c r="G209" s="25">
        <v>40197</v>
      </c>
      <c r="H209" s="13">
        <v>41436</v>
      </c>
      <c r="I209" s="104">
        <f t="shared" si="24"/>
        <v>1050</v>
      </c>
      <c r="J209" s="19">
        <f t="shared" si="30"/>
        <v>1239</v>
      </c>
      <c r="K209" s="83" t="s">
        <v>65</v>
      </c>
      <c r="L209" s="24">
        <v>5.85</v>
      </c>
      <c r="M209" s="19">
        <f t="shared" si="26"/>
        <v>1</v>
      </c>
      <c r="N209" s="19">
        <f t="shared" si="27"/>
        <v>1</v>
      </c>
      <c r="O209" s="19">
        <f t="shared" si="28"/>
        <v>1</v>
      </c>
      <c r="P209" s="19">
        <f t="shared" si="29"/>
        <v>1</v>
      </c>
      <c r="Q209" s="24">
        <f>39+60</f>
        <v>99</v>
      </c>
      <c r="R209" s="24">
        <f>39+60</f>
        <v>99</v>
      </c>
      <c r="S209" s="24">
        <v>0</v>
      </c>
      <c r="T209" s="127">
        <v>0</v>
      </c>
      <c r="U209" s="127">
        <v>0</v>
      </c>
      <c r="V209" s="4">
        <v>60</v>
      </c>
      <c r="W209" s="24">
        <v>1</v>
      </c>
      <c r="X209" s="24">
        <v>2.5</v>
      </c>
      <c r="Y209" s="24">
        <v>0.5</v>
      </c>
      <c r="Z209" s="24">
        <v>2.5</v>
      </c>
      <c r="AA209" s="24">
        <v>0.5</v>
      </c>
      <c r="AB209" s="24">
        <v>0</v>
      </c>
      <c r="AC209" s="24">
        <v>0</v>
      </c>
      <c r="AD209" s="24">
        <v>0</v>
      </c>
      <c r="AE209" s="24" t="s">
        <v>47</v>
      </c>
      <c r="AF209" s="138" t="s">
        <v>42</v>
      </c>
      <c r="AG209" s="114" t="s">
        <v>302</v>
      </c>
      <c r="AI209" s="104">
        <v>1603</v>
      </c>
      <c r="AJ209">
        <v>1606</v>
      </c>
    </row>
    <row r="210" spans="2:36" x14ac:dyDescent="0.25">
      <c r="B210" s="24" t="s">
        <v>97</v>
      </c>
      <c r="C210" s="24">
        <v>2</v>
      </c>
      <c r="E210" s="27">
        <v>39147</v>
      </c>
      <c r="F210" s="104">
        <f t="shared" si="25"/>
        <v>2289</v>
      </c>
      <c r="G210" s="25">
        <v>40750</v>
      </c>
      <c r="H210" s="13">
        <v>41436</v>
      </c>
      <c r="I210" s="104">
        <f t="shared" si="24"/>
        <v>1603</v>
      </c>
      <c r="J210" s="19">
        <f t="shared" si="30"/>
        <v>686</v>
      </c>
      <c r="K210" s="83" t="s">
        <v>65</v>
      </c>
      <c r="L210" s="4">
        <v>5.15</v>
      </c>
      <c r="M210" s="19">
        <f t="shared" si="26"/>
        <v>1</v>
      </c>
      <c r="N210" s="19">
        <f t="shared" si="27"/>
        <v>1</v>
      </c>
      <c r="O210" s="19">
        <f t="shared" si="28"/>
        <v>1</v>
      </c>
      <c r="P210" s="19">
        <f t="shared" si="29"/>
        <v>1</v>
      </c>
      <c r="Q210" s="4">
        <f>41+58</f>
        <v>99</v>
      </c>
      <c r="R210" s="4">
        <f>37+54</f>
        <v>91</v>
      </c>
      <c r="S210" s="24">
        <v>0</v>
      </c>
      <c r="T210" s="127">
        <v>0</v>
      </c>
      <c r="U210" s="127">
        <v>0</v>
      </c>
      <c r="V210" s="4">
        <v>60</v>
      </c>
      <c r="W210" s="24">
        <v>1</v>
      </c>
      <c r="X210" s="24">
        <v>2.5</v>
      </c>
      <c r="Y210" s="24">
        <v>0.5</v>
      </c>
      <c r="Z210" s="24">
        <v>2.5</v>
      </c>
      <c r="AA210" s="24">
        <v>0.5</v>
      </c>
      <c r="AB210" s="24">
        <v>0</v>
      </c>
      <c r="AC210" s="24">
        <v>0</v>
      </c>
      <c r="AD210" s="24">
        <v>0</v>
      </c>
      <c r="AE210" s="24" t="s">
        <v>47</v>
      </c>
      <c r="AF210" s="138" t="s">
        <v>42</v>
      </c>
      <c r="AG210" s="114" t="s">
        <v>302</v>
      </c>
      <c r="AI210" s="104">
        <v>1813</v>
      </c>
      <c r="AJ210">
        <v>1615</v>
      </c>
    </row>
    <row r="211" spans="2:36" x14ac:dyDescent="0.25">
      <c r="B211" s="4" t="s">
        <v>97</v>
      </c>
      <c r="C211" s="4">
        <v>2</v>
      </c>
      <c r="E211" s="13">
        <v>39147</v>
      </c>
      <c r="F211" s="104">
        <f t="shared" si="25"/>
        <v>2289</v>
      </c>
      <c r="G211" s="13">
        <v>40960</v>
      </c>
      <c r="H211" s="13">
        <v>41436</v>
      </c>
      <c r="I211" s="104">
        <f t="shared" si="24"/>
        <v>1813</v>
      </c>
      <c r="J211" s="19">
        <f t="shared" si="30"/>
        <v>476</v>
      </c>
      <c r="K211" s="83" t="s">
        <v>65</v>
      </c>
      <c r="L211" s="4">
        <v>5.13</v>
      </c>
      <c r="M211" s="19">
        <f t="shared" si="26"/>
        <v>0</v>
      </c>
      <c r="N211" s="19">
        <f t="shared" si="27"/>
        <v>1</v>
      </c>
      <c r="O211" s="19">
        <f t="shared" si="28"/>
        <v>1</v>
      </c>
      <c r="P211" s="19">
        <f t="shared" si="29"/>
        <v>1</v>
      </c>
      <c r="Q211" s="4">
        <f>42+58</f>
        <v>100</v>
      </c>
      <c r="R211" s="4">
        <f>40+55</f>
        <v>95</v>
      </c>
      <c r="S211" s="24">
        <v>0</v>
      </c>
      <c r="T211" s="125">
        <v>0</v>
      </c>
      <c r="U211" s="125">
        <v>0</v>
      </c>
      <c r="V211" s="4">
        <v>60</v>
      </c>
      <c r="W211" s="4">
        <v>1</v>
      </c>
      <c r="X211" s="4">
        <v>2.5</v>
      </c>
      <c r="Y211" s="4">
        <v>0.5</v>
      </c>
      <c r="Z211" s="4">
        <v>2.5</v>
      </c>
      <c r="AA211" s="4">
        <v>0.5</v>
      </c>
      <c r="AB211" s="24">
        <v>0</v>
      </c>
      <c r="AC211" s="24">
        <v>0</v>
      </c>
      <c r="AD211" s="24">
        <v>0</v>
      </c>
      <c r="AE211" s="4" t="s">
        <v>47</v>
      </c>
      <c r="AF211" s="118" t="s">
        <v>42</v>
      </c>
      <c r="AG211" s="118" t="s">
        <v>96</v>
      </c>
      <c r="AI211" s="104">
        <v>1991</v>
      </c>
      <c r="AJ211">
        <v>1617</v>
      </c>
    </row>
    <row r="212" spans="2:36" x14ac:dyDescent="0.25">
      <c r="B212" s="4" t="s">
        <v>97</v>
      </c>
      <c r="C212" s="4">
        <v>2</v>
      </c>
      <c r="E212" s="13">
        <v>39147</v>
      </c>
      <c r="F212" s="104">
        <f t="shared" si="25"/>
        <v>2289</v>
      </c>
      <c r="G212" s="13">
        <v>41138</v>
      </c>
      <c r="H212" s="13">
        <v>41436</v>
      </c>
      <c r="I212" s="104">
        <f t="shared" si="24"/>
        <v>1991</v>
      </c>
      <c r="J212" s="19">
        <f t="shared" si="30"/>
        <v>298</v>
      </c>
      <c r="K212" s="83" t="s">
        <v>65</v>
      </c>
      <c r="L212" s="4">
        <v>5.1100000000000003</v>
      </c>
      <c r="M212" s="19">
        <f t="shared" si="26"/>
        <v>0</v>
      </c>
      <c r="N212" s="19">
        <f t="shared" si="27"/>
        <v>0</v>
      </c>
      <c r="O212" s="19">
        <f t="shared" si="28"/>
        <v>1</v>
      </c>
      <c r="P212" s="19">
        <f t="shared" si="29"/>
        <v>1</v>
      </c>
      <c r="Q212" s="4">
        <f>42+58</f>
        <v>100</v>
      </c>
      <c r="R212" s="4">
        <f>38+53</f>
        <v>91</v>
      </c>
      <c r="S212" s="24">
        <v>0</v>
      </c>
      <c r="T212" s="125">
        <v>0</v>
      </c>
      <c r="U212" s="125">
        <v>1</v>
      </c>
      <c r="V212" s="4">
        <v>60</v>
      </c>
      <c r="W212" s="4">
        <v>1</v>
      </c>
      <c r="X212" s="4">
        <v>2.5</v>
      </c>
      <c r="Y212" s="4">
        <v>0.5</v>
      </c>
      <c r="Z212" s="4">
        <v>2.5</v>
      </c>
      <c r="AA212" s="4">
        <v>0.5</v>
      </c>
      <c r="AB212" s="24">
        <v>0</v>
      </c>
      <c r="AC212" s="24">
        <v>0</v>
      </c>
      <c r="AD212" s="24">
        <v>0</v>
      </c>
      <c r="AE212" s="4" t="s">
        <v>47</v>
      </c>
      <c r="AF212" s="118" t="s">
        <v>46</v>
      </c>
      <c r="AG212" s="118" t="s">
        <v>96</v>
      </c>
      <c r="AI212" s="104">
        <v>2016</v>
      </c>
      <c r="AJ212">
        <v>1617</v>
      </c>
    </row>
    <row r="213" spans="2:36" x14ac:dyDescent="0.25">
      <c r="B213" s="24" t="s">
        <v>97</v>
      </c>
      <c r="C213" s="24">
        <v>2</v>
      </c>
      <c r="E213" s="27">
        <v>39147</v>
      </c>
      <c r="F213" s="104">
        <f t="shared" si="25"/>
        <v>2289</v>
      </c>
      <c r="G213" s="25">
        <v>41163</v>
      </c>
      <c r="H213" s="13">
        <v>41436</v>
      </c>
      <c r="I213" s="104">
        <f t="shared" si="24"/>
        <v>2016</v>
      </c>
      <c r="J213" s="19">
        <f t="shared" si="30"/>
        <v>273</v>
      </c>
      <c r="K213" s="83" t="s">
        <v>65</v>
      </c>
      <c r="L213" s="4">
        <v>5.1100000000000003</v>
      </c>
      <c r="M213" s="19">
        <f t="shared" si="26"/>
        <v>0</v>
      </c>
      <c r="N213" s="19">
        <f t="shared" si="27"/>
        <v>0</v>
      </c>
      <c r="O213" s="19">
        <f t="shared" si="28"/>
        <v>1</v>
      </c>
      <c r="P213" s="19">
        <f t="shared" si="29"/>
        <v>1</v>
      </c>
      <c r="Q213" s="4">
        <f>53+47</f>
        <v>100</v>
      </c>
      <c r="R213" s="4">
        <f>0+2</f>
        <v>2</v>
      </c>
      <c r="S213" s="24">
        <v>0</v>
      </c>
      <c r="T213" s="127">
        <v>0</v>
      </c>
      <c r="U213" s="127">
        <v>0</v>
      </c>
      <c r="V213" s="24">
        <v>70</v>
      </c>
      <c r="W213" s="24">
        <v>1</v>
      </c>
      <c r="X213" s="24">
        <v>2.5</v>
      </c>
      <c r="Y213" s="24">
        <v>0.5</v>
      </c>
      <c r="Z213" s="24">
        <v>2.5</v>
      </c>
      <c r="AA213" s="24">
        <v>0.5</v>
      </c>
      <c r="AB213" s="24">
        <v>0</v>
      </c>
      <c r="AC213" s="24">
        <v>0</v>
      </c>
      <c r="AD213" s="24">
        <v>0</v>
      </c>
      <c r="AE213" s="24" t="s">
        <v>105</v>
      </c>
      <c r="AF213" s="138" t="s">
        <v>42</v>
      </c>
      <c r="AG213" s="114" t="s">
        <v>106</v>
      </c>
      <c r="AI213" s="104">
        <v>2198</v>
      </c>
      <c r="AJ213">
        <v>1625</v>
      </c>
    </row>
    <row r="214" spans="2:36" x14ac:dyDescent="0.25">
      <c r="B214" s="4" t="s">
        <v>97</v>
      </c>
      <c r="C214" s="4">
        <v>2</v>
      </c>
      <c r="E214" s="13">
        <v>39147</v>
      </c>
      <c r="F214" s="104">
        <f t="shared" si="25"/>
        <v>2289</v>
      </c>
      <c r="G214" s="13">
        <v>41345</v>
      </c>
      <c r="H214" s="13">
        <v>41436</v>
      </c>
      <c r="I214" s="104">
        <f t="shared" si="24"/>
        <v>2198</v>
      </c>
      <c r="J214" s="19">
        <f t="shared" si="30"/>
        <v>91</v>
      </c>
      <c r="K214" s="83" t="s">
        <v>65</v>
      </c>
      <c r="L214" s="4">
        <v>4.9800000000000004</v>
      </c>
      <c r="M214" s="19">
        <f t="shared" si="26"/>
        <v>0</v>
      </c>
      <c r="N214" s="19">
        <f t="shared" si="27"/>
        <v>0</v>
      </c>
      <c r="O214" s="19">
        <f t="shared" si="28"/>
        <v>0</v>
      </c>
      <c r="P214" s="19">
        <f t="shared" si="29"/>
        <v>1</v>
      </c>
      <c r="Q214" s="4">
        <f>51+49</f>
        <v>100</v>
      </c>
      <c r="R214" s="4">
        <f>0+1</f>
        <v>1</v>
      </c>
      <c r="S214" s="24">
        <v>0</v>
      </c>
      <c r="T214" s="128">
        <v>0</v>
      </c>
      <c r="U214" s="128">
        <v>0</v>
      </c>
      <c r="V214" s="4">
        <v>60</v>
      </c>
      <c r="W214" s="4">
        <v>1</v>
      </c>
      <c r="X214" s="4">
        <v>2.5</v>
      </c>
      <c r="Y214" s="4">
        <v>0.5</v>
      </c>
      <c r="Z214" s="4">
        <v>2.5</v>
      </c>
      <c r="AA214" s="4">
        <v>0.5</v>
      </c>
      <c r="AB214" s="24">
        <v>0</v>
      </c>
      <c r="AC214" s="24">
        <v>0</v>
      </c>
      <c r="AD214" s="24">
        <v>0</v>
      </c>
      <c r="AE214" s="4" t="s">
        <v>47</v>
      </c>
      <c r="AG214" s="118" t="s">
        <v>106</v>
      </c>
      <c r="AI214" s="104">
        <v>2254</v>
      </c>
      <c r="AJ214">
        <v>1636</v>
      </c>
    </row>
    <row r="215" spans="2:36" x14ac:dyDescent="0.25">
      <c r="B215" s="4" t="s">
        <v>97</v>
      </c>
      <c r="C215" s="4">
        <v>2</v>
      </c>
      <c r="E215" s="13">
        <v>39147</v>
      </c>
      <c r="F215" s="104">
        <f t="shared" si="25"/>
        <v>2289</v>
      </c>
      <c r="G215" s="13">
        <v>41401</v>
      </c>
      <c r="H215" s="13">
        <v>41436</v>
      </c>
      <c r="I215" s="104">
        <f t="shared" si="24"/>
        <v>2254</v>
      </c>
      <c r="J215" s="19">
        <f t="shared" si="30"/>
        <v>35</v>
      </c>
      <c r="K215" s="83" t="s">
        <v>65</v>
      </c>
      <c r="L215" s="4">
        <v>4.88</v>
      </c>
      <c r="M215" s="19">
        <f t="shared" si="26"/>
        <v>0</v>
      </c>
      <c r="N215" s="19">
        <f t="shared" si="27"/>
        <v>0</v>
      </c>
      <c r="O215" s="19">
        <f t="shared" si="28"/>
        <v>0</v>
      </c>
      <c r="P215" s="19">
        <f t="shared" si="29"/>
        <v>0</v>
      </c>
      <c r="Q215" s="4">
        <f>51+48</f>
        <v>99</v>
      </c>
      <c r="R215" s="4">
        <v>0</v>
      </c>
      <c r="S215" s="24">
        <v>0</v>
      </c>
      <c r="T215" s="128">
        <v>0</v>
      </c>
      <c r="U215" s="128">
        <v>0</v>
      </c>
      <c r="V215" s="4">
        <v>60</v>
      </c>
      <c r="W215" s="4">
        <v>1</v>
      </c>
      <c r="X215" s="4">
        <v>2.5</v>
      </c>
      <c r="Y215" s="4">
        <v>0.5</v>
      </c>
      <c r="Z215" s="4">
        <v>2.5</v>
      </c>
      <c r="AA215" s="4">
        <v>0.5</v>
      </c>
      <c r="AB215" s="24">
        <v>0</v>
      </c>
      <c r="AC215" s="24">
        <v>0</v>
      </c>
      <c r="AD215" s="24">
        <v>0</v>
      </c>
      <c r="AE215" s="4" t="s">
        <v>47</v>
      </c>
      <c r="AF215" s="141" t="s">
        <v>42</v>
      </c>
      <c r="AG215" s="118" t="s">
        <v>106</v>
      </c>
      <c r="AI215" s="104">
        <v>2289</v>
      </c>
      <c r="AJ215">
        <v>1637</v>
      </c>
    </row>
    <row r="216" spans="2:36" x14ac:dyDescent="0.25">
      <c r="B216" s="4" t="s">
        <v>97</v>
      </c>
      <c r="C216" s="4">
        <v>2</v>
      </c>
      <c r="E216" s="13">
        <v>39147</v>
      </c>
      <c r="F216" s="104">
        <f t="shared" si="25"/>
        <v>2289</v>
      </c>
      <c r="G216" s="13">
        <v>41436</v>
      </c>
      <c r="H216" s="13">
        <v>41436</v>
      </c>
      <c r="I216" s="104">
        <f t="shared" si="24"/>
        <v>2289</v>
      </c>
      <c r="J216" s="19">
        <f t="shared" si="30"/>
        <v>0</v>
      </c>
      <c r="K216" s="83" t="s">
        <v>65</v>
      </c>
      <c r="L216" s="4">
        <v>4.8099999999999996</v>
      </c>
      <c r="M216" s="19">
        <f t="shared" si="26"/>
        <v>0</v>
      </c>
      <c r="N216" s="19">
        <f t="shared" si="27"/>
        <v>0</v>
      </c>
      <c r="O216" s="19">
        <f t="shared" si="28"/>
        <v>0</v>
      </c>
      <c r="P216" s="19">
        <f t="shared" si="29"/>
        <v>0</v>
      </c>
      <c r="Q216" s="4">
        <f>47+52</f>
        <v>99</v>
      </c>
      <c r="R216" s="4">
        <v>0</v>
      </c>
      <c r="S216" s="24">
        <v>0</v>
      </c>
      <c r="T216" s="128">
        <v>0</v>
      </c>
      <c r="U216" s="128">
        <v>0</v>
      </c>
      <c r="V216" s="4">
        <v>70</v>
      </c>
      <c r="W216" s="4">
        <v>0</v>
      </c>
      <c r="X216" s="4">
        <v>2.5</v>
      </c>
      <c r="Y216" s="4">
        <v>0.5</v>
      </c>
      <c r="Z216" s="4">
        <v>2.5</v>
      </c>
      <c r="AA216" s="4">
        <v>0.5</v>
      </c>
      <c r="AB216" s="24">
        <v>0</v>
      </c>
      <c r="AC216" s="24">
        <v>0</v>
      </c>
      <c r="AD216" s="24">
        <v>0</v>
      </c>
      <c r="AE216" s="4" t="s">
        <v>105</v>
      </c>
      <c r="AF216" s="141" t="s">
        <v>42</v>
      </c>
      <c r="AG216" s="118" t="s">
        <v>69</v>
      </c>
      <c r="AI216" s="104">
        <v>952</v>
      </c>
      <c r="AJ216">
        <v>1638</v>
      </c>
    </row>
    <row r="217" spans="2:36" x14ac:dyDescent="0.25">
      <c r="B217" s="24" t="s">
        <v>317</v>
      </c>
      <c r="C217" s="24">
        <v>2</v>
      </c>
      <c r="E217" s="27">
        <v>39175</v>
      </c>
      <c r="F217" s="104">
        <f t="shared" si="25"/>
        <v>2794</v>
      </c>
      <c r="G217" s="27">
        <v>40127</v>
      </c>
      <c r="H217" s="25">
        <v>41969</v>
      </c>
      <c r="I217" s="104">
        <f t="shared" si="24"/>
        <v>952</v>
      </c>
      <c r="J217" s="19">
        <f t="shared" si="30"/>
        <v>1842</v>
      </c>
      <c r="K217" s="83" t="s">
        <v>65</v>
      </c>
      <c r="L217" s="4">
        <v>6.26</v>
      </c>
      <c r="M217" s="19">
        <f t="shared" si="26"/>
        <v>1</v>
      </c>
      <c r="N217" s="19">
        <f t="shared" si="27"/>
        <v>1</v>
      </c>
      <c r="O217" s="19">
        <f t="shared" si="28"/>
        <v>1</v>
      </c>
      <c r="P217" s="19">
        <f t="shared" si="29"/>
        <v>1</v>
      </c>
      <c r="Q217" s="4">
        <v>0</v>
      </c>
      <c r="R217" s="4">
        <v>0</v>
      </c>
      <c r="S217" s="24">
        <v>0</v>
      </c>
      <c r="T217" s="127">
        <v>0</v>
      </c>
      <c r="U217" s="127">
        <v>0</v>
      </c>
      <c r="V217" s="4">
        <v>60</v>
      </c>
      <c r="W217" s="4">
        <v>0</v>
      </c>
      <c r="X217" s="4">
        <v>2.5</v>
      </c>
      <c r="Y217" s="4">
        <v>0.35</v>
      </c>
      <c r="Z217" s="4">
        <v>3</v>
      </c>
      <c r="AA217" s="4">
        <v>0.35</v>
      </c>
      <c r="AB217" s="24">
        <v>0</v>
      </c>
      <c r="AC217" s="24">
        <v>0</v>
      </c>
      <c r="AD217" s="24">
        <v>0</v>
      </c>
      <c r="AE217" s="4" t="s">
        <v>47</v>
      </c>
      <c r="AF217" s="138" t="s">
        <v>42</v>
      </c>
      <c r="AG217" s="118" t="s">
        <v>285</v>
      </c>
      <c r="AI217" s="104">
        <v>1016</v>
      </c>
      <c r="AJ217">
        <v>1642</v>
      </c>
    </row>
    <row r="218" spans="2:36" x14ac:dyDescent="0.25">
      <c r="B218" s="24" t="s">
        <v>317</v>
      </c>
      <c r="C218" s="24">
        <v>2</v>
      </c>
      <c r="E218" s="27">
        <v>39175</v>
      </c>
      <c r="F218" s="104">
        <f t="shared" si="25"/>
        <v>2794</v>
      </c>
      <c r="G218" s="25">
        <v>40191</v>
      </c>
      <c r="H218" s="25">
        <v>41969</v>
      </c>
      <c r="I218" s="104">
        <f t="shared" si="24"/>
        <v>1016</v>
      </c>
      <c r="J218" s="19">
        <f t="shared" si="30"/>
        <v>1778</v>
      </c>
      <c r="K218" s="83" t="s">
        <v>65</v>
      </c>
      <c r="L218" s="4">
        <v>6.16</v>
      </c>
      <c r="M218" s="19">
        <f t="shared" si="26"/>
        <v>1</v>
      </c>
      <c r="N218" s="19">
        <f t="shared" si="27"/>
        <v>1</v>
      </c>
      <c r="O218" s="19">
        <f t="shared" si="28"/>
        <v>1</v>
      </c>
      <c r="P218" s="19">
        <f t="shared" si="29"/>
        <v>1</v>
      </c>
      <c r="Q218" s="4">
        <v>0</v>
      </c>
      <c r="R218" s="4">
        <v>0</v>
      </c>
      <c r="S218" s="24">
        <v>0</v>
      </c>
      <c r="T218" s="127">
        <v>1</v>
      </c>
      <c r="U218" s="127">
        <v>0</v>
      </c>
      <c r="V218" s="4">
        <v>60</v>
      </c>
      <c r="W218" s="4">
        <v>0</v>
      </c>
      <c r="X218" s="4">
        <v>2.5</v>
      </c>
      <c r="Y218" s="4">
        <v>0.35</v>
      </c>
      <c r="Z218" s="4">
        <v>3</v>
      </c>
      <c r="AA218" s="4">
        <v>0.35</v>
      </c>
      <c r="AB218" s="24">
        <v>0</v>
      </c>
      <c r="AC218" s="24">
        <v>0</v>
      </c>
      <c r="AD218" s="24">
        <v>0</v>
      </c>
      <c r="AE218" s="4" t="s">
        <v>47</v>
      </c>
      <c r="AF218" s="138" t="s">
        <v>45</v>
      </c>
      <c r="AG218" s="118" t="s">
        <v>285</v>
      </c>
      <c r="AI218" s="104">
        <v>1134</v>
      </c>
      <c r="AJ218">
        <v>1642</v>
      </c>
    </row>
    <row r="219" spans="2:36" x14ac:dyDescent="0.25">
      <c r="B219" s="24" t="s">
        <v>317</v>
      </c>
      <c r="C219" s="24">
        <v>2</v>
      </c>
      <c r="E219" s="27">
        <v>39175</v>
      </c>
      <c r="F219" s="104">
        <f t="shared" si="25"/>
        <v>2794</v>
      </c>
      <c r="G219" s="25">
        <v>40309</v>
      </c>
      <c r="H219" s="25">
        <v>41969</v>
      </c>
      <c r="I219" s="104">
        <f t="shared" si="24"/>
        <v>1134</v>
      </c>
      <c r="J219" s="19">
        <f t="shared" si="30"/>
        <v>1660</v>
      </c>
      <c r="K219" s="83" t="s">
        <v>65</v>
      </c>
      <c r="L219" s="4">
        <v>6.02</v>
      </c>
      <c r="M219" s="19">
        <f t="shared" si="26"/>
        <v>1</v>
      </c>
      <c r="N219" s="19">
        <f t="shared" si="27"/>
        <v>1</v>
      </c>
      <c r="O219" s="19">
        <f t="shared" si="28"/>
        <v>1</v>
      </c>
      <c r="P219" s="19">
        <f t="shared" si="29"/>
        <v>1</v>
      </c>
      <c r="Q219" s="4">
        <v>0</v>
      </c>
      <c r="R219" s="4">
        <v>0</v>
      </c>
      <c r="S219" s="24">
        <v>0</v>
      </c>
      <c r="T219" s="127">
        <v>1</v>
      </c>
      <c r="U219" s="127">
        <v>0</v>
      </c>
      <c r="V219" s="4">
        <v>60</v>
      </c>
      <c r="W219" s="4">
        <v>0</v>
      </c>
      <c r="X219" s="4">
        <v>2.5</v>
      </c>
      <c r="Y219" s="4">
        <v>0.35</v>
      </c>
      <c r="Z219" s="4">
        <v>3</v>
      </c>
      <c r="AA219" s="4">
        <v>0.35</v>
      </c>
      <c r="AB219" s="24">
        <v>0</v>
      </c>
      <c r="AC219" s="24">
        <v>0</v>
      </c>
      <c r="AD219" s="24">
        <v>0</v>
      </c>
      <c r="AE219" s="4" t="s">
        <v>47</v>
      </c>
      <c r="AF219" s="138" t="s">
        <v>45</v>
      </c>
      <c r="AG219" s="118" t="s">
        <v>285</v>
      </c>
      <c r="AI219" s="104">
        <v>1162</v>
      </c>
      <c r="AJ219">
        <v>1645</v>
      </c>
    </row>
    <row r="220" spans="2:36" x14ac:dyDescent="0.25">
      <c r="B220" s="24" t="s">
        <v>317</v>
      </c>
      <c r="C220" s="24">
        <v>2</v>
      </c>
      <c r="E220" s="27">
        <v>39175</v>
      </c>
      <c r="F220" s="104">
        <f t="shared" si="25"/>
        <v>2794</v>
      </c>
      <c r="G220" s="25">
        <v>40337</v>
      </c>
      <c r="H220" s="25">
        <v>41969</v>
      </c>
      <c r="I220" s="104">
        <f t="shared" si="24"/>
        <v>1162</v>
      </c>
      <c r="J220" s="19">
        <f t="shared" si="30"/>
        <v>1632</v>
      </c>
      <c r="K220" s="83" t="s">
        <v>65</v>
      </c>
      <c r="L220" s="4">
        <v>6.05</v>
      </c>
      <c r="M220" s="19">
        <f t="shared" si="26"/>
        <v>1</v>
      </c>
      <c r="N220" s="19">
        <f t="shared" si="27"/>
        <v>1</v>
      </c>
      <c r="O220" s="19">
        <f t="shared" si="28"/>
        <v>1</v>
      </c>
      <c r="P220" s="19">
        <f t="shared" si="29"/>
        <v>1</v>
      </c>
      <c r="Q220" s="4">
        <v>0</v>
      </c>
      <c r="R220" s="4">
        <v>0</v>
      </c>
      <c r="S220" s="24">
        <v>0</v>
      </c>
      <c r="T220" s="127">
        <v>0</v>
      </c>
      <c r="U220" s="127">
        <v>0</v>
      </c>
      <c r="V220" s="4">
        <v>60</v>
      </c>
      <c r="W220" s="4">
        <v>0</v>
      </c>
      <c r="X220" s="4">
        <v>2.5</v>
      </c>
      <c r="Y220" s="4">
        <v>0.35</v>
      </c>
      <c r="Z220" s="4">
        <v>3</v>
      </c>
      <c r="AA220" s="4">
        <v>0.35</v>
      </c>
      <c r="AB220" s="24">
        <v>0</v>
      </c>
      <c r="AC220" s="24">
        <v>0</v>
      </c>
      <c r="AD220" s="24">
        <v>0</v>
      </c>
      <c r="AE220" s="4" t="s">
        <v>47</v>
      </c>
      <c r="AF220" s="138" t="s">
        <v>42</v>
      </c>
      <c r="AG220" s="118" t="s">
        <v>285</v>
      </c>
      <c r="AI220" s="104">
        <v>2794</v>
      </c>
      <c r="AJ220">
        <v>1652</v>
      </c>
    </row>
    <row r="221" spans="2:36" x14ac:dyDescent="0.25">
      <c r="B221" s="24" t="s">
        <v>317</v>
      </c>
      <c r="C221" s="24">
        <v>2</v>
      </c>
      <c r="E221" s="27">
        <v>39175</v>
      </c>
      <c r="F221" s="104">
        <f t="shared" si="25"/>
        <v>2794</v>
      </c>
      <c r="G221" s="89">
        <v>41969</v>
      </c>
      <c r="H221" s="89">
        <v>41969</v>
      </c>
      <c r="I221" s="104">
        <f t="shared" si="24"/>
        <v>2794</v>
      </c>
      <c r="J221" s="19">
        <f t="shared" si="30"/>
        <v>0</v>
      </c>
      <c r="K221" s="83" t="s">
        <v>65</v>
      </c>
      <c r="L221" s="92">
        <v>4.63</v>
      </c>
      <c r="M221" s="19">
        <f t="shared" si="26"/>
        <v>0</v>
      </c>
      <c r="N221" s="19">
        <f t="shared" si="27"/>
        <v>0</v>
      </c>
      <c r="O221" s="19">
        <f t="shared" si="28"/>
        <v>0</v>
      </c>
      <c r="P221" s="19">
        <f t="shared" si="29"/>
        <v>0</v>
      </c>
      <c r="Q221" s="92">
        <v>1</v>
      </c>
      <c r="R221" s="92">
        <v>100</v>
      </c>
      <c r="S221" s="83">
        <v>0</v>
      </c>
      <c r="T221" s="126">
        <v>0</v>
      </c>
      <c r="U221" s="126">
        <v>0</v>
      </c>
      <c r="V221" s="4">
        <v>60</v>
      </c>
      <c r="W221" s="92">
        <v>0</v>
      </c>
      <c r="X221" s="92">
        <v>2</v>
      </c>
      <c r="Y221" s="92">
        <v>0.35</v>
      </c>
      <c r="Z221" s="92">
        <v>3</v>
      </c>
      <c r="AA221" s="92">
        <v>0.35</v>
      </c>
      <c r="AB221" s="83">
        <v>0</v>
      </c>
      <c r="AC221" s="83">
        <v>0</v>
      </c>
      <c r="AD221" s="83">
        <v>0</v>
      </c>
      <c r="AE221" s="92" t="s">
        <v>81</v>
      </c>
      <c r="AF221" s="119" t="s">
        <v>42</v>
      </c>
      <c r="AG221" s="119" t="s">
        <v>69</v>
      </c>
      <c r="AI221" s="104">
        <v>747</v>
      </c>
      <c r="AJ221">
        <v>1652</v>
      </c>
    </row>
    <row r="222" spans="2:36" hidden="1" x14ac:dyDescent="0.25">
      <c r="B222" s="24" t="s">
        <v>257</v>
      </c>
      <c r="C222" s="24">
        <v>2</v>
      </c>
      <c r="E222" s="27">
        <v>39324</v>
      </c>
      <c r="F222" s="104">
        <f t="shared" si="25"/>
        <v>941</v>
      </c>
      <c r="G222" s="25">
        <v>40071</v>
      </c>
      <c r="H222" s="25">
        <v>40265</v>
      </c>
      <c r="I222" s="104">
        <f t="shared" si="24"/>
        <v>747</v>
      </c>
      <c r="J222" s="19">
        <f t="shared" si="30"/>
        <v>194</v>
      </c>
      <c r="K222" t="s">
        <v>69</v>
      </c>
      <c r="L222" s="24">
        <v>5.14</v>
      </c>
      <c r="M222" s="19">
        <f t="shared" si="26"/>
        <v>0</v>
      </c>
      <c r="N222" s="19">
        <f t="shared" si="27"/>
        <v>0</v>
      </c>
      <c r="O222" s="19">
        <f t="shared" si="28"/>
        <v>1</v>
      </c>
      <c r="P222" s="19">
        <f t="shared" si="29"/>
        <v>1</v>
      </c>
      <c r="Q222" s="24">
        <v>94</v>
      </c>
      <c r="R222" s="24">
        <v>99</v>
      </c>
      <c r="S222" s="24">
        <v>0</v>
      </c>
      <c r="T222" s="127">
        <v>0</v>
      </c>
      <c r="U222" s="127">
        <v>0</v>
      </c>
      <c r="V222" s="24">
        <v>80</v>
      </c>
      <c r="W222" s="24">
        <v>0</v>
      </c>
      <c r="X222" s="24">
        <v>3.5</v>
      </c>
      <c r="Y222" s="24">
        <v>0.35</v>
      </c>
      <c r="Z222" s="24">
        <v>4.5</v>
      </c>
      <c r="AA222" s="24">
        <v>0.35</v>
      </c>
      <c r="AB222" s="24">
        <v>0</v>
      </c>
      <c r="AC222" s="24">
        <v>0</v>
      </c>
      <c r="AD222" s="24">
        <v>0</v>
      </c>
      <c r="AE222" s="24" t="s">
        <v>258</v>
      </c>
      <c r="AF222" s="138" t="s">
        <v>42</v>
      </c>
      <c r="AG222" s="114" t="s">
        <v>259</v>
      </c>
      <c r="AI222" s="104">
        <v>838</v>
      </c>
      <c r="AJ222">
        <v>1653</v>
      </c>
    </row>
    <row r="223" spans="2:36" hidden="1" x14ac:dyDescent="0.25">
      <c r="B223" s="24" t="s">
        <v>257</v>
      </c>
      <c r="C223" s="24">
        <v>2</v>
      </c>
      <c r="E223" s="27">
        <v>39324</v>
      </c>
      <c r="F223" s="104">
        <f t="shared" si="25"/>
        <v>941</v>
      </c>
      <c r="G223" s="25">
        <v>40162</v>
      </c>
      <c r="H223" s="25">
        <v>40265</v>
      </c>
      <c r="I223" s="104">
        <f t="shared" si="24"/>
        <v>838</v>
      </c>
      <c r="J223" s="19">
        <f t="shared" si="30"/>
        <v>103</v>
      </c>
      <c r="K223" t="s">
        <v>69</v>
      </c>
      <c r="L223" s="4">
        <v>5.13</v>
      </c>
      <c r="M223" s="19">
        <f t="shared" si="26"/>
        <v>0</v>
      </c>
      <c r="N223" s="19">
        <f t="shared" si="27"/>
        <v>0</v>
      </c>
      <c r="O223" s="19">
        <f t="shared" si="28"/>
        <v>0</v>
      </c>
      <c r="P223" s="19">
        <f t="shared" si="29"/>
        <v>1</v>
      </c>
      <c r="Q223" s="4">
        <v>96</v>
      </c>
      <c r="R223" s="4">
        <v>99</v>
      </c>
      <c r="S223" s="24">
        <v>0</v>
      </c>
      <c r="T223" s="127">
        <v>0</v>
      </c>
      <c r="U223" s="127">
        <v>0</v>
      </c>
      <c r="V223" s="24">
        <v>80</v>
      </c>
      <c r="W223" s="24">
        <v>0</v>
      </c>
      <c r="X223" s="24">
        <v>3.5</v>
      </c>
      <c r="Y223" s="24">
        <v>0.35</v>
      </c>
      <c r="Z223" s="24">
        <v>4.5</v>
      </c>
      <c r="AA223" s="24">
        <v>0.35</v>
      </c>
      <c r="AB223" s="24">
        <v>0</v>
      </c>
      <c r="AC223" s="24">
        <v>0</v>
      </c>
      <c r="AD223" s="24">
        <v>0</v>
      </c>
      <c r="AE223" s="24" t="s">
        <v>258</v>
      </c>
      <c r="AF223" s="138" t="s">
        <v>42</v>
      </c>
      <c r="AG223" s="114" t="s">
        <v>259</v>
      </c>
      <c r="AI223" s="104">
        <v>929</v>
      </c>
      <c r="AJ223">
        <v>1653</v>
      </c>
    </row>
    <row r="224" spans="2:36" hidden="1" x14ac:dyDescent="0.25">
      <c r="B224" s="24" t="s">
        <v>257</v>
      </c>
      <c r="C224" s="24">
        <v>2</v>
      </c>
      <c r="E224" s="27">
        <v>39324</v>
      </c>
      <c r="F224" s="104">
        <f t="shared" si="25"/>
        <v>941</v>
      </c>
      <c r="G224" s="25">
        <v>40253</v>
      </c>
      <c r="H224" s="25">
        <v>40265</v>
      </c>
      <c r="I224" s="104">
        <f t="shared" si="24"/>
        <v>929</v>
      </c>
      <c r="J224" s="19">
        <f t="shared" si="30"/>
        <v>12</v>
      </c>
      <c r="K224" t="s">
        <v>69</v>
      </c>
      <c r="L224" s="4">
        <v>5.0999999999999996</v>
      </c>
      <c r="M224" s="19">
        <f t="shared" si="26"/>
        <v>0</v>
      </c>
      <c r="N224" s="19">
        <f t="shared" si="27"/>
        <v>0</v>
      </c>
      <c r="O224" s="19">
        <f t="shared" si="28"/>
        <v>0</v>
      </c>
      <c r="P224" s="19">
        <f t="shared" si="29"/>
        <v>0</v>
      </c>
      <c r="Q224" s="4">
        <v>87</v>
      </c>
      <c r="R224" s="4">
        <v>100</v>
      </c>
      <c r="S224" s="24">
        <v>0</v>
      </c>
      <c r="T224" s="125">
        <v>0</v>
      </c>
      <c r="U224" s="125">
        <v>0</v>
      </c>
      <c r="V224" s="24">
        <v>80</v>
      </c>
      <c r="W224" s="24">
        <v>0</v>
      </c>
      <c r="X224" s="24">
        <v>3.5</v>
      </c>
      <c r="Y224" s="24">
        <v>0.35</v>
      </c>
      <c r="Z224" s="24">
        <v>4.5</v>
      </c>
      <c r="AA224" s="24">
        <v>0.35</v>
      </c>
      <c r="AB224" s="24">
        <v>0</v>
      </c>
      <c r="AC224" s="24">
        <v>0</v>
      </c>
      <c r="AD224" s="24">
        <v>0</v>
      </c>
      <c r="AE224" s="24" t="s">
        <v>258</v>
      </c>
      <c r="AF224" s="118" t="s">
        <v>42</v>
      </c>
      <c r="AG224" s="114" t="s">
        <v>259</v>
      </c>
      <c r="AI224" s="104">
        <v>941</v>
      </c>
      <c r="AJ224">
        <v>1659</v>
      </c>
    </row>
    <row r="225" spans="2:36" hidden="1" x14ac:dyDescent="0.25">
      <c r="B225" s="24" t="s">
        <v>257</v>
      </c>
      <c r="C225" s="24">
        <v>2</v>
      </c>
      <c r="E225" s="27">
        <v>39324</v>
      </c>
      <c r="F225" s="104">
        <f t="shared" si="25"/>
        <v>941</v>
      </c>
      <c r="G225" s="25">
        <v>40265</v>
      </c>
      <c r="H225" s="25">
        <v>40265</v>
      </c>
      <c r="I225" s="104">
        <f t="shared" si="24"/>
        <v>941</v>
      </c>
      <c r="J225" s="19">
        <f t="shared" si="30"/>
        <v>0</v>
      </c>
      <c r="K225" t="s">
        <v>69</v>
      </c>
      <c r="L225" s="4">
        <v>5.0999999999999996</v>
      </c>
      <c r="M225" s="19">
        <f t="shared" si="26"/>
        <v>0</v>
      </c>
      <c r="N225" s="19">
        <f t="shared" si="27"/>
        <v>0</v>
      </c>
      <c r="O225" s="19">
        <f t="shared" si="28"/>
        <v>0</v>
      </c>
      <c r="P225" s="19">
        <f t="shared" si="29"/>
        <v>0</v>
      </c>
      <c r="Q225" s="4">
        <v>60</v>
      </c>
      <c r="R225" s="4">
        <v>99</v>
      </c>
      <c r="S225" s="24">
        <v>0</v>
      </c>
      <c r="T225" s="125">
        <v>0</v>
      </c>
      <c r="U225" s="125">
        <v>0</v>
      </c>
      <c r="V225" s="24">
        <v>80</v>
      </c>
      <c r="W225" s="24">
        <v>0</v>
      </c>
      <c r="X225" s="24">
        <v>3.5</v>
      </c>
      <c r="Y225" s="24">
        <v>0.35</v>
      </c>
      <c r="Z225" s="24">
        <v>4.5</v>
      </c>
      <c r="AA225" s="24">
        <v>0.35</v>
      </c>
      <c r="AB225" s="24">
        <v>0</v>
      </c>
      <c r="AC225" s="24">
        <v>0</v>
      </c>
      <c r="AD225" s="24">
        <v>0</v>
      </c>
      <c r="AE225" s="24" t="s">
        <v>258</v>
      </c>
      <c r="AF225" s="118" t="s">
        <v>42</v>
      </c>
      <c r="AG225" s="114" t="s">
        <v>259</v>
      </c>
      <c r="AI225" s="104">
        <v>763</v>
      </c>
      <c r="AJ225">
        <v>1663</v>
      </c>
    </row>
    <row r="226" spans="2:36" hidden="1" x14ac:dyDescent="0.25">
      <c r="B226" s="24" t="s">
        <v>247</v>
      </c>
      <c r="C226" s="24">
        <v>2</v>
      </c>
      <c r="E226" s="27">
        <v>39399</v>
      </c>
      <c r="F226" s="104">
        <f t="shared" si="25"/>
        <v>2499</v>
      </c>
      <c r="G226" s="25">
        <v>40162</v>
      </c>
      <c r="H226" s="25">
        <v>41898</v>
      </c>
      <c r="I226" s="104">
        <f t="shared" si="24"/>
        <v>763</v>
      </c>
      <c r="J226" s="19">
        <f t="shared" si="30"/>
        <v>1736</v>
      </c>
      <c r="K226" t="s">
        <v>69</v>
      </c>
      <c r="L226" s="24">
        <v>6.37</v>
      </c>
      <c r="M226" s="19">
        <f t="shared" si="26"/>
        <v>1</v>
      </c>
      <c r="N226" s="19">
        <f t="shared" si="27"/>
        <v>1</v>
      </c>
      <c r="O226" s="19">
        <f t="shared" si="28"/>
        <v>1</v>
      </c>
      <c r="P226" s="19">
        <f t="shared" si="29"/>
        <v>1</v>
      </c>
      <c r="Q226" s="24">
        <v>0</v>
      </c>
      <c r="R226" s="24">
        <v>0</v>
      </c>
      <c r="S226" s="24">
        <v>0</v>
      </c>
      <c r="T226" s="127">
        <v>0</v>
      </c>
      <c r="U226" s="127">
        <v>0</v>
      </c>
      <c r="V226" s="24">
        <v>50</v>
      </c>
      <c r="W226" s="24">
        <v>0</v>
      </c>
      <c r="X226" s="24">
        <v>2.5</v>
      </c>
      <c r="Y226" s="24">
        <v>0.35</v>
      </c>
      <c r="Z226" s="24">
        <v>2.5</v>
      </c>
      <c r="AA226" s="24">
        <v>0.6</v>
      </c>
      <c r="AB226" s="24">
        <v>0</v>
      </c>
      <c r="AC226" s="24">
        <v>0</v>
      </c>
      <c r="AD226" s="24">
        <v>0</v>
      </c>
      <c r="AE226" s="24" t="s">
        <v>67</v>
      </c>
      <c r="AF226" s="138" t="s">
        <v>42</v>
      </c>
      <c r="AG226" s="114" t="s">
        <v>48</v>
      </c>
      <c r="AI226" s="104">
        <v>952</v>
      </c>
      <c r="AJ226">
        <v>1666</v>
      </c>
    </row>
    <row r="227" spans="2:36" hidden="1" x14ac:dyDescent="0.25">
      <c r="B227" s="24" t="s">
        <v>247</v>
      </c>
      <c r="C227" s="24">
        <v>2</v>
      </c>
      <c r="E227" s="27">
        <v>39399</v>
      </c>
      <c r="F227" s="104">
        <f t="shared" si="25"/>
        <v>2499</v>
      </c>
      <c r="G227" s="25">
        <v>40351</v>
      </c>
      <c r="H227" s="25">
        <v>41898</v>
      </c>
      <c r="I227" s="104">
        <f t="shared" si="24"/>
        <v>952</v>
      </c>
      <c r="J227" s="19">
        <f t="shared" si="30"/>
        <v>1547</v>
      </c>
      <c r="K227" t="s">
        <v>69</v>
      </c>
      <c r="L227" s="4">
        <v>6.31</v>
      </c>
      <c r="M227" s="19">
        <f t="shared" si="26"/>
        <v>1</v>
      </c>
      <c r="N227" s="19">
        <f t="shared" si="27"/>
        <v>1</v>
      </c>
      <c r="O227" s="19">
        <f t="shared" si="28"/>
        <v>1</v>
      </c>
      <c r="P227" s="19">
        <f t="shared" si="29"/>
        <v>1</v>
      </c>
      <c r="Q227" s="4">
        <v>0</v>
      </c>
      <c r="R227" s="4">
        <v>0</v>
      </c>
      <c r="S227" s="24">
        <v>0</v>
      </c>
      <c r="T227" s="127">
        <v>0</v>
      </c>
      <c r="U227" s="127">
        <v>0</v>
      </c>
      <c r="V227" s="24">
        <v>50</v>
      </c>
      <c r="W227" s="24">
        <v>0</v>
      </c>
      <c r="X227" s="24">
        <v>2.5</v>
      </c>
      <c r="Y227" s="24">
        <v>0.35</v>
      </c>
      <c r="Z227" s="24">
        <v>2.5</v>
      </c>
      <c r="AA227" s="24">
        <v>0.6</v>
      </c>
      <c r="AB227" s="24">
        <v>0</v>
      </c>
      <c r="AC227" s="24">
        <v>0</v>
      </c>
      <c r="AD227" s="24">
        <v>0</v>
      </c>
      <c r="AE227" s="24" t="s">
        <v>67</v>
      </c>
      <c r="AF227" s="138" t="s">
        <v>42</v>
      </c>
      <c r="AG227" s="114" t="s">
        <v>48</v>
      </c>
      <c r="AI227" s="104">
        <v>1309</v>
      </c>
      <c r="AJ227">
        <v>1672</v>
      </c>
    </row>
    <row r="228" spans="2:36" hidden="1" x14ac:dyDescent="0.25">
      <c r="B228" s="24" t="s">
        <v>247</v>
      </c>
      <c r="C228" s="24">
        <v>2</v>
      </c>
      <c r="E228" s="27">
        <v>39399</v>
      </c>
      <c r="F228" s="104">
        <f t="shared" si="25"/>
        <v>2499</v>
      </c>
      <c r="G228" s="25">
        <v>40708</v>
      </c>
      <c r="H228" s="25">
        <v>41898</v>
      </c>
      <c r="I228" s="104">
        <f t="shared" si="24"/>
        <v>1309</v>
      </c>
      <c r="J228" s="19">
        <f t="shared" si="30"/>
        <v>1190</v>
      </c>
      <c r="K228" t="s">
        <v>69</v>
      </c>
      <c r="L228" s="4">
        <v>6.01</v>
      </c>
      <c r="M228" s="19">
        <f t="shared" si="26"/>
        <v>1</v>
      </c>
      <c r="N228" s="19">
        <f t="shared" si="27"/>
        <v>1</v>
      </c>
      <c r="O228" s="19">
        <f t="shared" si="28"/>
        <v>1</v>
      </c>
      <c r="P228" s="19">
        <f t="shared" si="29"/>
        <v>1</v>
      </c>
      <c r="Q228" s="4">
        <v>0</v>
      </c>
      <c r="R228" s="4">
        <v>0</v>
      </c>
      <c r="S228" s="24">
        <v>0</v>
      </c>
      <c r="T228" s="127">
        <v>0</v>
      </c>
      <c r="U228" s="127">
        <v>0</v>
      </c>
      <c r="V228" s="24">
        <v>50</v>
      </c>
      <c r="W228" s="24">
        <v>0</v>
      </c>
      <c r="X228" s="24">
        <v>2.5</v>
      </c>
      <c r="Y228" s="24">
        <v>0.35</v>
      </c>
      <c r="Z228" s="24">
        <v>2.5</v>
      </c>
      <c r="AA228" s="24">
        <v>0.5</v>
      </c>
      <c r="AB228" s="24">
        <v>0</v>
      </c>
      <c r="AC228" s="24">
        <v>0</v>
      </c>
      <c r="AD228" s="24">
        <v>0</v>
      </c>
      <c r="AE228" s="24" t="s">
        <v>67</v>
      </c>
      <c r="AF228" s="138" t="s">
        <v>42</v>
      </c>
      <c r="AG228" s="114" t="s">
        <v>48</v>
      </c>
      <c r="AI228" s="104">
        <v>1533</v>
      </c>
      <c r="AJ228">
        <v>1673</v>
      </c>
    </row>
    <row r="229" spans="2:36" hidden="1" x14ac:dyDescent="0.25">
      <c r="B229" s="24" t="s">
        <v>247</v>
      </c>
      <c r="C229" s="24">
        <v>2</v>
      </c>
      <c r="E229" s="27">
        <v>39399</v>
      </c>
      <c r="F229" s="104">
        <f t="shared" si="25"/>
        <v>2499</v>
      </c>
      <c r="G229" s="25">
        <v>40932</v>
      </c>
      <c r="H229" s="25">
        <v>41898</v>
      </c>
      <c r="I229" s="104">
        <f t="shared" si="24"/>
        <v>1533</v>
      </c>
      <c r="J229" s="19">
        <f t="shared" si="30"/>
        <v>966</v>
      </c>
      <c r="K229" t="s">
        <v>69</v>
      </c>
      <c r="L229" s="4">
        <v>5.79</v>
      </c>
      <c r="M229" s="19">
        <f t="shared" si="26"/>
        <v>1</v>
      </c>
      <c r="N229" s="19">
        <f t="shared" si="27"/>
        <v>1</v>
      </c>
      <c r="O229" s="19">
        <f t="shared" si="28"/>
        <v>1</v>
      </c>
      <c r="P229" s="19">
        <f t="shared" si="29"/>
        <v>1</v>
      </c>
      <c r="Q229" s="4">
        <v>0</v>
      </c>
      <c r="R229" s="4">
        <v>0</v>
      </c>
      <c r="S229" s="24">
        <v>0</v>
      </c>
      <c r="T229" s="127">
        <v>0</v>
      </c>
      <c r="U229" s="127">
        <v>0</v>
      </c>
      <c r="V229" s="24">
        <v>50</v>
      </c>
      <c r="W229" s="24">
        <v>0</v>
      </c>
      <c r="X229" s="24">
        <v>2.5</v>
      </c>
      <c r="Y229" s="24">
        <v>0.35</v>
      </c>
      <c r="Z229" s="24">
        <v>2.5</v>
      </c>
      <c r="AA229" s="24">
        <v>0.5</v>
      </c>
      <c r="AB229" s="24">
        <v>0</v>
      </c>
      <c r="AC229" s="24">
        <v>0</v>
      </c>
      <c r="AD229" s="24">
        <v>0</v>
      </c>
      <c r="AE229" s="24" t="s">
        <v>67</v>
      </c>
      <c r="AF229" s="138" t="s">
        <v>42</v>
      </c>
      <c r="AG229" s="114" t="s">
        <v>48</v>
      </c>
      <c r="AI229" s="104">
        <v>1708</v>
      </c>
      <c r="AJ229">
        <v>1673</v>
      </c>
    </row>
    <row r="230" spans="2:36" hidden="1" x14ac:dyDescent="0.25">
      <c r="B230" s="24" t="s">
        <v>247</v>
      </c>
      <c r="C230" s="24">
        <v>2</v>
      </c>
      <c r="E230" s="27">
        <v>39399</v>
      </c>
      <c r="F230" s="104">
        <f t="shared" si="25"/>
        <v>2499</v>
      </c>
      <c r="G230" s="25">
        <v>41107</v>
      </c>
      <c r="H230" s="25">
        <v>41898</v>
      </c>
      <c r="I230" s="104">
        <f t="shared" si="24"/>
        <v>1708</v>
      </c>
      <c r="J230" s="19">
        <f t="shared" si="30"/>
        <v>791</v>
      </c>
      <c r="K230" t="s">
        <v>69</v>
      </c>
      <c r="L230" s="4">
        <v>5.41</v>
      </c>
      <c r="M230" s="19">
        <f t="shared" si="26"/>
        <v>1</v>
      </c>
      <c r="N230" s="19">
        <f t="shared" si="27"/>
        <v>1</v>
      </c>
      <c r="O230" s="19">
        <f t="shared" si="28"/>
        <v>1</v>
      </c>
      <c r="P230" s="19">
        <f t="shared" si="29"/>
        <v>1</v>
      </c>
      <c r="Q230" s="4">
        <v>0</v>
      </c>
      <c r="R230" s="4">
        <v>0</v>
      </c>
      <c r="S230" s="24">
        <v>0</v>
      </c>
      <c r="T230" s="127">
        <v>0</v>
      </c>
      <c r="U230" s="127">
        <v>0</v>
      </c>
      <c r="V230" s="24">
        <v>50</v>
      </c>
      <c r="W230" s="24">
        <v>0</v>
      </c>
      <c r="X230" s="24">
        <v>2.5</v>
      </c>
      <c r="Y230" s="24">
        <v>0.35</v>
      </c>
      <c r="Z230" s="24">
        <v>2.5</v>
      </c>
      <c r="AA230" s="24">
        <v>0.5</v>
      </c>
      <c r="AB230" s="24">
        <v>0</v>
      </c>
      <c r="AC230" s="24">
        <v>0</v>
      </c>
      <c r="AD230" s="24">
        <v>0</v>
      </c>
      <c r="AE230" s="24" t="s">
        <v>67</v>
      </c>
      <c r="AF230" s="138" t="s">
        <v>42</v>
      </c>
      <c r="AG230" s="114" t="s">
        <v>48</v>
      </c>
      <c r="AI230" s="104">
        <v>1911</v>
      </c>
      <c r="AJ230">
        <v>1679</v>
      </c>
    </row>
    <row r="231" spans="2:36" hidden="1" x14ac:dyDescent="0.25">
      <c r="B231" s="24" t="s">
        <v>247</v>
      </c>
      <c r="C231" s="24">
        <v>2</v>
      </c>
      <c r="E231" s="27">
        <v>39399</v>
      </c>
      <c r="F231" s="104">
        <f t="shared" si="25"/>
        <v>2499</v>
      </c>
      <c r="G231" s="25">
        <v>41310</v>
      </c>
      <c r="H231" s="25">
        <v>41898</v>
      </c>
      <c r="I231" s="104">
        <f t="shared" si="24"/>
        <v>1911</v>
      </c>
      <c r="J231" s="19">
        <f t="shared" si="30"/>
        <v>588</v>
      </c>
      <c r="K231" t="s">
        <v>69</v>
      </c>
      <c r="L231" s="4">
        <v>5.24</v>
      </c>
      <c r="M231" s="19">
        <f t="shared" si="26"/>
        <v>1</v>
      </c>
      <c r="N231" s="19">
        <f t="shared" si="27"/>
        <v>1</v>
      </c>
      <c r="O231" s="19">
        <f t="shared" si="28"/>
        <v>1</v>
      </c>
      <c r="P231" s="19">
        <f t="shared" si="29"/>
        <v>1</v>
      </c>
      <c r="Q231" s="4">
        <v>0</v>
      </c>
      <c r="R231" s="4">
        <v>0</v>
      </c>
      <c r="S231" s="24">
        <v>0</v>
      </c>
      <c r="T231" s="127">
        <v>0</v>
      </c>
      <c r="U231" s="127">
        <v>0</v>
      </c>
      <c r="V231" s="24">
        <v>50</v>
      </c>
      <c r="W231" s="24">
        <v>0</v>
      </c>
      <c r="X231" s="24">
        <v>2.5</v>
      </c>
      <c r="Y231" s="24">
        <v>0.35</v>
      </c>
      <c r="Z231" s="24">
        <v>2.5</v>
      </c>
      <c r="AA231" s="24">
        <v>0.5</v>
      </c>
      <c r="AB231" s="24">
        <v>0</v>
      </c>
      <c r="AC231" s="24">
        <v>0</v>
      </c>
      <c r="AD231" s="24">
        <v>0</v>
      </c>
      <c r="AE231" s="24" t="s">
        <v>67</v>
      </c>
      <c r="AF231" s="138" t="s">
        <v>42</v>
      </c>
      <c r="AG231" s="114" t="s">
        <v>48</v>
      </c>
      <c r="AI231" s="104">
        <v>2079</v>
      </c>
      <c r="AJ231">
        <v>1694</v>
      </c>
    </row>
    <row r="232" spans="2:36" hidden="1" x14ac:dyDescent="0.25">
      <c r="B232" s="24" t="s">
        <v>247</v>
      </c>
      <c r="C232" s="24">
        <v>2</v>
      </c>
      <c r="E232" s="27">
        <v>39399</v>
      </c>
      <c r="F232" s="104">
        <f t="shared" si="25"/>
        <v>2499</v>
      </c>
      <c r="G232" s="25">
        <v>41478</v>
      </c>
      <c r="H232" s="25">
        <v>41898</v>
      </c>
      <c r="I232" s="104">
        <f t="shared" si="24"/>
        <v>2079</v>
      </c>
      <c r="J232" s="19">
        <f t="shared" si="30"/>
        <v>420</v>
      </c>
      <c r="K232" t="s">
        <v>69</v>
      </c>
      <c r="L232" s="4">
        <v>5.17</v>
      </c>
      <c r="M232" s="19">
        <f t="shared" si="26"/>
        <v>0</v>
      </c>
      <c r="N232" s="19">
        <f t="shared" si="27"/>
        <v>1</v>
      </c>
      <c r="O232" s="19">
        <f t="shared" si="28"/>
        <v>1</v>
      </c>
      <c r="P232" s="19">
        <f t="shared" si="29"/>
        <v>1</v>
      </c>
      <c r="Q232" s="4">
        <v>0</v>
      </c>
      <c r="R232" s="4">
        <v>0</v>
      </c>
      <c r="S232" s="24">
        <v>0</v>
      </c>
      <c r="T232" s="127">
        <v>0</v>
      </c>
      <c r="U232" s="127">
        <v>0</v>
      </c>
      <c r="V232" s="24">
        <v>50</v>
      </c>
      <c r="W232" s="24">
        <v>0</v>
      </c>
      <c r="X232" s="24">
        <v>2.5</v>
      </c>
      <c r="Y232" s="24">
        <v>0.35</v>
      </c>
      <c r="Z232" s="24">
        <v>2.5</v>
      </c>
      <c r="AA232" s="24">
        <v>0.5</v>
      </c>
      <c r="AB232" s="24">
        <v>0</v>
      </c>
      <c r="AC232" s="24">
        <v>0</v>
      </c>
      <c r="AD232" s="24">
        <v>0</v>
      </c>
      <c r="AE232" s="24" t="s">
        <v>67</v>
      </c>
      <c r="AF232" s="138" t="s">
        <v>42</v>
      </c>
      <c r="AG232" s="114" t="s">
        <v>48</v>
      </c>
      <c r="AI232" s="104">
        <v>2282</v>
      </c>
      <c r="AJ232">
        <v>1695</v>
      </c>
    </row>
    <row r="233" spans="2:36" hidden="1" x14ac:dyDescent="0.25">
      <c r="B233" s="24" t="s">
        <v>247</v>
      </c>
      <c r="C233" s="24">
        <v>2</v>
      </c>
      <c r="E233" s="27">
        <v>39399</v>
      </c>
      <c r="F233" s="104">
        <f t="shared" si="25"/>
        <v>2499</v>
      </c>
      <c r="G233" s="27">
        <v>41681</v>
      </c>
      <c r="H233" s="25">
        <v>41898</v>
      </c>
      <c r="I233" s="104">
        <f t="shared" si="24"/>
        <v>2282</v>
      </c>
      <c r="J233" s="19">
        <f t="shared" si="30"/>
        <v>217</v>
      </c>
      <c r="K233" t="s">
        <v>69</v>
      </c>
      <c r="L233" s="24">
        <v>5.14</v>
      </c>
      <c r="M233" s="19">
        <f t="shared" si="26"/>
        <v>0</v>
      </c>
      <c r="N233" s="19">
        <f t="shared" si="27"/>
        <v>0</v>
      </c>
      <c r="O233" s="19">
        <f t="shared" si="28"/>
        <v>1</v>
      </c>
      <c r="P233" s="19">
        <f t="shared" si="29"/>
        <v>1</v>
      </c>
      <c r="Q233" s="4">
        <v>0</v>
      </c>
      <c r="R233" s="4">
        <v>0</v>
      </c>
      <c r="S233" s="4">
        <v>0</v>
      </c>
      <c r="T233" s="127">
        <v>0</v>
      </c>
      <c r="U233" s="127">
        <v>0</v>
      </c>
      <c r="V233" s="24">
        <v>50</v>
      </c>
      <c r="W233" s="24">
        <v>0</v>
      </c>
      <c r="X233" s="24">
        <v>2.5</v>
      </c>
      <c r="Y233" s="24">
        <v>0.35</v>
      </c>
      <c r="Z233" s="24">
        <v>2.5</v>
      </c>
      <c r="AA233" s="24">
        <v>0.5</v>
      </c>
      <c r="AB233" s="24">
        <v>0</v>
      </c>
      <c r="AC233" s="24">
        <v>0</v>
      </c>
      <c r="AD233" s="24">
        <v>0</v>
      </c>
      <c r="AE233" s="24" t="s">
        <v>67</v>
      </c>
      <c r="AF233" s="138" t="s">
        <v>42</v>
      </c>
      <c r="AG233" s="114" t="s">
        <v>48</v>
      </c>
      <c r="AI233" s="104">
        <v>2499</v>
      </c>
      <c r="AJ233">
        <v>1697</v>
      </c>
    </row>
    <row r="234" spans="2:36" hidden="1" x14ac:dyDescent="0.25">
      <c r="B234" s="24" t="s">
        <v>247</v>
      </c>
      <c r="C234" s="24">
        <v>2</v>
      </c>
      <c r="E234" s="27">
        <v>39399</v>
      </c>
      <c r="F234" s="104">
        <f t="shared" si="25"/>
        <v>2499</v>
      </c>
      <c r="G234" s="25">
        <v>41898</v>
      </c>
      <c r="H234" s="25">
        <v>41898</v>
      </c>
      <c r="I234" s="104">
        <f t="shared" si="24"/>
        <v>2499</v>
      </c>
      <c r="J234" s="19">
        <f t="shared" si="30"/>
        <v>0</v>
      </c>
      <c r="K234" t="s">
        <v>69</v>
      </c>
      <c r="L234" s="4">
        <v>5.13</v>
      </c>
      <c r="M234" s="19">
        <f t="shared" si="26"/>
        <v>0</v>
      </c>
      <c r="N234" s="19">
        <f t="shared" si="27"/>
        <v>0</v>
      </c>
      <c r="O234" s="19">
        <f t="shared" si="28"/>
        <v>0</v>
      </c>
      <c r="P234" s="19">
        <f t="shared" si="29"/>
        <v>0</v>
      </c>
      <c r="Q234" s="4">
        <v>0</v>
      </c>
      <c r="R234" s="4">
        <v>0</v>
      </c>
      <c r="S234" s="24">
        <v>0</v>
      </c>
      <c r="T234" s="127">
        <v>0</v>
      </c>
      <c r="U234" s="127">
        <v>0</v>
      </c>
      <c r="V234" s="24">
        <v>50</v>
      </c>
      <c r="W234" s="24">
        <v>0</v>
      </c>
      <c r="X234" s="24">
        <v>2.5</v>
      </c>
      <c r="Y234" s="24">
        <v>0.35</v>
      </c>
      <c r="Z234" s="24">
        <v>2.5</v>
      </c>
      <c r="AA234" s="24">
        <v>0.5</v>
      </c>
      <c r="AB234" s="24">
        <v>0</v>
      </c>
      <c r="AC234" s="24">
        <v>0</v>
      </c>
      <c r="AD234" s="24">
        <v>0</v>
      </c>
      <c r="AE234" s="24" t="s">
        <v>67</v>
      </c>
      <c r="AF234" s="138" t="s">
        <v>42</v>
      </c>
      <c r="AG234" s="114" t="s">
        <v>48</v>
      </c>
      <c r="AI234" s="104">
        <v>1302</v>
      </c>
      <c r="AJ234">
        <v>1704</v>
      </c>
    </row>
    <row r="235" spans="2:36" hidden="1" x14ac:dyDescent="0.25">
      <c r="B235" s="24" t="s">
        <v>175</v>
      </c>
      <c r="C235" s="24">
        <v>2</v>
      </c>
      <c r="D235" s="24"/>
      <c r="E235" s="42">
        <v>39399</v>
      </c>
      <c r="F235" s="104">
        <f t="shared" si="25"/>
        <v>2766</v>
      </c>
      <c r="G235" s="23">
        <v>40701</v>
      </c>
      <c r="H235" s="25">
        <v>42165</v>
      </c>
      <c r="I235" s="104">
        <f t="shared" si="24"/>
        <v>1302</v>
      </c>
      <c r="J235" s="19">
        <f t="shared" si="30"/>
        <v>1464</v>
      </c>
      <c r="K235" t="s">
        <v>69</v>
      </c>
      <c r="L235" s="24">
        <v>5.86</v>
      </c>
      <c r="M235" s="19">
        <f t="shared" si="26"/>
        <v>1</v>
      </c>
      <c r="N235" s="19">
        <f t="shared" si="27"/>
        <v>1</v>
      </c>
      <c r="O235" s="19">
        <f t="shared" si="28"/>
        <v>1</v>
      </c>
      <c r="P235" s="19">
        <f t="shared" si="29"/>
        <v>1</v>
      </c>
      <c r="Q235" s="24">
        <v>39</v>
      </c>
      <c r="R235" s="24">
        <v>0</v>
      </c>
      <c r="S235" s="24">
        <v>0</v>
      </c>
      <c r="T235" s="129">
        <v>0</v>
      </c>
      <c r="U235" s="129">
        <v>0</v>
      </c>
      <c r="V235" s="24">
        <v>60</v>
      </c>
      <c r="W235" s="24">
        <v>0</v>
      </c>
      <c r="X235" s="24">
        <v>2.5</v>
      </c>
      <c r="Y235" s="24">
        <v>0.35</v>
      </c>
      <c r="Z235" s="24">
        <v>2.5</v>
      </c>
      <c r="AA235" s="24">
        <v>0.35</v>
      </c>
      <c r="AB235" s="24">
        <v>0</v>
      </c>
      <c r="AC235" s="24">
        <v>0</v>
      </c>
      <c r="AD235" s="24">
        <v>0</v>
      </c>
      <c r="AE235" s="24" t="s">
        <v>47</v>
      </c>
      <c r="AF235" s="114" t="s">
        <v>42</v>
      </c>
      <c r="AG235" s="114" t="s">
        <v>69</v>
      </c>
      <c r="AI235" s="104">
        <v>1526</v>
      </c>
      <c r="AJ235">
        <v>1708</v>
      </c>
    </row>
    <row r="236" spans="2:36" hidden="1" x14ac:dyDescent="0.25">
      <c r="B236" s="24" t="s">
        <v>175</v>
      </c>
      <c r="C236" s="24">
        <v>2</v>
      </c>
      <c r="D236" s="24"/>
      <c r="E236" s="42">
        <v>39399</v>
      </c>
      <c r="F236" s="104">
        <f t="shared" si="25"/>
        <v>2766</v>
      </c>
      <c r="G236" s="23">
        <v>40925</v>
      </c>
      <c r="H236" s="25">
        <v>42165</v>
      </c>
      <c r="I236" s="104">
        <f t="shared" si="24"/>
        <v>1526</v>
      </c>
      <c r="J236" s="19">
        <f t="shared" si="30"/>
        <v>1240</v>
      </c>
      <c r="K236" t="s">
        <v>69</v>
      </c>
      <c r="L236" s="40">
        <v>5.47</v>
      </c>
      <c r="M236" s="19">
        <f t="shared" si="26"/>
        <v>1</v>
      </c>
      <c r="N236" s="19">
        <f t="shared" si="27"/>
        <v>1</v>
      </c>
      <c r="O236" s="19">
        <f t="shared" si="28"/>
        <v>1</v>
      </c>
      <c r="P236" s="19">
        <f t="shared" si="29"/>
        <v>1</v>
      </c>
      <c r="Q236" s="24">
        <v>41</v>
      </c>
      <c r="R236" s="24">
        <v>0</v>
      </c>
      <c r="S236" s="24">
        <v>0</v>
      </c>
      <c r="T236" s="129">
        <v>0</v>
      </c>
      <c r="U236" s="129">
        <v>1</v>
      </c>
      <c r="V236" s="24">
        <v>60</v>
      </c>
      <c r="W236" s="24">
        <v>0</v>
      </c>
      <c r="X236" s="24">
        <v>2.5</v>
      </c>
      <c r="Y236" s="24">
        <v>0.35</v>
      </c>
      <c r="Z236" s="24">
        <v>2.5</v>
      </c>
      <c r="AA236" s="24">
        <v>0.35</v>
      </c>
      <c r="AB236" s="24">
        <v>0</v>
      </c>
      <c r="AC236" s="24">
        <v>0</v>
      </c>
      <c r="AD236" s="24">
        <v>0</v>
      </c>
      <c r="AE236" s="24" t="s">
        <v>47</v>
      </c>
      <c r="AF236" s="114" t="s">
        <v>46</v>
      </c>
      <c r="AG236" s="114" t="s">
        <v>69</v>
      </c>
      <c r="AI236" s="104">
        <v>1659</v>
      </c>
      <c r="AJ236">
        <v>1709</v>
      </c>
    </row>
    <row r="237" spans="2:36" hidden="1" x14ac:dyDescent="0.25">
      <c r="B237" s="24" t="s">
        <v>175</v>
      </c>
      <c r="C237" s="24">
        <v>2</v>
      </c>
      <c r="D237" s="24"/>
      <c r="E237" s="42">
        <v>39399</v>
      </c>
      <c r="F237" s="104">
        <f t="shared" si="25"/>
        <v>2766</v>
      </c>
      <c r="G237" s="27">
        <v>41058</v>
      </c>
      <c r="H237" s="25">
        <v>42165</v>
      </c>
      <c r="I237" s="104">
        <f t="shared" si="24"/>
        <v>1659</v>
      </c>
      <c r="J237" s="19">
        <f t="shared" si="30"/>
        <v>1107</v>
      </c>
      <c r="K237" t="s">
        <v>69</v>
      </c>
      <c r="L237" s="40">
        <v>5.3</v>
      </c>
      <c r="M237" s="19">
        <f t="shared" si="26"/>
        <v>1</v>
      </c>
      <c r="N237" s="19">
        <f t="shared" si="27"/>
        <v>1</v>
      </c>
      <c r="O237" s="19">
        <f t="shared" si="28"/>
        <v>1</v>
      </c>
      <c r="P237" s="19">
        <f t="shared" si="29"/>
        <v>1</v>
      </c>
      <c r="Q237" s="24">
        <v>35</v>
      </c>
      <c r="R237" s="24">
        <v>0</v>
      </c>
      <c r="S237" s="24">
        <v>0</v>
      </c>
      <c r="T237" s="127">
        <v>0</v>
      </c>
      <c r="U237" s="127">
        <v>0</v>
      </c>
      <c r="V237" s="24">
        <v>60</v>
      </c>
      <c r="W237" s="24">
        <v>0</v>
      </c>
      <c r="X237" s="24">
        <v>2.5</v>
      </c>
      <c r="Y237" s="24">
        <v>0.35</v>
      </c>
      <c r="Z237" s="24">
        <v>2.5</v>
      </c>
      <c r="AA237" s="24">
        <v>0.35</v>
      </c>
      <c r="AB237" s="24">
        <v>0</v>
      </c>
      <c r="AC237" s="24">
        <v>0</v>
      </c>
      <c r="AD237" s="24">
        <v>0</v>
      </c>
      <c r="AE237" s="24" t="s">
        <v>47</v>
      </c>
      <c r="AF237" s="145" t="s">
        <v>42</v>
      </c>
      <c r="AG237" s="114" t="s">
        <v>69</v>
      </c>
      <c r="AI237" s="104">
        <v>1763</v>
      </c>
      <c r="AJ237" s="24">
        <v>1713</v>
      </c>
    </row>
    <row r="238" spans="2:36" hidden="1" x14ac:dyDescent="0.25">
      <c r="B238" s="24" t="s">
        <v>175</v>
      </c>
      <c r="C238" s="24">
        <v>2</v>
      </c>
      <c r="D238" s="24"/>
      <c r="E238" s="42">
        <v>39399</v>
      </c>
      <c r="F238" s="104">
        <f t="shared" si="25"/>
        <v>2766</v>
      </c>
      <c r="G238" s="27">
        <v>41162</v>
      </c>
      <c r="H238" s="25">
        <v>42165</v>
      </c>
      <c r="I238" s="104">
        <f t="shared" si="24"/>
        <v>1763</v>
      </c>
      <c r="J238" s="19">
        <f t="shared" si="30"/>
        <v>1003</v>
      </c>
      <c r="K238" t="s">
        <v>69</v>
      </c>
      <c r="L238" s="24">
        <v>5.22</v>
      </c>
      <c r="M238" s="19">
        <f t="shared" si="26"/>
        <v>1</v>
      </c>
      <c r="N238" s="19">
        <f t="shared" si="27"/>
        <v>1</v>
      </c>
      <c r="O238" s="19">
        <f t="shared" si="28"/>
        <v>1</v>
      </c>
      <c r="P238" s="19">
        <f t="shared" si="29"/>
        <v>1</v>
      </c>
      <c r="Q238" s="24">
        <v>46</v>
      </c>
      <c r="R238" s="24">
        <v>0</v>
      </c>
      <c r="S238" s="24">
        <v>0</v>
      </c>
      <c r="T238" s="129">
        <v>1</v>
      </c>
      <c r="U238" s="129">
        <v>0</v>
      </c>
      <c r="V238" s="24">
        <v>60</v>
      </c>
      <c r="W238" s="24">
        <v>0</v>
      </c>
      <c r="X238" s="24">
        <v>2.5</v>
      </c>
      <c r="Y238" s="24">
        <v>0.35</v>
      </c>
      <c r="Z238" s="24">
        <v>2.5</v>
      </c>
      <c r="AA238" s="24">
        <v>0.35</v>
      </c>
      <c r="AB238" s="24">
        <v>0</v>
      </c>
      <c r="AC238" s="24">
        <v>0</v>
      </c>
      <c r="AD238" s="24">
        <v>0</v>
      </c>
      <c r="AE238" s="24" t="s">
        <v>47</v>
      </c>
      <c r="AF238" s="114" t="s">
        <v>45</v>
      </c>
      <c r="AG238" s="114" t="s">
        <v>69</v>
      </c>
      <c r="AI238" s="104">
        <v>1946</v>
      </c>
      <c r="AJ238">
        <v>1714</v>
      </c>
    </row>
    <row r="239" spans="2:36" hidden="1" x14ac:dyDescent="0.25">
      <c r="B239" s="24" t="s">
        <v>175</v>
      </c>
      <c r="C239" s="24">
        <v>2</v>
      </c>
      <c r="D239" s="24"/>
      <c r="E239" s="42">
        <v>39399</v>
      </c>
      <c r="F239" s="104">
        <f t="shared" si="25"/>
        <v>2766</v>
      </c>
      <c r="G239" s="25">
        <v>41345</v>
      </c>
      <c r="H239" s="25">
        <v>42165</v>
      </c>
      <c r="I239" s="104">
        <f t="shared" si="24"/>
        <v>1946</v>
      </c>
      <c r="J239" s="19">
        <f t="shared" si="30"/>
        <v>820</v>
      </c>
      <c r="K239" t="s">
        <v>69</v>
      </c>
      <c r="L239" s="4">
        <v>5.17</v>
      </c>
      <c r="M239" s="19">
        <f t="shared" si="26"/>
        <v>1</v>
      </c>
      <c r="N239" s="19">
        <f t="shared" si="27"/>
        <v>1</v>
      </c>
      <c r="O239" s="19">
        <f t="shared" si="28"/>
        <v>1</v>
      </c>
      <c r="P239" s="19">
        <f t="shared" si="29"/>
        <v>1</v>
      </c>
      <c r="Q239" s="4">
        <v>44</v>
      </c>
      <c r="R239" s="4">
        <v>0</v>
      </c>
      <c r="S239" s="24">
        <v>0</v>
      </c>
      <c r="T239" s="129">
        <v>0</v>
      </c>
      <c r="U239" s="129">
        <v>1</v>
      </c>
      <c r="V239" s="24">
        <v>60</v>
      </c>
      <c r="W239" s="24">
        <v>0</v>
      </c>
      <c r="X239" s="24">
        <v>2.5</v>
      </c>
      <c r="Y239" s="24">
        <v>0.35</v>
      </c>
      <c r="Z239" s="24">
        <v>2.5</v>
      </c>
      <c r="AA239" s="24">
        <v>0.35</v>
      </c>
      <c r="AB239" s="24">
        <v>0</v>
      </c>
      <c r="AC239" s="24">
        <v>0</v>
      </c>
      <c r="AD239" s="24">
        <v>0</v>
      </c>
      <c r="AE239" s="24" t="s">
        <v>47</v>
      </c>
      <c r="AF239" s="114" t="s">
        <v>46</v>
      </c>
      <c r="AG239" s="114" t="s">
        <v>69</v>
      </c>
      <c r="AI239" s="104">
        <v>2058</v>
      </c>
      <c r="AJ239">
        <v>1715</v>
      </c>
    </row>
    <row r="240" spans="2:36" hidden="1" x14ac:dyDescent="0.25">
      <c r="B240" s="24" t="s">
        <v>175</v>
      </c>
      <c r="C240" s="24">
        <v>2</v>
      </c>
      <c r="D240" s="24"/>
      <c r="E240" s="42">
        <v>39399</v>
      </c>
      <c r="F240" s="104">
        <f t="shared" si="25"/>
        <v>2766</v>
      </c>
      <c r="G240" s="25">
        <v>41457</v>
      </c>
      <c r="H240" s="25">
        <v>42165</v>
      </c>
      <c r="I240" s="104">
        <f t="shared" si="24"/>
        <v>2058</v>
      </c>
      <c r="J240" s="19">
        <f t="shared" si="30"/>
        <v>708</v>
      </c>
      <c r="K240" t="s">
        <v>69</v>
      </c>
      <c r="L240" s="4">
        <v>5.15</v>
      </c>
      <c r="M240" s="19">
        <f t="shared" si="26"/>
        <v>1</v>
      </c>
      <c r="N240" s="19">
        <f t="shared" si="27"/>
        <v>1</v>
      </c>
      <c r="O240" s="19">
        <f t="shared" si="28"/>
        <v>1</v>
      </c>
      <c r="P240" s="19">
        <f t="shared" si="29"/>
        <v>1</v>
      </c>
      <c r="Q240" s="4">
        <v>39</v>
      </c>
      <c r="R240" s="4">
        <v>0</v>
      </c>
      <c r="S240" s="24">
        <v>0</v>
      </c>
      <c r="T240" s="129">
        <v>1</v>
      </c>
      <c r="U240" s="129">
        <v>0</v>
      </c>
      <c r="V240" s="24">
        <v>60</v>
      </c>
      <c r="W240" s="24">
        <v>0</v>
      </c>
      <c r="X240" s="24">
        <v>2.5</v>
      </c>
      <c r="Y240" s="24">
        <v>0.35</v>
      </c>
      <c r="Z240" s="24">
        <v>2.5</v>
      </c>
      <c r="AA240" s="24">
        <v>0.35</v>
      </c>
      <c r="AB240" s="24">
        <v>0</v>
      </c>
      <c r="AC240" s="24">
        <v>0</v>
      </c>
      <c r="AD240" s="24">
        <v>0</v>
      </c>
      <c r="AE240" s="24" t="s">
        <v>47</v>
      </c>
      <c r="AF240" s="114" t="s">
        <v>45</v>
      </c>
      <c r="AG240" s="114" t="s">
        <v>69</v>
      </c>
      <c r="AI240" s="104">
        <v>2155</v>
      </c>
      <c r="AJ240">
        <v>1715</v>
      </c>
    </row>
    <row r="241" spans="2:36" hidden="1" x14ac:dyDescent="0.25">
      <c r="B241" s="24" t="s">
        <v>175</v>
      </c>
      <c r="C241" s="24">
        <v>2</v>
      </c>
      <c r="D241" s="24"/>
      <c r="E241" s="42">
        <v>39399</v>
      </c>
      <c r="F241" s="104">
        <f t="shared" si="25"/>
        <v>2766</v>
      </c>
      <c r="G241" s="25">
        <v>41554</v>
      </c>
      <c r="H241" s="25">
        <v>42165</v>
      </c>
      <c r="I241" s="104">
        <f t="shared" si="24"/>
        <v>2155</v>
      </c>
      <c r="J241" s="19">
        <f t="shared" si="30"/>
        <v>611</v>
      </c>
      <c r="K241" t="s">
        <v>69</v>
      </c>
      <c r="L241" s="4">
        <v>5.15</v>
      </c>
      <c r="M241" s="19">
        <f t="shared" si="26"/>
        <v>1</v>
      </c>
      <c r="N241" s="19">
        <f t="shared" si="27"/>
        <v>1</v>
      </c>
      <c r="O241" s="19">
        <f t="shared" si="28"/>
        <v>1</v>
      </c>
      <c r="P241" s="19">
        <f t="shared" si="29"/>
        <v>1</v>
      </c>
      <c r="Q241" s="4">
        <v>45</v>
      </c>
      <c r="R241" s="4">
        <v>0</v>
      </c>
      <c r="S241" s="24">
        <v>0</v>
      </c>
      <c r="T241" s="129">
        <v>0</v>
      </c>
      <c r="U241" s="129">
        <v>0</v>
      </c>
      <c r="V241" s="24">
        <v>60</v>
      </c>
      <c r="W241" s="24">
        <v>0</v>
      </c>
      <c r="X241" s="24">
        <v>2.5</v>
      </c>
      <c r="Y241" s="24">
        <v>0.35</v>
      </c>
      <c r="Z241" s="24">
        <v>3</v>
      </c>
      <c r="AA241" s="24">
        <v>0.35</v>
      </c>
      <c r="AB241" s="24">
        <v>0</v>
      </c>
      <c r="AC241" s="24">
        <v>0</v>
      </c>
      <c r="AD241" s="24">
        <v>0</v>
      </c>
      <c r="AE241" s="24" t="s">
        <v>81</v>
      </c>
      <c r="AF241" s="114" t="s">
        <v>42</v>
      </c>
      <c r="AG241" s="114" t="s">
        <v>69</v>
      </c>
      <c r="AI241" s="104">
        <v>2337</v>
      </c>
      <c r="AJ241">
        <v>1724</v>
      </c>
    </row>
    <row r="242" spans="2:36" hidden="1" x14ac:dyDescent="0.25">
      <c r="B242" s="24" t="s">
        <v>175</v>
      </c>
      <c r="C242" s="24">
        <v>2</v>
      </c>
      <c r="D242" s="24"/>
      <c r="E242" s="42">
        <v>39399</v>
      </c>
      <c r="F242" s="104">
        <f t="shared" si="25"/>
        <v>2766</v>
      </c>
      <c r="G242" s="27">
        <v>41736</v>
      </c>
      <c r="H242" s="25">
        <v>42165</v>
      </c>
      <c r="I242" s="104">
        <f t="shared" si="24"/>
        <v>2337</v>
      </c>
      <c r="J242" s="19">
        <f t="shared" si="30"/>
        <v>429</v>
      </c>
      <c r="K242" t="s">
        <v>69</v>
      </c>
      <c r="L242" s="24">
        <v>5.14</v>
      </c>
      <c r="M242" s="19">
        <f t="shared" si="26"/>
        <v>0</v>
      </c>
      <c r="N242" s="19">
        <f t="shared" si="27"/>
        <v>1</v>
      </c>
      <c r="O242" s="19">
        <f t="shared" si="28"/>
        <v>1</v>
      </c>
      <c r="P242" s="19">
        <f t="shared" si="29"/>
        <v>1</v>
      </c>
      <c r="Q242" s="24">
        <v>33</v>
      </c>
      <c r="R242" s="24">
        <v>0</v>
      </c>
      <c r="S242" s="24">
        <v>0</v>
      </c>
      <c r="T242" s="129">
        <v>0</v>
      </c>
      <c r="U242" s="129">
        <v>1</v>
      </c>
      <c r="V242" s="24">
        <v>60</v>
      </c>
      <c r="W242" s="24">
        <v>0</v>
      </c>
      <c r="X242" s="24">
        <v>2.5</v>
      </c>
      <c r="Y242" s="24">
        <v>0.35</v>
      </c>
      <c r="Z242" s="24">
        <v>3</v>
      </c>
      <c r="AA242" s="24">
        <v>0.35</v>
      </c>
      <c r="AB242" s="4">
        <v>0</v>
      </c>
      <c r="AC242" s="24">
        <v>0</v>
      </c>
      <c r="AD242" s="24">
        <v>0</v>
      </c>
      <c r="AE242" s="24" t="s">
        <v>81</v>
      </c>
      <c r="AF242" s="114" t="s">
        <v>46</v>
      </c>
      <c r="AG242" s="114" t="s">
        <v>69</v>
      </c>
      <c r="AI242" s="104">
        <v>2548</v>
      </c>
      <c r="AJ242">
        <v>1735</v>
      </c>
    </row>
    <row r="243" spans="2:36" hidden="1" x14ac:dyDescent="0.25">
      <c r="B243" s="24" t="s">
        <v>175</v>
      </c>
      <c r="C243" s="24">
        <v>2</v>
      </c>
      <c r="D243" s="24"/>
      <c r="E243" s="42">
        <v>39399</v>
      </c>
      <c r="F243" s="104">
        <f t="shared" si="25"/>
        <v>2766</v>
      </c>
      <c r="G243" s="25">
        <v>41947</v>
      </c>
      <c r="H243" s="25">
        <v>42165</v>
      </c>
      <c r="I243" s="104">
        <f t="shared" si="24"/>
        <v>2548</v>
      </c>
      <c r="J243" s="19">
        <f t="shared" si="30"/>
        <v>218</v>
      </c>
      <c r="K243" t="s">
        <v>69</v>
      </c>
      <c r="L243" s="4">
        <v>5.0999999999999996</v>
      </c>
      <c r="M243" s="19">
        <f t="shared" si="26"/>
        <v>0</v>
      </c>
      <c r="N243" s="19">
        <f t="shared" si="27"/>
        <v>0</v>
      </c>
      <c r="O243" s="19">
        <f t="shared" si="28"/>
        <v>1</v>
      </c>
      <c r="P243" s="19">
        <f t="shared" si="29"/>
        <v>1</v>
      </c>
      <c r="Q243" s="4">
        <v>44</v>
      </c>
      <c r="R243" s="4">
        <v>0</v>
      </c>
      <c r="S243" s="24">
        <v>0</v>
      </c>
      <c r="T243" s="129">
        <v>0</v>
      </c>
      <c r="U243" s="129">
        <v>0</v>
      </c>
      <c r="V243" s="24">
        <v>60</v>
      </c>
      <c r="W243" s="24">
        <v>0</v>
      </c>
      <c r="X243" s="24">
        <v>2.5</v>
      </c>
      <c r="Y243" s="24">
        <v>0.35</v>
      </c>
      <c r="Z243" s="24">
        <v>3</v>
      </c>
      <c r="AA243" s="24">
        <v>0.35</v>
      </c>
      <c r="AB243" s="24">
        <v>0</v>
      </c>
      <c r="AC243" s="24">
        <v>0</v>
      </c>
      <c r="AD243" s="24">
        <v>0</v>
      </c>
      <c r="AE243" s="24" t="s">
        <v>81</v>
      </c>
      <c r="AF243" s="114" t="s">
        <v>42</v>
      </c>
      <c r="AG243" s="114" t="s">
        <v>69</v>
      </c>
      <c r="AI243" s="104">
        <v>2660</v>
      </c>
      <c r="AJ243">
        <v>1736</v>
      </c>
    </row>
    <row r="244" spans="2:36" hidden="1" x14ac:dyDescent="0.25">
      <c r="B244" s="24" t="s">
        <v>175</v>
      </c>
      <c r="C244" s="24">
        <v>2</v>
      </c>
      <c r="D244" s="24"/>
      <c r="E244" s="42">
        <v>39399</v>
      </c>
      <c r="F244" s="104">
        <f t="shared" si="25"/>
        <v>2766</v>
      </c>
      <c r="G244" s="25">
        <v>42059</v>
      </c>
      <c r="H244" s="25">
        <v>42165</v>
      </c>
      <c r="I244" s="104">
        <f t="shared" si="24"/>
        <v>2660</v>
      </c>
      <c r="J244" s="19">
        <f t="shared" si="30"/>
        <v>106</v>
      </c>
      <c r="K244" t="s">
        <v>69</v>
      </c>
      <c r="L244" s="4">
        <v>5.04</v>
      </c>
      <c r="M244" s="19">
        <f t="shared" si="26"/>
        <v>0</v>
      </c>
      <c r="N244" s="19">
        <f t="shared" si="27"/>
        <v>0</v>
      </c>
      <c r="O244" s="19">
        <f t="shared" si="28"/>
        <v>0</v>
      </c>
      <c r="P244" s="19">
        <f t="shared" si="29"/>
        <v>1</v>
      </c>
      <c r="Q244" s="4">
        <v>39</v>
      </c>
      <c r="R244" s="4">
        <v>1</v>
      </c>
      <c r="S244" s="24">
        <v>0</v>
      </c>
      <c r="T244" s="125">
        <v>0</v>
      </c>
      <c r="U244" s="125">
        <v>1</v>
      </c>
      <c r="V244" s="24">
        <v>60</v>
      </c>
      <c r="W244" s="24">
        <v>0</v>
      </c>
      <c r="X244" s="24">
        <v>2.5</v>
      </c>
      <c r="Y244" s="24">
        <v>0.35</v>
      </c>
      <c r="Z244" s="24">
        <v>3</v>
      </c>
      <c r="AA244" s="24">
        <v>0.35</v>
      </c>
      <c r="AB244" s="24">
        <v>0</v>
      </c>
      <c r="AC244" s="24">
        <v>0</v>
      </c>
      <c r="AD244" s="24">
        <v>0</v>
      </c>
      <c r="AE244" s="24" t="s">
        <v>81</v>
      </c>
      <c r="AF244" s="118" t="s">
        <v>46</v>
      </c>
      <c r="AG244" s="114" t="s">
        <v>69</v>
      </c>
      <c r="AI244" s="104">
        <v>2723</v>
      </c>
      <c r="AJ244">
        <v>1756</v>
      </c>
    </row>
    <row r="245" spans="2:36" hidden="1" x14ac:dyDescent="0.25">
      <c r="B245" s="24" t="s">
        <v>175</v>
      </c>
      <c r="C245" s="24">
        <v>2</v>
      </c>
      <c r="D245" s="24"/>
      <c r="E245" s="42">
        <v>39399</v>
      </c>
      <c r="F245" s="104">
        <f t="shared" si="25"/>
        <v>2766</v>
      </c>
      <c r="G245" s="25">
        <v>42122</v>
      </c>
      <c r="H245" s="25">
        <v>42165</v>
      </c>
      <c r="I245" s="104">
        <f t="shared" si="24"/>
        <v>2723</v>
      </c>
      <c r="J245" s="19">
        <f t="shared" si="30"/>
        <v>43</v>
      </c>
      <c r="K245" t="s">
        <v>69</v>
      </c>
      <c r="L245" s="4">
        <v>4.9800000000000004</v>
      </c>
      <c r="M245" s="19">
        <f t="shared" si="26"/>
        <v>0</v>
      </c>
      <c r="N245" s="19">
        <f t="shared" si="27"/>
        <v>0</v>
      </c>
      <c r="O245" s="19">
        <f t="shared" si="28"/>
        <v>0</v>
      </c>
      <c r="P245" s="19">
        <f t="shared" si="29"/>
        <v>0</v>
      </c>
      <c r="Q245" s="4">
        <v>41</v>
      </c>
      <c r="R245" s="4">
        <v>0</v>
      </c>
      <c r="S245" s="24">
        <v>0</v>
      </c>
      <c r="T245" s="125">
        <v>0</v>
      </c>
      <c r="U245" s="125">
        <v>1</v>
      </c>
      <c r="V245" s="24">
        <v>60</v>
      </c>
      <c r="W245" s="24">
        <v>0</v>
      </c>
      <c r="X245" s="24">
        <v>2.5</v>
      </c>
      <c r="Y245" s="24">
        <v>0.35</v>
      </c>
      <c r="Z245" s="24">
        <v>3</v>
      </c>
      <c r="AA245" s="24">
        <v>0.35</v>
      </c>
      <c r="AB245" s="24">
        <v>0</v>
      </c>
      <c r="AC245" s="24">
        <v>0</v>
      </c>
      <c r="AD245" s="24">
        <v>0</v>
      </c>
      <c r="AE245" s="24" t="s">
        <v>81</v>
      </c>
      <c r="AF245" s="118" t="s">
        <v>46</v>
      </c>
      <c r="AG245" s="114" t="s">
        <v>69</v>
      </c>
      <c r="AI245" s="104">
        <v>2766</v>
      </c>
      <c r="AJ245">
        <v>1757</v>
      </c>
    </row>
    <row r="246" spans="2:36" hidden="1" x14ac:dyDescent="0.25">
      <c r="B246" s="24" t="s">
        <v>175</v>
      </c>
      <c r="C246" s="24">
        <v>2</v>
      </c>
      <c r="D246" s="24"/>
      <c r="E246" s="42">
        <v>39399</v>
      </c>
      <c r="F246" s="104">
        <f t="shared" si="25"/>
        <v>2766</v>
      </c>
      <c r="G246" s="25">
        <v>42165</v>
      </c>
      <c r="H246" s="25">
        <v>42165</v>
      </c>
      <c r="I246" s="104">
        <f t="shared" si="24"/>
        <v>2766</v>
      </c>
      <c r="J246" s="19">
        <f t="shared" si="30"/>
        <v>0</v>
      </c>
      <c r="K246" t="s">
        <v>69</v>
      </c>
      <c r="L246" s="4">
        <v>4.9000000000000004</v>
      </c>
      <c r="M246" s="19">
        <f t="shared" si="26"/>
        <v>0</v>
      </c>
      <c r="N246" s="19">
        <f t="shared" si="27"/>
        <v>0</v>
      </c>
      <c r="O246" s="19">
        <f t="shared" si="28"/>
        <v>0</v>
      </c>
      <c r="P246" s="19">
        <f t="shared" si="29"/>
        <v>0</v>
      </c>
      <c r="Q246" s="4">
        <v>44</v>
      </c>
      <c r="R246" s="4">
        <v>0</v>
      </c>
      <c r="S246" s="24">
        <v>0</v>
      </c>
      <c r="T246" s="129">
        <v>0</v>
      </c>
      <c r="U246" s="129">
        <v>0</v>
      </c>
      <c r="V246" s="24">
        <v>60</v>
      </c>
      <c r="W246" s="24">
        <v>0</v>
      </c>
      <c r="X246" s="24">
        <v>2.5</v>
      </c>
      <c r="Y246" s="24">
        <v>0.35</v>
      </c>
      <c r="Z246" s="24">
        <v>3</v>
      </c>
      <c r="AA246" s="24">
        <v>0.35</v>
      </c>
      <c r="AB246" s="24">
        <v>0</v>
      </c>
      <c r="AC246" s="24">
        <v>0</v>
      </c>
      <c r="AD246" s="24">
        <v>0</v>
      </c>
      <c r="AE246" s="24" t="s">
        <v>81</v>
      </c>
      <c r="AF246" s="114" t="s">
        <v>42</v>
      </c>
      <c r="AG246" s="114" t="s">
        <v>69</v>
      </c>
      <c r="AI246" s="104">
        <v>643</v>
      </c>
      <c r="AJ246">
        <v>1758</v>
      </c>
    </row>
    <row r="247" spans="2:36" x14ac:dyDescent="0.25">
      <c r="B247" s="24" t="s">
        <v>66</v>
      </c>
      <c r="C247" s="24">
        <v>2</v>
      </c>
      <c r="E247" s="27">
        <v>39575</v>
      </c>
      <c r="F247" s="104">
        <f t="shared" si="25"/>
        <v>2631</v>
      </c>
      <c r="G247" s="25">
        <v>40218</v>
      </c>
      <c r="H247" s="13">
        <v>42206</v>
      </c>
      <c r="I247" s="104">
        <f t="shared" si="24"/>
        <v>643</v>
      </c>
      <c r="J247" s="19">
        <f t="shared" si="30"/>
        <v>1988</v>
      </c>
      <c r="K247" s="83" t="s">
        <v>65</v>
      </c>
      <c r="L247" s="24">
        <v>6.36</v>
      </c>
      <c r="M247" s="19">
        <f t="shared" si="26"/>
        <v>1</v>
      </c>
      <c r="N247" s="19">
        <f t="shared" si="27"/>
        <v>1</v>
      </c>
      <c r="O247" s="19">
        <f t="shared" si="28"/>
        <v>1</v>
      </c>
      <c r="P247" s="19">
        <f t="shared" si="29"/>
        <v>1</v>
      </c>
      <c r="Q247" s="24">
        <v>0</v>
      </c>
      <c r="R247" s="24">
        <v>0</v>
      </c>
      <c r="S247" s="24">
        <v>0</v>
      </c>
      <c r="T247" s="127">
        <v>0</v>
      </c>
      <c r="U247" s="127">
        <v>0</v>
      </c>
      <c r="V247" s="24">
        <v>60</v>
      </c>
      <c r="W247" s="24">
        <v>0</v>
      </c>
      <c r="X247" s="24">
        <v>2</v>
      </c>
      <c r="Y247" s="24">
        <v>0.35</v>
      </c>
      <c r="Z247" s="24">
        <v>3.5</v>
      </c>
      <c r="AA247" s="24">
        <v>0.35</v>
      </c>
      <c r="AB247" s="24">
        <v>0</v>
      </c>
      <c r="AC247" s="24">
        <v>0</v>
      </c>
      <c r="AD247" s="24">
        <v>0</v>
      </c>
      <c r="AE247" s="24" t="s">
        <v>47</v>
      </c>
      <c r="AF247" s="138" t="s">
        <v>42</v>
      </c>
      <c r="AG247" s="114" t="s">
        <v>285</v>
      </c>
      <c r="AI247" s="104">
        <v>1218</v>
      </c>
      <c r="AJ247">
        <v>1763</v>
      </c>
    </row>
    <row r="248" spans="2:36" x14ac:dyDescent="0.25">
      <c r="B248" s="4" t="s">
        <v>66</v>
      </c>
      <c r="C248" s="4">
        <v>2</v>
      </c>
      <c r="E248" s="13">
        <v>39595</v>
      </c>
      <c r="F248" s="104">
        <f t="shared" si="25"/>
        <v>2611</v>
      </c>
      <c r="G248" s="13">
        <v>40813</v>
      </c>
      <c r="H248" s="13">
        <v>42206</v>
      </c>
      <c r="I248" s="104">
        <f t="shared" si="24"/>
        <v>1218</v>
      </c>
      <c r="J248" s="19">
        <f t="shared" si="30"/>
        <v>1393</v>
      </c>
      <c r="K248" s="83" t="s">
        <v>65</v>
      </c>
      <c r="L248" s="4">
        <v>5.72</v>
      </c>
      <c r="M248" s="19">
        <f t="shared" si="26"/>
        <v>1</v>
      </c>
      <c r="N248" s="19">
        <f t="shared" si="27"/>
        <v>1</v>
      </c>
      <c r="O248" s="19">
        <f t="shared" si="28"/>
        <v>1</v>
      </c>
      <c r="P248" s="19">
        <f t="shared" si="29"/>
        <v>1</v>
      </c>
      <c r="Q248" s="4">
        <v>1</v>
      </c>
      <c r="R248" s="4">
        <v>0</v>
      </c>
      <c r="S248" s="24">
        <v>0</v>
      </c>
      <c r="T248" s="125">
        <v>0</v>
      </c>
      <c r="U248" s="125">
        <v>0</v>
      </c>
      <c r="V248" s="24">
        <v>60</v>
      </c>
      <c r="W248" s="4">
        <v>0</v>
      </c>
      <c r="X248" s="4">
        <v>2</v>
      </c>
      <c r="Y248" s="4">
        <v>0.35</v>
      </c>
      <c r="Z248" s="4">
        <v>3.5</v>
      </c>
      <c r="AA248" s="4">
        <v>0.35</v>
      </c>
      <c r="AB248" s="24">
        <v>0</v>
      </c>
      <c r="AC248" s="24">
        <v>0</v>
      </c>
      <c r="AD248" s="24">
        <v>0</v>
      </c>
      <c r="AE248" s="4" t="s">
        <v>47</v>
      </c>
      <c r="AF248" s="118">
        <v>0</v>
      </c>
      <c r="AG248" s="118" t="s">
        <v>43</v>
      </c>
      <c r="AI248" s="104">
        <v>1413</v>
      </c>
      <c r="AJ248">
        <v>1764</v>
      </c>
    </row>
    <row r="249" spans="2:36" x14ac:dyDescent="0.25">
      <c r="B249" s="24" t="s">
        <v>66</v>
      </c>
      <c r="C249" s="24">
        <v>2</v>
      </c>
      <c r="E249" s="27">
        <v>39575</v>
      </c>
      <c r="F249" s="104">
        <f t="shared" si="25"/>
        <v>2631</v>
      </c>
      <c r="G249" s="25">
        <v>40988</v>
      </c>
      <c r="H249" s="13">
        <v>42206</v>
      </c>
      <c r="I249" s="104">
        <f t="shared" si="24"/>
        <v>1413</v>
      </c>
      <c r="J249" s="19">
        <f t="shared" si="30"/>
        <v>1218</v>
      </c>
      <c r="K249" s="83" t="s">
        <v>65</v>
      </c>
      <c r="L249" s="4">
        <v>5.32</v>
      </c>
      <c r="M249" s="19">
        <f t="shared" si="26"/>
        <v>1</v>
      </c>
      <c r="N249" s="19">
        <f t="shared" si="27"/>
        <v>1</v>
      </c>
      <c r="O249" s="19">
        <f t="shared" si="28"/>
        <v>1</v>
      </c>
      <c r="P249" s="19">
        <f t="shared" si="29"/>
        <v>1</v>
      </c>
      <c r="Q249" s="4">
        <v>0</v>
      </c>
      <c r="R249" s="4">
        <v>0</v>
      </c>
      <c r="S249" s="24">
        <v>0</v>
      </c>
      <c r="T249" s="125">
        <v>0</v>
      </c>
      <c r="U249" s="125">
        <v>0</v>
      </c>
      <c r="V249" s="24">
        <v>60</v>
      </c>
      <c r="W249" s="24">
        <v>0</v>
      </c>
      <c r="X249" s="24">
        <v>2</v>
      </c>
      <c r="Y249" s="24">
        <v>0.35</v>
      </c>
      <c r="Z249" s="24">
        <v>3.5</v>
      </c>
      <c r="AA249" s="24">
        <v>0.35</v>
      </c>
      <c r="AB249" s="24">
        <v>0</v>
      </c>
      <c r="AC249" s="24">
        <v>0</v>
      </c>
      <c r="AD249" s="24">
        <v>0</v>
      </c>
      <c r="AE249" s="24" t="s">
        <v>47</v>
      </c>
      <c r="AF249" s="118" t="s">
        <v>42</v>
      </c>
      <c r="AG249" s="114" t="s">
        <v>285</v>
      </c>
      <c r="AI249" s="104">
        <v>1589</v>
      </c>
      <c r="AJ249">
        <v>1768</v>
      </c>
    </row>
    <row r="250" spans="2:36" x14ac:dyDescent="0.25">
      <c r="B250" s="4" t="s">
        <v>66</v>
      </c>
      <c r="C250" s="4">
        <v>2</v>
      </c>
      <c r="E250" s="13">
        <v>39595</v>
      </c>
      <c r="F250" s="104">
        <f t="shared" si="25"/>
        <v>2611</v>
      </c>
      <c r="G250" s="13">
        <v>41184</v>
      </c>
      <c r="H250" s="13">
        <v>42206</v>
      </c>
      <c r="I250" s="104">
        <f t="shared" si="24"/>
        <v>1589</v>
      </c>
      <c r="J250" s="19">
        <f t="shared" si="30"/>
        <v>1022</v>
      </c>
      <c r="K250" s="83" t="s">
        <v>65</v>
      </c>
      <c r="L250" s="4">
        <v>5.21</v>
      </c>
      <c r="M250" s="19">
        <f t="shared" si="26"/>
        <v>1</v>
      </c>
      <c r="N250" s="19">
        <f t="shared" si="27"/>
        <v>1</v>
      </c>
      <c r="O250" s="19">
        <f t="shared" si="28"/>
        <v>1</v>
      </c>
      <c r="P250" s="19">
        <f t="shared" si="29"/>
        <v>1</v>
      </c>
      <c r="Q250" s="4">
        <v>0</v>
      </c>
      <c r="R250" s="4">
        <v>0</v>
      </c>
      <c r="S250" s="24">
        <v>0</v>
      </c>
      <c r="T250" s="125">
        <v>0</v>
      </c>
      <c r="U250" s="125">
        <v>0</v>
      </c>
      <c r="V250" s="24">
        <v>60</v>
      </c>
      <c r="W250" s="4">
        <v>0</v>
      </c>
      <c r="X250" s="4">
        <v>2</v>
      </c>
      <c r="Y250" s="4">
        <v>0.35</v>
      </c>
      <c r="Z250" s="4">
        <v>3.5</v>
      </c>
      <c r="AA250" s="4">
        <v>0.35</v>
      </c>
      <c r="AB250" s="24">
        <v>0</v>
      </c>
      <c r="AC250" s="24">
        <v>0</v>
      </c>
      <c r="AD250" s="24">
        <v>0</v>
      </c>
      <c r="AE250" s="4" t="s">
        <v>47</v>
      </c>
      <c r="AF250" s="118">
        <v>0</v>
      </c>
      <c r="AG250" s="118" t="s">
        <v>43</v>
      </c>
      <c r="AI250" s="104">
        <v>1714</v>
      </c>
      <c r="AJ250">
        <v>1771</v>
      </c>
    </row>
    <row r="251" spans="2:36" x14ac:dyDescent="0.25">
      <c r="B251" s="4" t="s">
        <v>66</v>
      </c>
      <c r="C251" s="4">
        <v>2</v>
      </c>
      <c r="E251" s="13">
        <v>39595</v>
      </c>
      <c r="F251" s="104">
        <f t="shared" si="25"/>
        <v>2611</v>
      </c>
      <c r="G251" s="13">
        <v>41309</v>
      </c>
      <c r="H251" s="13">
        <v>42206</v>
      </c>
      <c r="I251" s="104">
        <f t="shared" si="24"/>
        <v>1714</v>
      </c>
      <c r="J251" s="19">
        <f t="shared" si="30"/>
        <v>897</v>
      </c>
      <c r="K251" s="83" t="s">
        <v>65</v>
      </c>
      <c r="L251" s="4">
        <v>5.17</v>
      </c>
      <c r="M251" s="19">
        <f t="shared" si="26"/>
        <v>1</v>
      </c>
      <c r="N251" s="19">
        <f t="shared" si="27"/>
        <v>1</v>
      </c>
      <c r="O251" s="19">
        <f t="shared" si="28"/>
        <v>1</v>
      </c>
      <c r="P251" s="19">
        <f t="shared" si="29"/>
        <v>1</v>
      </c>
      <c r="Q251" s="4">
        <v>0</v>
      </c>
      <c r="R251" s="4">
        <v>0</v>
      </c>
      <c r="S251" s="24">
        <v>0</v>
      </c>
      <c r="T251" s="128">
        <v>0</v>
      </c>
      <c r="U251" s="128">
        <v>0</v>
      </c>
      <c r="V251" s="24">
        <v>60</v>
      </c>
      <c r="W251" s="4">
        <v>0</v>
      </c>
      <c r="X251" s="4">
        <v>2</v>
      </c>
      <c r="Y251" s="4">
        <v>0.35</v>
      </c>
      <c r="Z251" s="4">
        <v>3.5</v>
      </c>
      <c r="AA251" s="4">
        <v>0.35</v>
      </c>
      <c r="AB251" s="24">
        <v>0</v>
      </c>
      <c r="AC251" s="24">
        <v>0</v>
      </c>
      <c r="AD251" s="24">
        <v>0</v>
      </c>
      <c r="AE251" s="4" t="s">
        <v>47</v>
      </c>
      <c r="AG251" s="118" t="s">
        <v>43</v>
      </c>
      <c r="AI251" s="104">
        <v>1820</v>
      </c>
      <c r="AJ251">
        <v>1772</v>
      </c>
    </row>
    <row r="252" spans="2:36" x14ac:dyDescent="0.25">
      <c r="B252" s="4" t="s">
        <v>66</v>
      </c>
      <c r="C252" s="4">
        <v>2</v>
      </c>
      <c r="E252" s="13">
        <v>39595</v>
      </c>
      <c r="F252" s="104">
        <f t="shared" si="25"/>
        <v>2611</v>
      </c>
      <c r="G252" s="13">
        <v>41415</v>
      </c>
      <c r="H252" s="13">
        <v>42206</v>
      </c>
      <c r="I252" s="104">
        <f t="shared" si="24"/>
        <v>1820</v>
      </c>
      <c r="J252" s="19">
        <f t="shared" si="30"/>
        <v>791</v>
      </c>
      <c r="K252" s="83" t="s">
        <v>65</v>
      </c>
      <c r="L252" s="4">
        <v>5.15</v>
      </c>
      <c r="M252" s="19">
        <f t="shared" si="26"/>
        <v>1</v>
      </c>
      <c r="N252" s="19">
        <f t="shared" si="27"/>
        <v>1</v>
      </c>
      <c r="O252" s="19">
        <f t="shared" si="28"/>
        <v>1</v>
      </c>
      <c r="P252" s="19">
        <f t="shared" si="29"/>
        <v>1</v>
      </c>
      <c r="Q252" s="4">
        <v>0</v>
      </c>
      <c r="R252" s="4">
        <v>0</v>
      </c>
      <c r="S252" s="24">
        <v>0</v>
      </c>
      <c r="T252" s="128">
        <v>0</v>
      </c>
      <c r="U252" s="128">
        <v>0</v>
      </c>
      <c r="V252" s="24">
        <v>60</v>
      </c>
      <c r="W252" s="4">
        <v>0</v>
      </c>
      <c r="X252" s="4">
        <v>2</v>
      </c>
      <c r="Y252" s="4">
        <v>0.35</v>
      </c>
      <c r="Z252" s="4">
        <v>3.5</v>
      </c>
      <c r="AA252" s="4">
        <v>0.35</v>
      </c>
      <c r="AB252" s="24">
        <v>0</v>
      </c>
      <c r="AC252" s="24">
        <v>0</v>
      </c>
      <c r="AD252" s="24">
        <v>0</v>
      </c>
      <c r="AE252" s="4" t="s">
        <v>47</v>
      </c>
      <c r="AG252" s="118" t="s">
        <v>43</v>
      </c>
      <c r="AI252" s="104">
        <v>1933</v>
      </c>
      <c r="AJ252">
        <v>1777</v>
      </c>
    </row>
    <row r="253" spans="2:36" ht="13" x14ac:dyDescent="0.3">
      <c r="B253" s="4" t="s">
        <v>66</v>
      </c>
      <c r="C253" s="4">
        <v>2</v>
      </c>
      <c r="E253" s="13">
        <v>39595</v>
      </c>
      <c r="F253" s="104">
        <f t="shared" si="25"/>
        <v>2611</v>
      </c>
      <c r="G253" s="13">
        <v>41528</v>
      </c>
      <c r="H253" s="13">
        <v>42206</v>
      </c>
      <c r="I253" s="104">
        <f t="shared" si="24"/>
        <v>1933</v>
      </c>
      <c r="J253" s="19">
        <f t="shared" si="30"/>
        <v>678</v>
      </c>
      <c r="K253" s="83" t="s">
        <v>65</v>
      </c>
      <c r="L253" s="4">
        <v>5.14</v>
      </c>
      <c r="M253" s="19">
        <f t="shared" si="26"/>
        <v>1</v>
      </c>
      <c r="N253" s="19">
        <f t="shared" si="27"/>
        <v>1</v>
      </c>
      <c r="O253" s="19">
        <f t="shared" si="28"/>
        <v>1</v>
      </c>
      <c r="P253" s="19">
        <f t="shared" si="29"/>
        <v>1</v>
      </c>
      <c r="Q253" s="4">
        <v>0</v>
      </c>
      <c r="R253" s="4">
        <v>0</v>
      </c>
      <c r="S253" s="24">
        <v>0</v>
      </c>
      <c r="T253" s="128">
        <v>0</v>
      </c>
      <c r="U253" s="128">
        <v>0</v>
      </c>
      <c r="V253" s="24">
        <v>60</v>
      </c>
      <c r="W253" s="4">
        <v>0</v>
      </c>
      <c r="X253" s="4">
        <v>2</v>
      </c>
      <c r="Y253" s="4">
        <v>0.35</v>
      </c>
      <c r="Z253" s="4">
        <v>3.5</v>
      </c>
      <c r="AA253" s="4">
        <v>0.35</v>
      </c>
      <c r="AB253" s="24">
        <v>0</v>
      </c>
      <c r="AC253" s="24">
        <v>0</v>
      </c>
      <c r="AD253" s="24">
        <v>0</v>
      </c>
      <c r="AE253" s="4" t="s">
        <v>47</v>
      </c>
      <c r="AG253" s="118" t="s">
        <v>43</v>
      </c>
      <c r="AI253" s="104">
        <v>2100</v>
      </c>
      <c r="AJ253" s="55">
        <v>1783</v>
      </c>
    </row>
    <row r="254" spans="2:36" x14ac:dyDescent="0.25">
      <c r="B254" s="4" t="s">
        <v>66</v>
      </c>
      <c r="C254" s="4">
        <v>2</v>
      </c>
      <c r="E254" s="13">
        <v>39595</v>
      </c>
      <c r="F254" s="104">
        <f t="shared" si="25"/>
        <v>2611</v>
      </c>
      <c r="G254" s="13">
        <v>41695</v>
      </c>
      <c r="H254" s="13">
        <v>42206</v>
      </c>
      <c r="I254" s="104">
        <f t="shared" si="24"/>
        <v>2100</v>
      </c>
      <c r="J254" s="19">
        <f t="shared" si="30"/>
        <v>511</v>
      </c>
      <c r="K254" s="83" t="s">
        <v>65</v>
      </c>
      <c r="L254" s="4">
        <v>5.13</v>
      </c>
      <c r="M254" s="19">
        <f t="shared" si="26"/>
        <v>0</v>
      </c>
      <c r="N254" s="19">
        <f t="shared" si="27"/>
        <v>1</v>
      </c>
      <c r="O254" s="19">
        <f t="shared" si="28"/>
        <v>1</v>
      </c>
      <c r="P254" s="19">
        <f t="shared" si="29"/>
        <v>1</v>
      </c>
      <c r="Q254" s="4">
        <v>0</v>
      </c>
      <c r="R254" s="4">
        <v>0</v>
      </c>
      <c r="S254" s="24">
        <v>0</v>
      </c>
      <c r="T254" s="128">
        <v>0</v>
      </c>
      <c r="U254" s="128">
        <v>0</v>
      </c>
      <c r="V254" s="24">
        <v>60</v>
      </c>
      <c r="W254" s="4">
        <v>0</v>
      </c>
      <c r="X254" s="4">
        <v>2</v>
      </c>
      <c r="Y254" s="4">
        <v>0.35</v>
      </c>
      <c r="Z254" s="4">
        <v>3</v>
      </c>
      <c r="AA254" s="4">
        <v>0.6</v>
      </c>
      <c r="AB254" s="24">
        <v>0</v>
      </c>
      <c r="AC254" s="24">
        <v>0</v>
      </c>
      <c r="AD254" s="24">
        <v>0</v>
      </c>
      <c r="AE254" s="4" t="s">
        <v>47</v>
      </c>
      <c r="AG254" s="118" t="s">
        <v>43</v>
      </c>
      <c r="AI254" s="104">
        <v>2324</v>
      </c>
      <c r="AJ254">
        <v>1785</v>
      </c>
    </row>
    <row r="255" spans="2:36" x14ac:dyDescent="0.25">
      <c r="B255" s="4" t="s">
        <v>66</v>
      </c>
      <c r="C255" s="4">
        <v>2</v>
      </c>
      <c r="E255" s="13">
        <v>39595</v>
      </c>
      <c r="F255" s="104">
        <f t="shared" si="25"/>
        <v>2611</v>
      </c>
      <c r="G255" s="13">
        <v>41919</v>
      </c>
      <c r="H255" s="13">
        <v>42206</v>
      </c>
      <c r="I255" s="104">
        <f t="shared" si="24"/>
        <v>2324</v>
      </c>
      <c r="J255" s="19">
        <f t="shared" si="30"/>
        <v>287</v>
      </c>
      <c r="K255" s="83" t="s">
        <v>65</v>
      </c>
      <c r="L255" s="4">
        <v>5.08</v>
      </c>
      <c r="M255" s="19">
        <f t="shared" si="26"/>
        <v>0</v>
      </c>
      <c r="N255" s="19">
        <f t="shared" si="27"/>
        <v>0</v>
      </c>
      <c r="O255" s="19">
        <f t="shared" si="28"/>
        <v>1</v>
      </c>
      <c r="P255" s="19">
        <f t="shared" si="29"/>
        <v>1</v>
      </c>
      <c r="Q255" s="4">
        <v>0</v>
      </c>
      <c r="R255" s="4">
        <v>0</v>
      </c>
      <c r="S255" s="24">
        <v>0</v>
      </c>
      <c r="T255" s="128">
        <v>0</v>
      </c>
      <c r="U255" s="128">
        <v>0</v>
      </c>
      <c r="V255" s="24">
        <v>60</v>
      </c>
      <c r="W255" s="4">
        <v>0</v>
      </c>
      <c r="X255" s="4">
        <v>2</v>
      </c>
      <c r="Y255" s="4">
        <v>0.35</v>
      </c>
      <c r="Z255" s="4">
        <v>3</v>
      </c>
      <c r="AA255" s="4">
        <v>0.6</v>
      </c>
      <c r="AB255" s="24">
        <v>0</v>
      </c>
      <c r="AC255" s="24">
        <v>0</v>
      </c>
      <c r="AD255" s="24">
        <v>0</v>
      </c>
      <c r="AE255" s="4" t="s">
        <v>47</v>
      </c>
      <c r="AG255" s="118" t="s">
        <v>43</v>
      </c>
      <c r="AI255" s="104">
        <v>2450</v>
      </c>
      <c r="AJ255">
        <v>1788</v>
      </c>
    </row>
    <row r="256" spans="2:36" x14ac:dyDescent="0.25">
      <c r="B256" s="4" t="s">
        <v>66</v>
      </c>
      <c r="C256" s="4">
        <v>2</v>
      </c>
      <c r="E256" s="13">
        <v>39595</v>
      </c>
      <c r="F256" s="104">
        <f t="shared" si="25"/>
        <v>2611</v>
      </c>
      <c r="G256" s="23">
        <v>42045</v>
      </c>
      <c r="H256" s="13">
        <v>42206</v>
      </c>
      <c r="I256" s="104">
        <f t="shared" si="24"/>
        <v>2450</v>
      </c>
      <c r="J256" s="19">
        <f t="shared" si="30"/>
        <v>161</v>
      </c>
      <c r="K256" s="83" t="s">
        <v>65</v>
      </c>
      <c r="L256" s="24">
        <v>5</v>
      </c>
      <c r="M256" s="19">
        <f t="shared" si="26"/>
        <v>0</v>
      </c>
      <c r="N256" s="19">
        <f t="shared" si="27"/>
        <v>0</v>
      </c>
      <c r="O256" s="19">
        <f t="shared" si="28"/>
        <v>0</v>
      </c>
      <c r="P256" s="19">
        <f t="shared" si="29"/>
        <v>1</v>
      </c>
      <c r="Q256" s="4">
        <v>0</v>
      </c>
      <c r="R256" s="4">
        <v>0</v>
      </c>
      <c r="S256" s="24">
        <v>0</v>
      </c>
      <c r="T256" s="128">
        <v>0</v>
      </c>
      <c r="U256" s="128">
        <v>0</v>
      </c>
      <c r="V256" s="24">
        <v>60</v>
      </c>
      <c r="W256" s="4">
        <v>0</v>
      </c>
      <c r="X256" s="4">
        <v>2</v>
      </c>
      <c r="Y256" s="4">
        <v>0.35</v>
      </c>
      <c r="Z256" s="4">
        <v>3</v>
      </c>
      <c r="AA256" s="4">
        <v>0.6</v>
      </c>
      <c r="AB256" s="4">
        <v>0</v>
      </c>
      <c r="AC256" s="24">
        <v>0</v>
      </c>
      <c r="AD256" s="24">
        <v>0</v>
      </c>
      <c r="AE256" s="4" t="s">
        <v>47</v>
      </c>
      <c r="AG256" s="118" t="s">
        <v>43</v>
      </c>
      <c r="AI256" s="104">
        <v>2565</v>
      </c>
      <c r="AJ256">
        <v>1799</v>
      </c>
    </row>
    <row r="257" spans="2:36" x14ac:dyDescent="0.25">
      <c r="B257" s="4" t="s">
        <v>66</v>
      </c>
      <c r="C257" s="4">
        <v>2</v>
      </c>
      <c r="E257" s="13">
        <v>39595</v>
      </c>
      <c r="F257" s="104">
        <f t="shared" si="25"/>
        <v>2611</v>
      </c>
      <c r="G257" s="25">
        <v>42160</v>
      </c>
      <c r="H257" s="13">
        <v>42206</v>
      </c>
      <c r="I257" s="104">
        <f t="shared" ref="I257:I320" si="31">G257-E257</f>
        <v>2565</v>
      </c>
      <c r="J257" s="19">
        <f t="shared" si="30"/>
        <v>46</v>
      </c>
      <c r="K257" s="83" t="s">
        <v>65</v>
      </c>
      <c r="L257" s="4">
        <v>4.8099999999999996</v>
      </c>
      <c r="M257" s="19">
        <f t="shared" si="26"/>
        <v>0</v>
      </c>
      <c r="N257" s="19">
        <f t="shared" si="27"/>
        <v>0</v>
      </c>
      <c r="O257" s="19">
        <f t="shared" si="28"/>
        <v>0</v>
      </c>
      <c r="P257" s="19">
        <f t="shared" si="29"/>
        <v>0</v>
      </c>
      <c r="Q257" s="4">
        <v>0</v>
      </c>
      <c r="R257" s="4">
        <v>0</v>
      </c>
      <c r="S257" s="24">
        <v>0</v>
      </c>
      <c r="T257" s="128">
        <v>0</v>
      </c>
      <c r="U257" s="128">
        <v>0</v>
      </c>
      <c r="V257" s="24">
        <v>50</v>
      </c>
      <c r="W257" s="4">
        <v>0</v>
      </c>
      <c r="X257" s="4">
        <v>2.5</v>
      </c>
      <c r="Y257" s="4">
        <v>0.35</v>
      </c>
      <c r="Z257" s="4">
        <v>2.5</v>
      </c>
      <c r="AA257" s="4">
        <v>0.6</v>
      </c>
      <c r="AB257" s="24">
        <v>0</v>
      </c>
      <c r="AC257" s="24">
        <v>0</v>
      </c>
      <c r="AD257" s="24">
        <v>0</v>
      </c>
      <c r="AE257" s="4" t="s">
        <v>67</v>
      </c>
      <c r="AG257" s="118" t="s">
        <v>69</v>
      </c>
      <c r="AI257" s="104">
        <v>2611</v>
      </c>
      <c r="AJ257">
        <v>1800</v>
      </c>
    </row>
    <row r="258" spans="2:36" x14ac:dyDescent="0.25">
      <c r="B258" s="4" t="s">
        <v>66</v>
      </c>
      <c r="C258" s="4">
        <v>2</v>
      </c>
      <c r="E258" s="13">
        <v>39595</v>
      </c>
      <c r="F258" s="104">
        <f t="shared" si="25"/>
        <v>2611</v>
      </c>
      <c r="G258" s="13">
        <v>42206</v>
      </c>
      <c r="H258" s="13">
        <v>42206</v>
      </c>
      <c r="I258" s="104">
        <f t="shared" si="31"/>
        <v>2611</v>
      </c>
      <c r="J258" s="19">
        <f t="shared" si="30"/>
        <v>0</v>
      </c>
      <c r="K258" s="83" t="s">
        <v>65</v>
      </c>
      <c r="L258" s="4">
        <v>4.74</v>
      </c>
      <c r="M258" s="19">
        <f t="shared" si="26"/>
        <v>0</v>
      </c>
      <c r="N258" s="19">
        <f t="shared" si="27"/>
        <v>0</v>
      </c>
      <c r="O258" s="19">
        <f t="shared" si="28"/>
        <v>0</v>
      </c>
      <c r="P258" s="19">
        <f t="shared" si="29"/>
        <v>0</v>
      </c>
      <c r="Q258" s="4">
        <v>0</v>
      </c>
      <c r="R258" s="4">
        <v>0</v>
      </c>
      <c r="S258" s="24">
        <v>0</v>
      </c>
      <c r="T258" s="128">
        <v>0</v>
      </c>
      <c r="U258" s="128">
        <v>0</v>
      </c>
      <c r="V258" s="24">
        <v>60</v>
      </c>
      <c r="W258" s="4">
        <v>0</v>
      </c>
      <c r="X258" s="4">
        <v>2</v>
      </c>
      <c r="Y258" s="4">
        <v>0.35</v>
      </c>
      <c r="Z258" s="4">
        <v>2.5</v>
      </c>
      <c r="AA258" s="4">
        <v>0.6</v>
      </c>
      <c r="AB258" s="24">
        <v>0</v>
      </c>
      <c r="AC258" s="24">
        <v>0</v>
      </c>
      <c r="AD258" s="24">
        <v>0</v>
      </c>
      <c r="AE258" s="4" t="s">
        <v>47</v>
      </c>
      <c r="AG258" s="118" t="s">
        <v>43</v>
      </c>
      <c r="AI258" s="104">
        <v>1568</v>
      </c>
      <c r="AJ258">
        <v>1811</v>
      </c>
    </row>
    <row r="259" spans="2:36" hidden="1" x14ac:dyDescent="0.25">
      <c r="B259" s="4" t="s">
        <v>40</v>
      </c>
      <c r="C259" s="4">
        <v>2</v>
      </c>
      <c r="E259" s="13">
        <v>39119</v>
      </c>
      <c r="F259" s="104">
        <f t="shared" ref="F259:F322" si="32">H259-E259</f>
        <v>2863</v>
      </c>
      <c r="G259" s="13">
        <v>40687</v>
      </c>
      <c r="H259" s="13">
        <v>41982</v>
      </c>
      <c r="I259" s="104">
        <f t="shared" si="31"/>
        <v>1568</v>
      </c>
      <c r="J259" s="19">
        <f t="shared" si="30"/>
        <v>1295</v>
      </c>
      <c r="K259" t="s">
        <v>69</v>
      </c>
      <c r="L259" s="4">
        <v>5.44</v>
      </c>
      <c r="M259" s="19">
        <f t="shared" ref="M259:M322" si="33">IF($J259&gt;540,1,0)</f>
        <v>1</v>
      </c>
      <c r="N259" s="19">
        <f t="shared" ref="N259:N322" si="34">IF($J259&gt;360,1,0)</f>
        <v>1</v>
      </c>
      <c r="O259" s="19">
        <f t="shared" ref="O259:O322" si="35">IF($J259&gt;180,1,0)</f>
        <v>1</v>
      </c>
      <c r="P259" s="19">
        <f t="shared" ref="P259:P322" si="36">IF($J259&gt;90,1,0)</f>
        <v>1</v>
      </c>
      <c r="Q259" s="4">
        <v>13</v>
      </c>
      <c r="R259" s="4">
        <v>0</v>
      </c>
      <c r="S259" s="24">
        <v>0</v>
      </c>
      <c r="T259" s="125">
        <v>0</v>
      </c>
      <c r="U259" s="125">
        <v>0</v>
      </c>
      <c r="V259" s="24">
        <v>60</v>
      </c>
      <c r="W259" s="4">
        <v>0</v>
      </c>
      <c r="X259" s="4">
        <v>2</v>
      </c>
      <c r="Y259" s="4">
        <v>0.35</v>
      </c>
      <c r="Z259" s="4">
        <v>2.5</v>
      </c>
      <c r="AA259" s="4">
        <v>0.35</v>
      </c>
      <c r="AB259" s="24">
        <v>0</v>
      </c>
      <c r="AC259" s="24">
        <v>0</v>
      </c>
      <c r="AD259" s="24">
        <v>0</v>
      </c>
      <c r="AE259" s="4">
        <v>60</v>
      </c>
      <c r="AF259" s="118" t="s">
        <v>42</v>
      </c>
      <c r="AG259" s="118" t="s">
        <v>43</v>
      </c>
      <c r="AI259" s="104">
        <v>1771</v>
      </c>
      <c r="AJ259">
        <v>1813</v>
      </c>
    </row>
    <row r="260" spans="2:36" hidden="1" x14ac:dyDescent="0.25">
      <c r="B260" s="4" t="s">
        <v>40</v>
      </c>
      <c r="C260" s="4">
        <v>2</v>
      </c>
      <c r="E260" s="13">
        <v>39119</v>
      </c>
      <c r="F260" s="104">
        <f t="shared" si="32"/>
        <v>2863</v>
      </c>
      <c r="G260" s="13">
        <v>40890</v>
      </c>
      <c r="H260" s="13">
        <v>41982</v>
      </c>
      <c r="I260" s="104">
        <f t="shared" si="31"/>
        <v>1771</v>
      </c>
      <c r="J260" s="19">
        <f t="shared" si="30"/>
        <v>1092</v>
      </c>
      <c r="K260" t="s">
        <v>69</v>
      </c>
      <c r="L260" s="4">
        <v>5.27</v>
      </c>
      <c r="M260" s="19">
        <f t="shared" si="33"/>
        <v>1</v>
      </c>
      <c r="N260" s="19">
        <f t="shared" si="34"/>
        <v>1</v>
      </c>
      <c r="O260" s="19">
        <f t="shared" si="35"/>
        <v>1</v>
      </c>
      <c r="P260" s="19">
        <f t="shared" si="36"/>
        <v>1</v>
      </c>
      <c r="Q260" s="4">
        <v>9</v>
      </c>
      <c r="R260" s="4">
        <v>0</v>
      </c>
      <c r="S260" s="24">
        <v>0</v>
      </c>
      <c r="T260" s="125">
        <v>0</v>
      </c>
      <c r="U260" s="125">
        <v>0</v>
      </c>
      <c r="V260" s="24">
        <v>60</v>
      </c>
      <c r="W260" s="4">
        <v>0</v>
      </c>
      <c r="X260" s="4">
        <v>2</v>
      </c>
      <c r="Y260" s="4">
        <v>0.35</v>
      </c>
      <c r="Z260" s="4">
        <v>2.5</v>
      </c>
      <c r="AA260" s="4">
        <v>0.35</v>
      </c>
      <c r="AB260" s="24">
        <v>0</v>
      </c>
      <c r="AC260" s="24">
        <v>0</v>
      </c>
      <c r="AD260" s="24">
        <v>0</v>
      </c>
      <c r="AE260" s="4">
        <v>60</v>
      </c>
      <c r="AF260" s="118" t="s">
        <v>42</v>
      </c>
      <c r="AG260" s="118" t="s">
        <v>43</v>
      </c>
      <c r="AI260" s="104">
        <v>2093</v>
      </c>
      <c r="AJ260">
        <v>1813</v>
      </c>
    </row>
    <row r="261" spans="2:36" hidden="1" x14ac:dyDescent="0.25">
      <c r="B261" s="4" t="s">
        <v>40</v>
      </c>
      <c r="C261" s="4">
        <v>2</v>
      </c>
      <c r="E261" s="13">
        <v>39119</v>
      </c>
      <c r="F261" s="104">
        <f t="shared" si="32"/>
        <v>2863</v>
      </c>
      <c r="G261" s="13">
        <v>41212</v>
      </c>
      <c r="H261" s="13">
        <v>41982</v>
      </c>
      <c r="I261" s="104">
        <f t="shared" si="31"/>
        <v>2093</v>
      </c>
      <c r="J261" s="19">
        <f t="shared" si="30"/>
        <v>770</v>
      </c>
      <c r="K261" t="s">
        <v>69</v>
      </c>
      <c r="L261" s="4">
        <v>5.17</v>
      </c>
      <c r="M261" s="19">
        <f t="shared" si="33"/>
        <v>1</v>
      </c>
      <c r="N261" s="19">
        <f t="shared" si="34"/>
        <v>1</v>
      </c>
      <c r="O261" s="19">
        <f t="shared" si="35"/>
        <v>1</v>
      </c>
      <c r="P261" s="19">
        <f t="shared" si="36"/>
        <v>1</v>
      </c>
      <c r="Q261" s="4">
        <v>1</v>
      </c>
      <c r="R261" s="4">
        <v>0</v>
      </c>
      <c r="S261" s="24">
        <v>0</v>
      </c>
      <c r="T261" s="125">
        <v>0</v>
      </c>
      <c r="U261" s="125">
        <v>0</v>
      </c>
      <c r="V261" s="24">
        <v>60</v>
      </c>
      <c r="W261" s="4">
        <v>0</v>
      </c>
      <c r="X261" s="4">
        <v>2</v>
      </c>
      <c r="Y261" s="4">
        <v>0.35</v>
      </c>
      <c r="Z261" s="4">
        <v>2.5</v>
      </c>
      <c r="AA261" s="4">
        <v>0.35</v>
      </c>
      <c r="AB261" s="24">
        <v>0</v>
      </c>
      <c r="AC261" s="24">
        <v>0</v>
      </c>
      <c r="AD261" s="24">
        <v>0</v>
      </c>
      <c r="AE261" s="4">
        <v>60</v>
      </c>
      <c r="AF261" s="118" t="s">
        <v>42</v>
      </c>
      <c r="AG261" s="118" t="s">
        <v>43</v>
      </c>
      <c r="AI261" s="104">
        <v>2275</v>
      </c>
      <c r="AJ261">
        <v>1814</v>
      </c>
    </row>
    <row r="262" spans="2:36" hidden="1" x14ac:dyDescent="0.25">
      <c r="B262" s="4" t="s">
        <v>40</v>
      </c>
      <c r="C262" s="4">
        <v>2</v>
      </c>
      <c r="E262" s="13">
        <v>39119</v>
      </c>
      <c r="F262" s="104">
        <f t="shared" si="32"/>
        <v>2863</v>
      </c>
      <c r="G262" s="13">
        <v>41394</v>
      </c>
      <c r="H262" s="13">
        <v>41982</v>
      </c>
      <c r="I262" s="104">
        <f t="shared" si="31"/>
        <v>2275</v>
      </c>
      <c r="J262" s="19">
        <f t="shared" si="30"/>
        <v>588</v>
      </c>
      <c r="K262" t="s">
        <v>69</v>
      </c>
      <c r="L262" s="4">
        <v>5.15</v>
      </c>
      <c r="M262" s="19">
        <f t="shared" si="33"/>
        <v>1</v>
      </c>
      <c r="N262" s="19">
        <f t="shared" si="34"/>
        <v>1</v>
      </c>
      <c r="O262" s="19">
        <f t="shared" si="35"/>
        <v>1</v>
      </c>
      <c r="P262" s="19">
        <f t="shared" si="36"/>
        <v>1</v>
      </c>
      <c r="Q262" s="4">
        <v>2</v>
      </c>
      <c r="R262" s="4">
        <v>0</v>
      </c>
      <c r="S262" s="24">
        <v>0</v>
      </c>
      <c r="T262" s="125">
        <v>0</v>
      </c>
      <c r="U262" s="125">
        <v>0</v>
      </c>
      <c r="V262" s="24">
        <v>60</v>
      </c>
      <c r="W262" s="4">
        <v>0</v>
      </c>
      <c r="X262" s="4">
        <v>2</v>
      </c>
      <c r="Y262" s="4">
        <v>0.35</v>
      </c>
      <c r="Z262" s="4">
        <v>2.5</v>
      </c>
      <c r="AA262" s="4">
        <v>0.35</v>
      </c>
      <c r="AB262" s="24">
        <v>0</v>
      </c>
      <c r="AC262" s="24">
        <v>0</v>
      </c>
      <c r="AD262" s="24">
        <v>0</v>
      </c>
      <c r="AE262" s="4">
        <v>60</v>
      </c>
      <c r="AF262" s="118" t="s">
        <v>42</v>
      </c>
      <c r="AG262" s="118" t="s">
        <v>43</v>
      </c>
      <c r="AI262" s="104">
        <v>2387</v>
      </c>
      <c r="AJ262">
        <v>1819</v>
      </c>
    </row>
    <row r="263" spans="2:36" hidden="1" x14ac:dyDescent="0.25">
      <c r="B263" s="4" t="s">
        <v>40</v>
      </c>
      <c r="C263" s="4">
        <v>2</v>
      </c>
      <c r="E263" s="13">
        <v>39119</v>
      </c>
      <c r="F263" s="104">
        <f t="shared" si="32"/>
        <v>2863</v>
      </c>
      <c r="G263" s="13">
        <v>41506</v>
      </c>
      <c r="H263" s="13">
        <v>41982</v>
      </c>
      <c r="I263" s="104">
        <f t="shared" si="31"/>
        <v>2387</v>
      </c>
      <c r="J263" s="19">
        <f t="shared" ref="J263:J326" si="37">H263-G263</f>
        <v>476</v>
      </c>
      <c r="K263" t="s">
        <v>69</v>
      </c>
      <c r="L263" s="4">
        <v>5.14</v>
      </c>
      <c r="M263" s="19">
        <f t="shared" si="33"/>
        <v>0</v>
      </c>
      <c r="N263" s="19">
        <f t="shared" si="34"/>
        <v>1</v>
      </c>
      <c r="O263" s="19">
        <f t="shared" si="35"/>
        <v>1</v>
      </c>
      <c r="P263" s="19">
        <f t="shared" si="36"/>
        <v>1</v>
      </c>
      <c r="Q263" s="4">
        <v>2</v>
      </c>
      <c r="R263" s="4">
        <v>0</v>
      </c>
      <c r="S263" s="24">
        <v>0</v>
      </c>
      <c r="T263" s="125">
        <v>0</v>
      </c>
      <c r="U263" s="125">
        <v>0</v>
      </c>
      <c r="V263" s="24">
        <v>60</v>
      </c>
      <c r="W263" s="4">
        <v>0</v>
      </c>
      <c r="X263" s="4">
        <v>2</v>
      </c>
      <c r="Y263" s="4">
        <v>0.35</v>
      </c>
      <c r="Z263" s="4">
        <v>2.5</v>
      </c>
      <c r="AA263" s="4">
        <v>0.35</v>
      </c>
      <c r="AB263" s="24">
        <v>0</v>
      </c>
      <c r="AC263" s="24">
        <v>0</v>
      </c>
      <c r="AD263" s="24">
        <v>0</v>
      </c>
      <c r="AE263" s="4">
        <v>60</v>
      </c>
      <c r="AF263" s="118" t="s">
        <v>42</v>
      </c>
      <c r="AG263" s="118" t="s">
        <v>43</v>
      </c>
      <c r="AI263" s="104">
        <v>2477</v>
      </c>
      <c r="AJ263">
        <v>1820</v>
      </c>
    </row>
    <row r="264" spans="2:36" hidden="1" x14ac:dyDescent="0.25">
      <c r="B264" s="4" t="s">
        <v>40</v>
      </c>
      <c r="C264" s="4">
        <v>2</v>
      </c>
      <c r="E264" s="13">
        <v>39119</v>
      </c>
      <c r="F264" s="104">
        <f t="shared" si="32"/>
        <v>2863</v>
      </c>
      <c r="G264" s="13">
        <v>41596</v>
      </c>
      <c r="H264" s="13">
        <v>41982</v>
      </c>
      <c r="I264" s="104">
        <f t="shared" si="31"/>
        <v>2477</v>
      </c>
      <c r="J264" s="19">
        <f t="shared" si="37"/>
        <v>386</v>
      </c>
      <c r="K264" t="s">
        <v>69</v>
      </c>
      <c r="L264" s="4">
        <v>5.13</v>
      </c>
      <c r="M264" s="19">
        <f t="shared" si="33"/>
        <v>0</v>
      </c>
      <c r="N264" s="19">
        <f t="shared" si="34"/>
        <v>1</v>
      </c>
      <c r="O264" s="19">
        <f t="shared" si="35"/>
        <v>1</v>
      </c>
      <c r="P264" s="19">
        <f t="shared" si="36"/>
        <v>1</v>
      </c>
      <c r="Q264" s="4">
        <v>6</v>
      </c>
      <c r="R264" s="4">
        <v>0</v>
      </c>
      <c r="S264" s="24">
        <v>0</v>
      </c>
      <c r="T264" s="125">
        <v>0</v>
      </c>
      <c r="U264" s="125">
        <v>0</v>
      </c>
      <c r="V264" s="24">
        <v>60</v>
      </c>
      <c r="W264" s="4">
        <v>0</v>
      </c>
      <c r="X264" s="4">
        <v>2</v>
      </c>
      <c r="Y264" s="4">
        <v>0.35</v>
      </c>
      <c r="Z264" s="4">
        <v>2.5</v>
      </c>
      <c r="AA264" s="4">
        <v>0.35</v>
      </c>
      <c r="AB264" s="24">
        <v>0</v>
      </c>
      <c r="AC264" s="24">
        <v>0</v>
      </c>
      <c r="AD264" s="24">
        <v>0</v>
      </c>
      <c r="AE264" s="4">
        <v>60</v>
      </c>
      <c r="AF264" s="118" t="s">
        <v>42</v>
      </c>
      <c r="AG264" s="118" t="s">
        <v>43</v>
      </c>
      <c r="AI264" s="104">
        <v>2582</v>
      </c>
      <c r="AJ264">
        <v>1820</v>
      </c>
    </row>
    <row r="265" spans="2:36" hidden="1" x14ac:dyDescent="0.25">
      <c r="B265" s="4" t="s">
        <v>40</v>
      </c>
      <c r="C265" s="4">
        <v>2</v>
      </c>
      <c r="E265" s="13">
        <v>39119</v>
      </c>
      <c r="F265" s="104">
        <f t="shared" si="32"/>
        <v>2863</v>
      </c>
      <c r="G265" s="13">
        <v>41701</v>
      </c>
      <c r="H265" s="13">
        <v>41982</v>
      </c>
      <c r="I265" s="104">
        <f t="shared" si="31"/>
        <v>2582</v>
      </c>
      <c r="J265" s="19">
        <f t="shared" si="37"/>
        <v>281</v>
      </c>
      <c r="K265" t="s">
        <v>69</v>
      </c>
      <c r="L265" s="4">
        <v>5.13</v>
      </c>
      <c r="M265" s="19">
        <f t="shared" si="33"/>
        <v>0</v>
      </c>
      <c r="N265" s="19">
        <f t="shared" si="34"/>
        <v>0</v>
      </c>
      <c r="O265" s="19">
        <f t="shared" si="35"/>
        <v>1</v>
      </c>
      <c r="P265" s="19">
        <f t="shared" si="36"/>
        <v>1</v>
      </c>
      <c r="Q265" s="4">
        <v>4</v>
      </c>
      <c r="R265" s="4">
        <v>0</v>
      </c>
      <c r="S265" s="24">
        <v>0</v>
      </c>
      <c r="T265" s="125">
        <v>0</v>
      </c>
      <c r="U265" s="125">
        <v>0</v>
      </c>
      <c r="V265" s="24">
        <v>60</v>
      </c>
      <c r="W265" s="4">
        <v>0</v>
      </c>
      <c r="X265" s="4">
        <v>2</v>
      </c>
      <c r="Y265" s="4">
        <v>0.35</v>
      </c>
      <c r="Z265" s="4">
        <v>2.5</v>
      </c>
      <c r="AA265" s="4">
        <v>0.35</v>
      </c>
      <c r="AB265" s="24">
        <v>0</v>
      </c>
      <c r="AC265" s="24">
        <v>0</v>
      </c>
      <c r="AD265" s="24">
        <v>0</v>
      </c>
      <c r="AE265" s="4">
        <v>60</v>
      </c>
      <c r="AF265" s="118" t="s">
        <v>42</v>
      </c>
      <c r="AG265" s="118" t="s">
        <v>43</v>
      </c>
      <c r="AI265" s="104">
        <v>2680</v>
      </c>
      <c r="AJ265">
        <v>1820</v>
      </c>
    </row>
    <row r="266" spans="2:36" hidden="1" x14ac:dyDescent="0.25">
      <c r="B266" s="4" t="s">
        <v>40</v>
      </c>
      <c r="C266" s="4">
        <v>2</v>
      </c>
      <c r="E266" s="13">
        <v>39119</v>
      </c>
      <c r="F266" s="104">
        <f t="shared" si="32"/>
        <v>2863</v>
      </c>
      <c r="G266" s="23">
        <v>41799</v>
      </c>
      <c r="H266" s="13">
        <v>41982</v>
      </c>
      <c r="I266" s="104">
        <f t="shared" si="31"/>
        <v>2680</v>
      </c>
      <c r="J266" s="19">
        <f t="shared" si="37"/>
        <v>183</v>
      </c>
      <c r="K266" t="s">
        <v>69</v>
      </c>
      <c r="L266" s="24">
        <v>5.07</v>
      </c>
      <c r="M266" s="19">
        <f t="shared" si="33"/>
        <v>0</v>
      </c>
      <c r="N266" s="19">
        <f t="shared" si="34"/>
        <v>0</v>
      </c>
      <c r="O266" s="19">
        <f t="shared" si="35"/>
        <v>1</v>
      </c>
      <c r="P266" s="19">
        <f t="shared" si="36"/>
        <v>1</v>
      </c>
      <c r="Q266" s="24">
        <v>3</v>
      </c>
      <c r="R266" s="4">
        <v>0</v>
      </c>
      <c r="S266" s="24">
        <v>0</v>
      </c>
      <c r="T266" s="129">
        <v>0</v>
      </c>
      <c r="U266" s="129">
        <v>0</v>
      </c>
      <c r="V266" s="24">
        <v>60</v>
      </c>
      <c r="W266" s="24">
        <v>0</v>
      </c>
      <c r="X266" s="24">
        <v>2</v>
      </c>
      <c r="Y266" s="24">
        <v>0.35</v>
      </c>
      <c r="Z266" s="24">
        <v>2.5</v>
      </c>
      <c r="AA266" s="24">
        <v>0.35</v>
      </c>
      <c r="AB266" s="24">
        <v>0</v>
      </c>
      <c r="AC266" s="24">
        <v>0</v>
      </c>
      <c r="AD266" s="24">
        <v>0</v>
      </c>
      <c r="AE266" s="24">
        <v>60</v>
      </c>
      <c r="AF266" s="114" t="s">
        <v>42</v>
      </c>
      <c r="AG266" s="114" t="s">
        <v>43</v>
      </c>
      <c r="AI266" s="104">
        <v>2785</v>
      </c>
      <c r="AJ266">
        <v>1820</v>
      </c>
    </row>
    <row r="267" spans="2:36" hidden="1" x14ac:dyDescent="0.25">
      <c r="B267" s="4" t="s">
        <v>40</v>
      </c>
      <c r="C267" s="4">
        <v>2</v>
      </c>
      <c r="E267" s="13">
        <v>39119</v>
      </c>
      <c r="F267" s="104">
        <f t="shared" si="32"/>
        <v>2863</v>
      </c>
      <c r="G267" s="13">
        <v>41904</v>
      </c>
      <c r="H267" s="13">
        <v>41982</v>
      </c>
      <c r="I267" s="104">
        <f t="shared" si="31"/>
        <v>2785</v>
      </c>
      <c r="J267" s="19">
        <f t="shared" si="37"/>
        <v>78</v>
      </c>
      <c r="K267" t="s">
        <v>69</v>
      </c>
      <c r="L267" s="4">
        <v>4.9800000000000004</v>
      </c>
      <c r="M267" s="19">
        <f t="shared" si="33"/>
        <v>0</v>
      </c>
      <c r="N267" s="19">
        <f t="shared" si="34"/>
        <v>0</v>
      </c>
      <c r="O267" s="19">
        <f t="shared" si="35"/>
        <v>0</v>
      </c>
      <c r="P267" s="19">
        <f t="shared" si="36"/>
        <v>0</v>
      </c>
      <c r="Q267" s="4">
        <v>2</v>
      </c>
      <c r="R267" s="4">
        <v>0</v>
      </c>
      <c r="S267" s="24">
        <v>0</v>
      </c>
      <c r="T267" s="125">
        <v>0</v>
      </c>
      <c r="U267" s="125">
        <v>0</v>
      </c>
      <c r="V267" s="24">
        <v>60</v>
      </c>
      <c r="W267" s="4">
        <v>0</v>
      </c>
      <c r="X267" s="4">
        <v>2</v>
      </c>
      <c r="Y267" s="4">
        <v>0.35</v>
      </c>
      <c r="Z267" s="4">
        <v>2.5</v>
      </c>
      <c r="AA267" s="4">
        <v>0.35</v>
      </c>
      <c r="AB267" s="24">
        <v>0</v>
      </c>
      <c r="AC267" s="24">
        <v>0</v>
      </c>
      <c r="AD267" s="24">
        <v>0</v>
      </c>
      <c r="AE267" s="4">
        <v>60</v>
      </c>
      <c r="AF267" s="118" t="s">
        <v>42</v>
      </c>
      <c r="AG267" s="118" t="s">
        <v>43</v>
      </c>
      <c r="AI267" s="104">
        <v>2863</v>
      </c>
      <c r="AJ267">
        <v>1821</v>
      </c>
    </row>
    <row r="268" spans="2:36" hidden="1" x14ac:dyDescent="0.25">
      <c r="B268" s="4" t="s">
        <v>40</v>
      </c>
      <c r="C268" s="4">
        <v>2</v>
      </c>
      <c r="E268" s="13">
        <v>39119</v>
      </c>
      <c r="F268" s="104">
        <f t="shared" si="32"/>
        <v>2863</v>
      </c>
      <c r="G268" s="13">
        <v>41982</v>
      </c>
      <c r="H268" s="13">
        <v>41982</v>
      </c>
      <c r="I268" s="104">
        <f t="shared" si="31"/>
        <v>2863</v>
      </c>
      <c r="J268" s="19">
        <f t="shared" si="37"/>
        <v>0</v>
      </c>
      <c r="K268" t="s">
        <v>69</v>
      </c>
      <c r="L268" s="4">
        <v>4.84</v>
      </c>
      <c r="M268" s="19">
        <f t="shared" si="33"/>
        <v>0</v>
      </c>
      <c r="N268" s="19">
        <f t="shared" si="34"/>
        <v>0</v>
      </c>
      <c r="O268" s="19">
        <f t="shared" si="35"/>
        <v>0</v>
      </c>
      <c r="P268" s="19">
        <f t="shared" si="36"/>
        <v>0</v>
      </c>
      <c r="Q268" s="4">
        <v>3</v>
      </c>
      <c r="R268" s="4">
        <v>0</v>
      </c>
      <c r="S268" s="24">
        <v>0</v>
      </c>
      <c r="T268" s="125">
        <v>0</v>
      </c>
      <c r="U268" s="125">
        <v>0</v>
      </c>
      <c r="V268" s="24">
        <v>60</v>
      </c>
      <c r="W268" s="4">
        <v>0</v>
      </c>
      <c r="X268" s="4">
        <v>2</v>
      </c>
      <c r="Y268" s="4">
        <v>0.35</v>
      </c>
      <c r="Z268" s="4">
        <v>2.5</v>
      </c>
      <c r="AA268" s="4">
        <v>0.35</v>
      </c>
      <c r="AB268" s="24">
        <v>0</v>
      </c>
      <c r="AC268" s="24">
        <v>0</v>
      </c>
      <c r="AD268" s="24">
        <v>0</v>
      </c>
      <c r="AE268" s="4">
        <v>60</v>
      </c>
      <c r="AF268" s="118" t="s">
        <v>42</v>
      </c>
      <c r="AG268" s="118" t="s">
        <v>43</v>
      </c>
      <c r="AI268" s="104">
        <v>794</v>
      </c>
      <c r="AJ268">
        <v>1833</v>
      </c>
    </row>
    <row r="269" spans="2:36" hidden="1" x14ac:dyDescent="0.25">
      <c r="B269" s="24" t="s">
        <v>108</v>
      </c>
      <c r="C269" s="24">
        <v>2</v>
      </c>
      <c r="E269" s="27">
        <v>39437</v>
      </c>
      <c r="F269" s="104">
        <f t="shared" si="32"/>
        <v>2728</v>
      </c>
      <c r="G269" s="25">
        <v>40231</v>
      </c>
      <c r="H269" s="25">
        <v>42165</v>
      </c>
      <c r="I269" s="104">
        <f t="shared" si="31"/>
        <v>794</v>
      </c>
      <c r="J269" s="19">
        <f t="shared" si="37"/>
        <v>1934</v>
      </c>
      <c r="K269" t="s">
        <v>69</v>
      </c>
      <c r="L269" s="4">
        <v>6.36</v>
      </c>
      <c r="M269" s="19">
        <f t="shared" si="33"/>
        <v>1</v>
      </c>
      <c r="N269" s="19">
        <f t="shared" si="34"/>
        <v>1</v>
      </c>
      <c r="O269" s="19">
        <f t="shared" si="35"/>
        <v>1</v>
      </c>
      <c r="P269" s="19">
        <f t="shared" si="36"/>
        <v>1</v>
      </c>
      <c r="Q269" s="4">
        <v>15</v>
      </c>
      <c r="R269" s="4">
        <v>0</v>
      </c>
      <c r="S269" s="24">
        <v>0</v>
      </c>
      <c r="T269" s="127">
        <v>1</v>
      </c>
      <c r="U269" s="127">
        <v>0</v>
      </c>
      <c r="V269" s="24">
        <v>60</v>
      </c>
      <c r="W269" s="4">
        <v>0</v>
      </c>
      <c r="X269" s="4">
        <v>2.5</v>
      </c>
      <c r="Y269" s="4">
        <v>0.5</v>
      </c>
      <c r="Z269" s="4">
        <v>4.5</v>
      </c>
      <c r="AA269" s="4">
        <v>0.5</v>
      </c>
      <c r="AB269" s="24">
        <v>0</v>
      </c>
      <c r="AC269" s="24">
        <v>0</v>
      </c>
      <c r="AD269" s="24">
        <v>0</v>
      </c>
      <c r="AE269" s="4" t="s">
        <v>47</v>
      </c>
      <c r="AF269" s="138" t="s">
        <v>45</v>
      </c>
      <c r="AG269" s="118" t="s">
        <v>285</v>
      </c>
      <c r="AI269" s="104">
        <v>1285</v>
      </c>
      <c r="AJ269">
        <v>1834</v>
      </c>
    </row>
    <row r="270" spans="2:36" hidden="1" x14ac:dyDescent="0.25">
      <c r="B270" s="24" t="s">
        <v>108</v>
      </c>
      <c r="C270" s="24">
        <v>2</v>
      </c>
      <c r="D270" s="24"/>
      <c r="E270" s="23">
        <v>39437</v>
      </c>
      <c r="F270" s="104">
        <f t="shared" si="32"/>
        <v>2728</v>
      </c>
      <c r="G270" s="23">
        <v>40722</v>
      </c>
      <c r="H270" s="25">
        <v>42165</v>
      </c>
      <c r="I270" s="104">
        <f t="shared" si="31"/>
        <v>1285</v>
      </c>
      <c r="J270" s="19">
        <f t="shared" si="37"/>
        <v>1443</v>
      </c>
      <c r="K270" t="s">
        <v>69</v>
      </c>
      <c r="L270" s="24">
        <v>5.91</v>
      </c>
      <c r="M270" s="19">
        <f t="shared" si="33"/>
        <v>1</v>
      </c>
      <c r="N270" s="19">
        <f t="shared" si="34"/>
        <v>1</v>
      </c>
      <c r="O270" s="19">
        <f t="shared" si="35"/>
        <v>1</v>
      </c>
      <c r="P270" s="19">
        <f t="shared" si="36"/>
        <v>1</v>
      </c>
      <c r="Q270" s="24">
        <v>15</v>
      </c>
      <c r="R270" s="24">
        <v>0</v>
      </c>
      <c r="S270" s="24">
        <v>0</v>
      </c>
      <c r="T270" s="129">
        <v>0</v>
      </c>
      <c r="U270" s="129">
        <v>0</v>
      </c>
      <c r="V270" s="24">
        <v>60</v>
      </c>
      <c r="W270" s="24">
        <v>0</v>
      </c>
      <c r="X270" s="24">
        <v>2</v>
      </c>
      <c r="Y270" s="24">
        <v>0.5</v>
      </c>
      <c r="Z270" s="24">
        <v>4.5</v>
      </c>
      <c r="AA270" s="24">
        <v>0.5</v>
      </c>
      <c r="AB270" s="24">
        <v>0</v>
      </c>
      <c r="AC270" s="24">
        <v>0</v>
      </c>
      <c r="AD270" s="24">
        <v>0</v>
      </c>
      <c r="AE270" s="24" t="s">
        <v>47</v>
      </c>
      <c r="AF270" s="114" t="s">
        <v>42</v>
      </c>
      <c r="AG270" s="114" t="s">
        <v>43</v>
      </c>
      <c r="AI270" s="104">
        <v>1509</v>
      </c>
      <c r="AJ270">
        <v>1839</v>
      </c>
    </row>
    <row r="271" spans="2:36" hidden="1" x14ac:dyDescent="0.25">
      <c r="B271" s="24" t="s">
        <v>108</v>
      </c>
      <c r="C271" s="24">
        <v>2</v>
      </c>
      <c r="D271" s="24"/>
      <c r="E271" s="23">
        <v>39437</v>
      </c>
      <c r="F271" s="104">
        <f t="shared" si="32"/>
        <v>2728</v>
      </c>
      <c r="G271" s="23">
        <v>40946</v>
      </c>
      <c r="H271" s="25">
        <v>42165</v>
      </c>
      <c r="I271" s="104">
        <f t="shared" si="31"/>
        <v>1509</v>
      </c>
      <c r="J271" s="19">
        <f t="shared" si="37"/>
        <v>1219</v>
      </c>
      <c r="K271" t="s">
        <v>69</v>
      </c>
      <c r="L271" s="24">
        <v>5.56</v>
      </c>
      <c r="M271" s="19">
        <f t="shared" si="33"/>
        <v>1</v>
      </c>
      <c r="N271" s="19">
        <f t="shared" si="34"/>
        <v>1</v>
      </c>
      <c r="O271" s="19">
        <f t="shared" si="35"/>
        <v>1</v>
      </c>
      <c r="P271" s="19">
        <f t="shared" si="36"/>
        <v>1</v>
      </c>
      <c r="Q271" s="24">
        <v>15</v>
      </c>
      <c r="R271" s="24">
        <v>0</v>
      </c>
      <c r="S271" s="24">
        <v>0</v>
      </c>
      <c r="T271" s="129">
        <v>0</v>
      </c>
      <c r="U271" s="129">
        <v>0</v>
      </c>
      <c r="V271" s="24">
        <v>60</v>
      </c>
      <c r="W271" s="24">
        <v>0</v>
      </c>
      <c r="X271" s="24">
        <v>2</v>
      </c>
      <c r="Y271" s="24">
        <v>0.5</v>
      </c>
      <c r="Z271" s="24">
        <v>4.5</v>
      </c>
      <c r="AA271" s="24">
        <v>0.5</v>
      </c>
      <c r="AB271" s="24">
        <v>0</v>
      </c>
      <c r="AC271" s="24">
        <v>0</v>
      </c>
      <c r="AD271" s="24">
        <v>0</v>
      </c>
      <c r="AE271" s="24" t="s">
        <v>47</v>
      </c>
      <c r="AF271" s="114"/>
      <c r="AG271" s="114" t="s">
        <v>43</v>
      </c>
      <c r="AI271" s="104">
        <v>1642</v>
      </c>
      <c r="AJ271">
        <v>1846</v>
      </c>
    </row>
    <row r="272" spans="2:36" hidden="1" x14ac:dyDescent="0.25">
      <c r="B272" s="24" t="s">
        <v>108</v>
      </c>
      <c r="C272" s="24">
        <v>2</v>
      </c>
      <c r="D272" s="24"/>
      <c r="E272" s="23">
        <v>39437</v>
      </c>
      <c r="F272" s="104">
        <f t="shared" si="32"/>
        <v>2728</v>
      </c>
      <c r="G272" s="23">
        <v>41079</v>
      </c>
      <c r="H272" s="25">
        <v>42165</v>
      </c>
      <c r="I272" s="104">
        <f t="shared" si="31"/>
        <v>1642</v>
      </c>
      <c r="J272" s="19">
        <f t="shared" si="37"/>
        <v>1086</v>
      </c>
      <c r="K272" t="s">
        <v>69</v>
      </c>
      <c r="L272" s="24">
        <v>5.33</v>
      </c>
      <c r="M272" s="19">
        <f t="shared" si="33"/>
        <v>1</v>
      </c>
      <c r="N272" s="19">
        <f t="shared" si="34"/>
        <v>1</v>
      </c>
      <c r="O272" s="19">
        <f t="shared" si="35"/>
        <v>1</v>
      </c>
      <c r="P272" s="19">
        <f t="shared" si="36"/>
        <v>1</v>
      </c>
      <c r="Q272" s="24">
        <v>18</v>
      </c>
      <c r="R272" s="24">
        <v>0</v>
      </c>
      <c r="S272" s="24">
        <v>0</v>
      </c>
      <c r="T272" s="129">
        <v>0</v>
      </c>
      <c r="U272" s="129">
        <v>0</v>
      </c>
      <c r="V272" s="24">
        <v>60</v>
      </c>
      <c r="W272" s="24">
        <v>0</v>
      </c>
      <c r="X272" s="24">
        <v>2</v>
      </c>
      <c r="Y272" s="24">
        <v>0.5</v>
      </c>
      <c r="Z272" s="24">
        <v>4.5</v>
      </c>
      <c r="AA272" s="24">
        <v>0.5</v>
      </c>
      <c r="AB272" s="24">
        <v>0</v>
      </c>
      <c r="AC272" s="24">
        <v>0</v>
      </c>
      <c r="AD272" s="24">
        <v>0</v>
      </c>
      <c r="AE272" s="24" t="s">
        <v>47</v>
      </c>
      <c r="AF272" s="114"/>
      <c r="AG272" s="114" t="s">
        <v>43</v>
      </c>
      <c r="AI272" s="104">
        <v>1887</v>
      </c>
      <c r="AJ272">
        <v>1847</v>
      </c>
    </row>
    <row r="273" spans="2:36" hidden="1" x14ac:dyDescent="0.25">
      <c r="B273" s="24" t="s">
        <v>108</v>
      </c>
      <c r="C273" s="24">
        <v>2</v>
      </c>
      <c r="D273" s="24"/>
      <c r="E273" s="23">
        <v>39437</v>
      </c>
      <c r="F273" s="104">
        <f t="shared" si="32"/>
        <v>2728</v>
      </c>
      <c r="G273" s="23">
        <v>41324</v>
      </c>
      <c r="H273" s="25">
        <v>42165</v>
      </c>
      <c r="I273" s="104">
        <f t="shared" si="31"/>
        <v>1887</v>
      </c>
      <c r="J273" s="19">
        <f t="shared" si="37"/>
        <v>841</v>
      </c>
      <c r="K273" t="s">
        <v>69</v>
      </c>
      <c r="L273" s="24">
        <v>5.21</v>
      </c>
      <c r="M273" s="19">
        <f t="shared" si="33"/>
        <v>1</v>
      </c>
      <c r="N273" s="19">
        <f t="shared" si="34"/>
        <v>1</v>
      </c>
      <c r="O273" s="19">
        <f t="shared" si="35"/>
        <v>1</v>
      </c>
      <c r="P273" s="19">
        <f t="shared" si="36"/>
        <v>1</v>
      </c>
      <c r="Q273" s="24">
        <v>15</v>
      </c>
      <c r="R273" s="24">
        <v>0</v>
      </c>
      <c r="S273" s="24">
        <v>0</v>
      </c>
      <c r="T273" s="129">
        <v>0</v>
      </c>
      <c r="U273" s="129">
        <v>0</v>
      </c>
      <c r="V273" s="24">
        <v>60</v>
      </c>
      <c r="W273" s="24">
        <v>0</v>
      </c>
      <c r="X273" s="24">
        <v>2</v>
      </c>
      <c r="Y273" s="24">
        <v>0.5</v>
      </c>
      <c r="Z273" s="24">
        <v>4.5</v>
      </c>
      <c r="AA273" s="24">
        <v>0.5</v>
      </c>
      <c r="AB273" s="24">
        <v>0</v>
      </c>
      <c r="AC273" s="24">
        <v>0</v>
      </c>
      <c r="AD273" s="24">
        <v>0</v>
      </c>
      <c r="AE273" s="24" t="s">
        <v>47</v>
      </c>
      <c r="AF273" s="146"/>
      <c r="AG273" s="114" t="s">
        <v>43</v>
      </c>
      <c r="AI273" s="104">
        <v>1970</v>
      </c>
      <c r="AJ273">
        <v>1848</v>
      </c>
    </row>
    <row r="274" spans="2:36" hidden="1" x14ac:dyDescent="0.25">
      <c r="B274" s="24" t="s">
        <v>108</v>
      </c>
      <c r="C274" s="24">
        <v>2</v>
      </c>
      <c r="D274" s="24"/>
      <c r="E274" s="23">
        <v>39437</v>
      </c>
      <c r="F274" s="104">
        <f t="shared" si="32"/>
        <v>2728</v>
      </c>
      <c r="G274" s="27">
        <v>41407</v>
      </c>
      <c r="H274" s="25">
        <v>42165</v>
      </c>
      <c r="I274" s="104">
        <f t="shared" si="31"/>
        <v>1970</v>
      </c>
      <c r="J274" s="19">
        <f t="shared" si="37"/>
        <v>758</v>
      </c>
      <c r="K274" t="s">
        <v>69</v>
      </c>
      <c r="L274" s="24">
        <v>5.15</v>
      </c>
      <c r="M274" s="19">
        <f t="shared" si="33"/>
        <v>1</v>
      </c>
      <c r="N274" s="19">
        <f t="shared" si="34"/>
        <v>1</v>
      </c>
      <c r="O274" s="19">
        <f t="shared" si="35"/>
        <v>1</v>
      </c>
      <c r="P274" s="19">
        <f t="shared" si="36"/>
        <v>1</v>
      </c>
      <c r="Q274" s="24">
        <v>0</v>
      </c>
      <c r="R274" s="24">
        <v>0</v>
      </c>
      <c r="S274" s="24">
        <v>0</v>
      </c>
      <c r="T274" s="129">
        <v>0</v>
      </c>
      <c r="U274" s="129">
        <v>0</v>
      </c>
      <c r="V274" s="24">
        <v>40</v>
      </c>
      <c r="W274" s="24">
        <v>0</v>
      </c>
      <c r="X274" s="24">
        <v>2</v>
      </c>
      <c r="Y274" s="24">
        <v>0.5</v>
      </c>
      <c r="Z274" s="24">
        <v>3</v>
      </c>
      <c r="AA274" s="24">
        <v>0.5</v>
      </c>
      <c r="AB274" s="24">
        <v>0</v>
      </c>
      <c r="AC274" s="24">
        <v>0</v>
      </c>
      <c r="AD274" s="24">
        <v>0</v>
      </c>
      <c r="AE274" s="24" t="s">
        <v>110</v>
      </c>
      <c r="AF274" s="114"/>
      <c r="AG274" s="114" t="s">
        <v>43</v>
      </c>
      <c r="AI274" s="104">
        <v>2013</v>
      </c>
      <c r="AJ274">
        <v>1855</v>
      </c>
    </row>
    <row r="275" spans="2:36" hidden="1" x14ac:dyDescent="0.25">
      <c r="B275" s="24" t="s">
        <v>108</v>
      </c>
      <c r="C275" s="24">
        <v>2</v>
      </c>
      <c r="D275" s="24"/>
      <c r="E275" s="23">
        <v>39437</v>
      </c>
      <c r="F275" s="104">
        <f t="shared" si="32"/>
        <v>2728</v>
      </c>
      <c r="G275" s="23">
        <v>41450</v>
      </c>
      <c r="H275" s="25">
        <v>42165</v>
      </c>
      <c r="I275" s="104">
        <f t="shared" si="31"/>
        <v>2013</v>
      </c>
      <c r="J275" s="19">
        <f t="shared" si="37"/>
        <v>715</v>
      </c>
      <c r="K275" t="s">
        <v>69</v>
      </c>
      <c r="L275" s="24">
        <v>5.18</v>
      </c>
      <c r="M275" s="19">
        <f t="shared" si="33"/>
        <v>1</v>
      </c>
      <c r="N275" s="19">
        <f t="shared" si="34"/>
        <v>1</v>
      </c>
      <c r="O275" s="19">
        <f t="shared" si="35"/>
        <v>1</v>
      </c>
      <c r="P275" s="19">
        <f t="shared" si="36"/>
        <v>1</v>
      </c>
      <c r="Q275" s="24">
        <v>11</v>
      </c>
      <c r="R275" s="24">
        <v>0</v>
      </c>
      <c r="S275" s="24">
        <v>0</v>
      </c>
      <c r="T275" s="129">
        <v>0</v>
      </c>
      <c r="U275" s="129">
        <v>0</v>
      </c>
      <c r="V275" s="24">
        <v>60</v>
      </c>
      <c r="W275" s="24">
        <v>0</v>
      </c>
      <c r="X275" s="24">
        <v>2</v>
      </c>
      <c r="Y275" s="24">
        <v>0.5</v>
      </c>
      <c r="Z275" s="24">
        <v>4.5</v>
      </c>
      <c r="AA275" s="24">
        <v>0.5</v>
      </c>
      <c r="AB275" s="24">
        <v>0</v>
      </c>
      <c r="AC275" s="24">
        <v>0</v>
      </c>
      <c r="AD275" s="24">
        <v>0</v>
      </c>
      <c r="AE275" s="24" t="s">
        <v>47</v>
      </c>
      <c r="AF275" s="114"/>
      <c r="AG275" s="114" t="s">
        <v>43</v>
      </c>
      <c r="AI275" s="104">
        <v>2091</v>
      </c>
      <c r="AJ275">
        <v>1856</v>
      </c>
    </row>
    <row r="276" spans="2:36" hidden="1" x14ac:dyDescent="0.25">
      <c r="B276" s="24" t="s">
        <v>108</v>
      </c>
      <c r="C276" s="24">
        <v>2</v>
      </c>
      <c r="D276" s="24"/>
      <c r="E276" s="23">
        <v>39437</v>
      </c>
      <c r="F276" s="104">
        <f t="shared" si="32"/>
        <v>2728</v>
      </c>
      <c r="G276" s="27">
        <v>41528</v>
      </c>
      <c r="H276" s="25">
        <v>42165</v>
      </c>
      <c r="I276" s="104">
        <f t="shared" si="31"/>
        <v>2091</v>
      </c>
      <c r="J276" s="19">
        <f t="shared" si="37"/>
        <v>637</v>
      </c>
      <c r="K276" t="s">
        <v>69</v>
      </c>
      <c r="L276" s="24">
        <v>5.18</v>
      </c>
      <c r="M276" s="19">
        <f t="shared" si="33"/>
        <v>1</v>
      </c>
      <c r="N276" s="19">
        <f t="shared" si="34"/>
        <v>1</v>
      </c>
      <c r="O276" s="19">
        <f t="shared" si="35"/>
        <v>1</v>
      </c>
      <c r="P276" s="19">
        <f t="shared" si="36"/>
        <v>1</v>
      </c>
      <c r="Q276" s="24">
        <v>0</v>
      </c>
      <c r="R276" s="24">
        <v>0</v>
      </c>
      <c r="S276" s="24">
        <v>0</v>
      </c>
      <c r="T276" s="129">
        <v>0</v>
      </c>
      <c r="U276" s="129">
        <v>0</v>
      </c>
      <c r="V276" s="24">
        <v>40</v>
      </c>
      <c r="W276" s="24">
        <v>0</v>
      </c>
      <c r="X276" s="24">
        <v>2</v>
      </c>
      <c r="Y276" s="24">
        <v>0.5</v>
      </c>
      <c r="Z276" s="24">
        <v>3</v>
      </c>
      <c r="AA276" s="24">
        <v>0.5</v>
      </c>
      <c r="AB276" s="24">
        <v>0</v>
      </c>
      <c r="AC276" s="24">
        <v>0</v>
      </c>
      <c r="AD276" s="24">
        <v>0</v>
      </c>
      <c r="AE276" s="24" t="s">
        <v>110</v>
      </c>
      <c r="AF276" s="114"/>
      <c r="AG276" s="114" t="s">
        <v>43</v>
      </c>
      <c r="AI276" s="104">
        <v>2440</v>
      </c>
      <c r="AJ276">
        <v>1857</v>
      </c>
    </row>
    <row r="277" spans="2:36" hidden="1" x14ac:dyDescent="0.25">
      <c r="B277" s="24" t="s">
        <v>108</v>
      </c>
      <c r="C277" s="24">
        <v>2</v>
      </c>
      <c r="D277" s="24"/>
      <c r="E277" s="23">
        <v>39437</v>
      </c>
      <c r="F277" s="104">
        <f t="shared" si="32"/>
        <v>2728</v>
      </c>
      <c r="G277" s="27">
        <v>41877</v>
      </c>
      <c r="H277" s="25">
        <v>42165</v>
      </c>
      <c r="I277" s="104">
        <f t="shared" si="31"/>
        <v>2440</v>
      </c>
      <c r="J277" s="19">
        <f t="shared" si="37"/>
        <v>288</v>
      </c>
      <c r="K277" t="s">
        <v>69</v>
      </c>
      <c r="L277" s="24">
        <v>5.15</v>
      </c>
      <c r="M277" s="19">
        <f t="shared" si="33"/>
        <v>0</v>
      </c>
      <c r="N277" s="19">
        <f t="shared" si="34"/>
        <v>0</v>
      </c>
      <c r="O277" s="19">
        <f t="shared" si="35"/>
        <v>1</v>
      </c>
      <c r="P277" s="19">
        <f t="shared" si="36"/>
        <v>1</v>
      </c>
      <c r="Q277" s="24">
        <v>0</v>
      </c>
      <c r="R277" s="24">
        <v>0</v>
      </c>
      <c r="S277" s="24">
        <v>0</v>
      </c>
      <c r="T277" s="128">
        <v>0</v>
      </c>
      <c r="U277" s="128">
        <v>0</v>
      </c>
      <c r="V277" s="24">
        <v>40</v>
      </c>
      <c r="W277" s="24">
        <v>0</v>
      </c>
      <c r="X277" s="24">
        <v>2</v>
      </c>
      <c r="Y277" s="24">
        <v>0.5</v>
      </c>
      <c r="Z277" s="24">
        <v>3</v>
      </c>
      <c r="AA277" s="24">
        <v>0.5</v>
      </c>
      <c r="AB277" s="24">
        <v>0</v>
      </c>
      <c r="AC277" s="24">
        <v>0</v>
      </c>
      <c r="AD277" s="24">
        <v>0</v>
      </c>
      <c r="AE277" s="24" t="s">
        <v>110</v>
      </c>
      <c r="AG277" s="114" t="s">
        <v>43</v>
      </c>
      <c r="AI277" s="104">
        <v>2615</v>
      </c>
      <c r="AJ277">
        <v>1861</v>
      </c>
    </row>
    <row r="278" spans="2:36" hidden="1" x14ac:dyDescent="0.25">
      <c r="B278" s="24" t="s">
        <v>108</v>
      </c>
      <c r="C278" s="24">
        <v>2</v>
      </c>
      <c r="D278" s="24"/>
      <c r="E278" s="23">
        <v>39437</v>
      </c>
      <c r="F278" s="104">
        <f t="shared" si="32"/>
        <v>2728</v>
      </c>
      <c r="G278" s="27">
        <v>42052</v>
      </c>
      <c r="H278" s="25">
        <v>42165</v>
      </c>
      <c r="I278" s="104">
        <f t="shared" si="31"/>
        <v>2615</v>
      </c>
      <c r="J278" s="19">
        <f t="shared" si="37"/>
        <v>113</v>
      </c>
      <c r="K278" t="s">
        <v>69</v>
      </c>
      <c r="L278" s="24">
        <v>5.09</v>
      </c>
      <c r="M278" s="19">
        <f t="shared" si="33"/>
        <v>0</v>
      </c>
      <c r="N278" s="19">
        <f t="shared" si="34"/>
        <v>0</v>
      </c>
      <c r="O278" s="19">
        <f t="shared" si="35"/>
        <v>0</v>
      </c>
      <c r="P278" s="19">
        <f t="shared" si="36"/>
        <v>1</v>
      </c>
      <c r="Q278" s="24">
        <v>0</v>
      </c>
      <c r="R278" s="24">
        <v>0</v>
      </c>
      <c r="S278" s="24">
        <v>0</v>
      </c>
      <c r="T278" s="129">
        <v>0</v>
      </c>
      <c r="U278" s="129">
        <v>0</v>
      </c>
      <c r="V278" s="24">
        <v>45</v>
      </c>
      <c r="W278" s="24">
        <v>0</v>
      </c>
      <c r="X278" s="24">
        <v>2</v>
      </c>
      <c r="Y278" s="24">
        <v>0.5</v>
      </c>
      <c r="Z278" s="24">
        <v>3</v>
      </c>
      <c r="AA278" s="24">
        <v>0.5</v>
      </c>
      <c r="AB278" s="24">
        <v>0</v>
      </c>
      <c r="AC278" s="24">
        <v>0</v>
      </c>
      <c r="AD278" s="24">
        <v>0</v>
      </c>
      <c r="AE278" s="24" t="s">
        <v>111</v>
      </c>
      <c r="AF278" s="114"/>
      <c r="AG278" s="114" t="s">
        <v>43</v>
      </c>
      <c r="AI278" s="104">
        <v>2702</v>
      </c>
      <c r="AJ278">
        <v>1862</v>
      </c>
    </row>
    <row r="279" spans="2:36" ht="25" hidden="1" x14ac:dyDescent="0.25">
      <c r="B279" s="24" t="s">
        <v>108</v>
      </c>
      <c r="C279" s="24">
        <v>2</v>
      </c>
      <c r="D279" s="24"/>
      <c r="E279" s="23">
        <v>39437</v>
      </c>
      <c r="F279" s="104">
        <f t="shared" si="32"/>
        <v>2728</v>
      </c>
      <c r="G279" s="25">
        <v>42139</v>
      </c>
      <c r="H279" s="25">
        <v>42165</v>
      </c>
      <c r="I279" s="104">
        <f t="shared" si="31"/>
        <v>2702</v>
      </c>
      <c r="J279" s="19">
        <f t="shared" si="37"/>
        <v>26</v>
      </c>
      <c r="K279" t="s">
        <v>69</v>
      </c>
      <c r="L279" s="4">
        <v>5.04</v>
      </c>
      <c r="M279" s="19">
        <f t="shared" si="33"/>
        <v>0</v>
      </c>
      <c r="N279" s="19">
        <f t="shared" si="34"/>
        <v>0</v>
      </c>
      <c r="O279" s="19">
        <f t="shared" si="35"/>
        <v>0</v>
      </c>
      <c r="P279" s="19">
        <f t="shared" si="36"/>
        <v>0</v>
      </c>
      <c r="Q279" s="34" t="s">
        <v>109</v>
      </c>
      <c r="R279" s="24">
        <v>0</v>
      </c>
      <c r="S279" s="24">
        <v>0</v>
      </c>
      <c r="T279" s="128">
        <v>0</v>
      </c>
      <c r="U279" s="128">
        <v>0</v>
      </c>
      <c r="V279" s="24">
        <v>45</v>
      </c>
      <c r="W279" s="24">
        <v>0</v>
      </c>
      <c r="X279" s="24">
        <v>2</v>
      </c>
      <c r="Y279" s="24">
        <v>0.5</v>
      </c>
      <c r="Z279" s="24">
        <v>3</v>
      </c>
      <c r="AA279" s="24">
        <v>0.5</v>
      </c>
      <c r="AB279" s="24">
        <v>0</v>
      </c>
      <c r="AC279" s="24">
        <v>0</v>
      </c>
      <c r="AD279" s="24">
        <v>0</v>
      </c>
      <c r="AE279" s="24" t="s">
        <v>111</v>
      </c>
      <c r="AG279" s="114" t="s">
        <v>43</v>
      </c>
      <c r="AI279" s="104">
        <v>2728</v>
      </c>
      <c r="AJ279">
        <v>1869</v>
      </c>
    </row>
    <row r="280" spans="2:36" hidden="1" x14ac:dyDescent="0.25">
      <c r="B280" s="24" t="s">
        <v>108</v>
      </c>
      <c r="C280" s="24">
        <v>2</v>
      </c>
      <c r="E280" s="27">
        <v>39437</v>
      </c>
      <c r="F280" s="104">
        <f t="shared" si="32"/>
        <v>2728</v>
      </c>
      <c r="G280" s="25">
        <v>42165</v>
      </c>
      <c r="H280" s="25">
        <v>42165</v>
      </c>
      <c r="I280" s="104">
        <f t="shared" si="31"/>
        <v>2728</v>
      </c>
      <c r="J280" s="19">
        <f t="shared" si="37"/>
        <v>0</v>
      </c>
      <c r="K280" t="s">
        <v>69</v>
      </c>
      <c r="L280" s="4">
        <v>5.01</v>
      </c>
      <c r="M280" s="19">
        <f t="shared" si="33"/>
        <v>0</v>
      </c>
      <c r="N280" s="19">
        <f t="shared" si="34"/>
        <v>0</v>
      </c>
      <c r="O280" s="19">
        <f t="shared" si="35"/>
        <v>0</v>
      </c>
      <c r="P280" s="19">
        <f t="shared" si="36"/>
        <v>0</v>
      </c>
      <c r="Q280" s="4">
        <v>4</v>
      </c>
      <c r="R280" s="4">
        <v>0</v>
      </c>
      <c r="S280" s="24">
        <v>0</v>
      </c>
      <c r="T280" s="127">
        <v>0</v>
      </c>
      <c r="U280" s="127">
        <v>0</v>
      </c>
      <c r="V280" s="4">
        <v>50</v>
      </c>
      <c r="W280" s="4">
        <v>0</v>
      </c>
      <c r="X280" s="4">
        <v>2</v>
      </c>
      <c r="Y280" s="4">
        <v>0.5</v>
      </c>
      <c r="Z280" s="4">
        <v>2.5</v>
      </c>
      <c r="AA280" s="4">
        <v>0.5</v>
      </c>
      <c r="AB280" s="24">
        <v>0</v>
      </c>
      <c r="AC280" s="24">
        <v>0</v>
      </c>
      <c r="AD280" s="24">
        <v>0</v>
      </c>
      <c r="AE280" s="4" t="s">
        <v>67</v>
      </c>
      <c r="AF280" s="138" t="s">
        <v>42</v>
      </c>
      <c r="AG280" s="118" t="s">
        <v>285</v>
      </c>
      <c r="AI280" s="104">
        <v>525</v>
      </c>
      <c r="AJ280">
        <v>1877</v>
      </c>
    </row>
    <row r="281" spans="2:36" x14ac:dyDescent="0.25">
      <c r="B281" s="24" t="s">
        <v>144</v>
      </c>
      <c r="C281" s="24">
        <v>2</v>
      </c>
      <c r="E281" s="27">
        <v>39567</v>
      </c>
      <c r="F281" s="104">
        <f t="shared" si="32"/>
        <v>2505</v>
      </c>
      <c r="G281" s="25">
        <v>40092</v>
      </c>
      <c r="H281" s="25">
        <v>42072</v>
      </c>
      <c r="I281" s="104">
        <f t="shared" si="31"/>
        <v>525</v>
      </c>
      <c r="J281" s="19">
        <f t="shared" si="37"/>
        <v>1980</v>
      </c>
      <c r="K281" s="83" t="s">
        <v>65</v>
      </c>
      <c r="L281" s="4">
        <v>6.36</v>
      </c>
      <c r="M281" s="19">
        <f t="shared" si="33"/>
        <v>1</v>
      </c>
      <c r="N281" s="19">
        <f t="shared" si="34"/>
        <v>1</v>
      </c>
      <c r="O281" s="19">
        <f t="shared" si="35"/>
        <v>1</v>
      </c>
      <c r="P281" s="19">
        <f t="shared" si="36"/>
        <v>1</v>
      </c>
      <c r="Q281" s="4">
        <v>34</v>
      </c>
      <c r="R281" s="4">
        <v>4</v>
      </c>
      <c r="S281" s="24">
        <v>0</v>
      </c>
      <c r="T281" s="127">
        <v>0</v>
      </c>
      <c r="U281" s="127">
        <v>0</v>
      </c>
      <c r="V281" s="4">
        <v>60</v>
      </c>
      <c r="W281" s="4">
        <v>0</v>
      </c>
      <c r="X281" s="4">
        <v>2</v>
      </c>
      <c r="Y281" s="4">
        <v>0.35</v>
      </c>
      <c r="Z281" s="4">
        <v>3.5</v>
      </c>
      <c r="AA281" s="4">
        <v>0.35</v>
      </c>
      <c r="AB281" s="24">
        <v>0</v>
      </c>
      <c r="AC281" s="24">
        <v>0</v>
      </c>
      <c r="AD281" s="24">
        <v>0</v>
      </c>
      <c r="AE281" s="4" t="s">
        <v>47</v>
      </c>
      <c r="AF281" s="138" t="s">
        <v>42</v>
      </c>
      <c r="AG281" s="118" t="s">
        <v>285</v>
      </c>
      <c r="AI281" s="104">
        <v>798</v>
      </c>
      <c r="AJ281">
        <v>1883</v>
      </c>
    </row>
    <row r="282" spans="2:36" x14ac:dyDescent="0.25">
      <c r="B282" s="24" t="s">
        <v>144</v>
      </c>
      <c r="C282" s="24">
        <v>2</v>
      </c>
      <c r="E282" s="27">
        <v>39567</v>
      </c>
      <c r="F282" s="104">
        <f t="shared" si="32"/>
        <v>2505</v>
      </c>
      <c r="G282" s="25">
        <v>40365</v>
      </c>
      <c r="H282" s="25">
        <v>42072</v>
      </c>
      <c r="I282" s="104">
        <f t="shared" si="31"/>
        <v>798</v>
      </c>
      <c r="J282" s="19">
        <f t="shared" si="37"/>
        <v>1707</v>
      </c>
      <c r="K282" s="83" t="s">
        <v>65</v>
      </c>
      <c r="L282" s="4">
        <v>6.22</v>
      </c>
      <c r="M282" s="19">
        <f t="shared" si="33"/>
        <v>1</v>
      </c>
      <c r="N282" s="19">
        <f t="shared" si="34"/>
        <v>1</v>
      </c>
      <c r="O282" s="19">
        <f t="shared" si="35"/>
        <v>1</v>
      </c>
      <c r="P282" s="19">
        <f t="shared" si="36"/>
        <v>1</v>
      </c>
      <c r="Q282" s="4">
        <v>37</v>
      </c>
      <c r="R282" s="4">
        <v>4</v>
      </c>
      <c r="S282" s="24">
        <v>0</v>
      </c>
      <c r="T282" s="127">
        <v>0</v>
      </c>
      <c r="U282" s="127">
        <v>0</v>
      </c>
      <c r="V282" s="4">
        <v>60</v>
      </c>
      <c r="W282" s="4">
        <v>1</v>
      </c>
      <c r="X282" s="4">
        <v>2</v>
      </c>
      <c r="Y282" s="4">
        <v>0.35</v>
      </c>
      <c r="Z282" s="4">
        <v>3.5</v>
      </c>
      <c r="AA282" s="4">
        <v>0.35</v>
      </c>
      <c r="AB282" s="24">
        <v>0</v>
      </c>
      <c r="AC282" s="24">
        <v>0</v>
      </c>
      <c r="AD282" s="24">
        <v>0</v>
      </c>
      <c r="AE282" s="4" t="s">
        <v>47</v>
      </c>
      <c r="AF282" s="138" t="s">
        <v>42</v>
      </c>
      <c r="AG282" s="118" t="s">
        <v>106</v>
      </c>
      <c r="AI282" s="104">
        <v>1153</v>
      </c>
      <c r="AJ282">
        <v>1883</v>
      </c>
    </row>
    <row r="283" spans="2:36" x14ac:dyDescent="0.25">
      <c r="B283" s="24" t="s">
        <v>144</v>
      </c>
      <c r="C283" s="24">
        <v>2</v>
      </c>
      <c r="D283" s="24"/>
      <c r="E283" s="23">
        <v>39567</v>
      </c>
      <c r="F283" s="104">
        <f t="shared" si="32"/>
        <v>2505</v>
      </c>
      <c r="G283" s="23">
        <v>40720</v>
      </c>
      <c r="H283" s="25">
        <v>42072</v>
      </c>
      <c r="I283" s="104">
        <f t="shared" si="31"/>
        <v>1153</v>
      </c>
      <c r="J283" s="19">
        <f t="shared" si="37"/>
        <v>1352</v>
      </c>
      <c r="K283" s="83" t="s">
        <v>65</v>
      </c>
      <c r="L283" s="24">
        <v>5.61</v>
      </c>
      <c r="M283" s="19">
        <f t="shared" si="33"/>
        <v>1</v>
      </c>
      <c r="N283" s="19">
        <f t="shared" si="34"/>
        <v>1</v>
      </c>
      <c r="O283" s="19">
        <f t="shared" si="35"/>
        <v>1</v>
      </c>
      <c r="P283" s="19">
        <f t="shared" si="36"/>
        <v>1</v>
      </c>
      <c r="Q283" s="24">
        <v>33</v>
      </c>
      <c r="R283" s="24">
        <v>73</v>
      </c>
      <c r="S283" s="24">
        <v>0</v>
      </c>
      <c r="T283" s="129">
        <v>0</v>
      </c>
      <c r="U283" s="129">
        <v>0</v>
      </c>
      <c r="V283" s="4">
        <v>60</v>
      </c>
      <c r="W283" s="24">
        <v>0</v>
      </c>
      <c r="X283" s="24">
        <v>2</v>
      </c>
      <c r="Y283" s="24">
        <v>0.35</v>
      </c>
      <c r="Z283" s="24">
        <v>3.5</v>
      </c>
      <c r="AA283" s="24">
        <v>0.35</v>
      </c>
      <c r="AB283" s="24">
        <v>0</v>
      </c>
      <c r="AC283" s="24">
        <v>0</v>
      </c>
      <c r="AD283" s="24">
        <v>0</v>
      </c>
      <c r="AE283" s="24" t="s">
        <v>47</v>
      </c>
      <c r="AF283" s="114" t="s">
        <v>42</v>
      </c>
      <c r="AG283" s="114" t="s">
        <v>43</v>
      </c>
      <c r="AI283" s="104">
        <v>1400</v>
      </c>
      <c r="AJ283">
        <v>1887</v>
      </c>
    </row>
    <row r="284" spans="2:36" x14ac:dyDescent="0.25">
      <c r="B284" s="24" t="s">
        <v>144</v>
      </c>
      <c r="C284" s="24">
        <v>2</v>
      </c>
      <c r="D284" s="24"/>
      <c r="E284" s="23">
        <v>39567</v>
      </c>
      <c r="F284" s="104">
        <f t="shared" si="32"/>
        <v>2505</v>
      </c>
      <c r="G284" s="23">
        <v>40967</v>
      </c>
      <c r="H284" s="25">
        <v>42072</v>
      </c>
      <c r="I284" s="104">
        <f t="shared" si="31"/>
        <v>1400</v>
      </c>
      <c r="J284" s="19">
        <f t="shared" si="37"/>
        <v>1105</v>
      </c>
      <c r="K284" s="83" t="s">
        <v>65</v>
      </c>
      <c r="L284" s="24">
        <v>5.25</v>
      </c>
      <c r="M284" s="19">
        <f t="shared" si="33"/>
        <v>1</v>
      </c>
      <c r="N284" s="19">
        <f t="shared" si="34"/>
        <v>1</v>
      </c>
      <c r="O284" s="19">
        <f t="shared" si="35"/>
        <v>1</v>
      </c>
      <c r="P284" s="19">
        <f t="shared" si="36"/>
        <v>1</v>
      </c>
      <c r="Q284" s="24">
        <v>33</v>
      </c>
      <c r="R284" s="24">
        <v>75</v>
      </c>
      <c r="S284" s="24">
        <v>0</v>
      </c>
      <c r="T284" s="129">
        <v>0</v>
      </c>
      <c r="U284" s="129">
        <v>0</v>
      </c>
      <c r="V284" s="4">
        <v>60</v>
      </c>
      <c r="W284" s="24">
        <v>0</v>
      </c>
      <c r="X284" s="24">
        <v>2</v>
      </c>
      <c r="Y284" s="24">
        <v>0.35</v>
      </c>
      <c r="Z284" s="24">
        <v>3.5</v>
      </c>
      <c r="AA284" s="24">
        <v>0.35</v>
      </c>
      <c r="AB284" s="24">
        <v>0</v>
      </c>
      <c r="AC284" s="24">
        <v>0</v>
      </c>
      <c r="AD284" s="24">
        <v>0</v>
      </c>
      <c r="AE284" s="24" t="s">
        <v>47</v>
      </c>
      <c r="AF284" s="114" t="s">
        <v>42</v>
      </c>
      <c r="AG284" s="114" t="s">
        <v>43</v>
      </c>
      <c r="AI284" s="104">
        <v>1491</v>
      </c>
      <c r="AJ284">
        <v>1890</v>
      </c>
    </row>
    <row r="285" spans="2:36" x14ac:dyDescent="0.25">
      <c r="B285" s="24" t="s">
        <v>144</v>
      </c>
      <c r="C285" s="24">
        <v>2</v>
      </c>
      <c r="D285" s="24"/>
      <c r="E285" s="23">
        <v>39567</v>
      </c>
      <c r="F285" s="104">
        <f t="shared" si="32"/>
        <v>2505</v>
      </c>
      <c r="G285" s="23">
        <v>41058</v>
      </c>
      <c r="H285" s="25">
        <v>42072</v>
      </c>
      <c r="I285" s="104">
        <f t="shared" si="31"/>
        <v>1491</v>
      </c>
      <c r="J285" s="19">
        <f t="shared" si="37"/>
        <v>1014</v>
      </c>
      <c r="K285" s="83" t="s">
        <v>65</v>
      </c>
      <c r="L285" s="24">
        <v>5.2</v>
      </c>
      <c r="M285" s="19">
        <f t="shared" si="33"/>
        <v>1</v>
      </c>
      <c r="N285" s="19">
        <f t="shared" si="34"/>
        <v>1</v>
      </c>
      <c r="O285" s="19">
        <f t="shared" si="35"/>
        <v>1</v>
      </c>
      <c r="P285" s="19">
        <f t="shared" si="36"/>
        <v>1</v>
      </c>
      <c r="Q285" s="24">
        <v>79</v>
      </c>
      <c r="R285" s="24">
        <v>89</v>
      </c>
      <c r="S285" s="24">
        <v>0</v>
      </c>
      <c r="T285" s="129">
        <v>0</v>
      </c>
      <c r="U285" s="129">
        <v>0</v>
      </c>
      <c r="V285" s="4">
        <v>60</v>
      </c>
      <c r="W285" s="24">
        <v>0</v>
      </c>
      <c r="X285" s="24">
        <v>2</v>
      </c>
      <c r="Y285" s="24">
        <v>0.35</v>
      </c>
      <c r="Z285" s="24">
        <v>3.5</v>
      </c>
      <c r="AA285" s="24">
        <v>0.35</v>
      </c>
      <c r="AB285" s="24">
        <v>0</v>
      </c>
      <c r="AC285" s="24">
        <v>0</v>
      </c>
      <c r="AD285" s="24">
        <v>0</v>
      </c>
      <c r="AE285" s="24" t="s">
        <v>47</v>
      </c>
      <c r="AF285" s="114" t="s">
        <v>42</v>
      </c>
      <c r="AG285" s="114" t="s">
        <v>43</v>
      </c>
      <c r="AI285" s="104">
        <v>1604</v>
      </c>
      <c r="AJ285">
        <v>1890</v>
      </c>
    </row>
    <row r="286" spans="2:36" x14ac:dyDescent="0.25">
      <c r="B286" s="24" t="s">
        <v>144</v>
      </c>
      <c r="C286" s="24">
        <v>2</v>
      </c>
      <c r="D286" s="24"/>
      <c r="E286" s="23">
        <v>39567</v>
      </c>
      <c r="F286" s="104">
        <f t="shared" si="32"/>
        <v>2505</v>
      </c>
      <c r="G286" s="23">
        <v>41171</v>
      </c>
      <c r="H286" s="25">
        <v>42072</v>
      </c>
      <c r="I286" s="104">
        <f t="shared" si="31"/>
        <v>1604</v>
      </c>
      <c r="J286" s="19">
        <f t="shared" si="37"/>
        <v>901</v>
      </c>
      <c r="K286" s="83" t="s">
        <v>65</v>
      </c>
      <c r="L286" s="24">
        <v>5.17</v>
      </c>
      <c r="M286" s="19">
        <f t="shared" si="33"/>
        <v>1</v>
      </c>
      <c r="N286" s="19">
        <f t="shared" si="34"/>
        <v>1</v>
      </c>
      <c r="O286" s="19">
        <f t="shared" si="35"/>
        <v>1</v>
      </c>
      <c r="P286" s="19">
        <f t="shared" si="36"/>
        <v>1</v>
      </c>
      <c r="Q286" s="24">
        <v>59</v>
      </c>
      <c r="R286" s="24">
        <v>96</v>
      </c>
      <c r="S286" s="24">
        <v>0</v>
      </c>
      <c r="T286" s="129">
        <v>0</v>
      </c>
      <c r="U286" s="129">
        <v>0</v>
      </c>
      <c r="V286" s="4">
        <v>60</v>
      </c>
      <c r="W286" s="24">
        <v>0</v>
      </c>
      <c r="X286" s="24">
        <v>2</v>
      </c>
      <c r="Y286" s="24">
        <v>0.35</v>
      </c>
      <c r="Z286" s="24">
        <v>3.5</v>
      </c>
      <c r="AA286" s="24">
        <v>0.35</v>
      </c>
      <c r="AB286" s="24">
        <v>0</v>
      </c>
      <c r="AC286" s="24">
        <v>0</v>
      </c>
      <c r="AD286" s="24">
        <v>0</v>
      </c>
      <c r="AE286" s="24" t="s">
        <v>47</v>
      </c>
      <c r="AF286" s="114" t="s">
        <v>42</v>
      </c>
      <c r="AG286" s="114" t="s">
        <v>43</v>
      </c>
      <c r="AI286" s="104">
        <v>1724</v>
      </c>
      <c r="AJ286">
        <v>1895</v>
      </c>
    </row>
    <row r="287" spans="2:36" x14ac:dyDescent="0.25">
      <c r="B287" s="24" t="s">
        <v>144</v>
      </c>
      <c r="C287" s="24">
        <v>2</v>
      </c>
      <c r="D287" s="24"/>
      <c r="E287" s="23">
        <v>39567</v>
      </c>
      <c r="F287" s="104">
        <f t="shared" si="32"/>
        <v>2505</v>
      </c>
      <c r="G287" s="23">
        <v>41291</v>
      </c>
      <c r="H287" s="25">
        <v>42072</v>
      </c>
      <c r="I287" s="104">
        <f t="shared" si="31"/>
        <v>1724</v>
      </c>
      <c r="J287" s="19">
        <f t="shared" si="37"/>
        <v>781</v>
      </c>
      <c r="K287" s="83" t="s">
        <v>65</v>
      </c>
      <c r="L287" s="24">
        <v>5.14</v>
      </c>
      <c r="M287" s="19">
        <f t="shared" si="33"/>
        <v>1</v>
      </c>
      <c r="N287" s="19">
        <f t="shared" si="34"/>
        <v>1</v>
      </c>
      <c r="O287" s="19">
        <f t="shared" si="35"/>
        <v>1</v>
      </c>
      <c r="P287" s="19">
        <f t="shared" si="36"/>
        <v>1</v>
      </c>
      <c r="Q287" s="24">
        <v>49</v>
      </c>
      <c r="R287" s="24">
        <v>95</v>
      </c>
      <c r="S287" s="24">
        <v>0</v>
      </c>
      <c r="T287" s="129">
        <v>0</v>
      </c>
      <c r="U287" s="129">
        <v>0</v>
      </c>
      <c r="V287" s="4">
        <v>60</v>
      </c>
      <c r="W287" s="24">
        <v>0</v>
      </c>
      <c r="X287" s="24">
        <v>2</v>
      </c>
      <c r="Y287" s="24">
        <v>0.35</v>
      </c>
      <c r="Z287" s="24">
        <v>3.5</v>
      </c>
      <c r="AA287" s="24">
        <v>0.35</v>
      </c>
      <c r="AB287" s="24">
        <v>0</v>
      </c>
      <c r="AC287" s="24">
        <v>0</v>
      </c>
      <c r="AD287" s="24">
        <v>0</v>
      </c>
      <c r="AE287" s="24" t="s">
        <v>47</v>
      </c>
      <c r="AF287" s="114" t="s">
        <v>42</v>
      </c>
      <c r="AG287" s="114" t="s">
        <v>43</v>
      </c>
      <c r="AI287" s="104">
        <v>1785</v>
      </c>
      <c r="AJ287">
        <v>1897</v>
      </c>
    </row>
    <row r="288" spans="2:36" x14ac:dyDescent="0.25">
      <c r="B288" s="24" t="s">
        <v>144</v>
      </c>
      <c r="C288" s="24">
        <v>2</v>
      </c>
      <c r="D288" s="24"/>
      <c r="E288" s="23">
        <v>39567</v>
      </c>
      <c r="F288" s="104">
        <f t="shared" si="32"/>
        <v>2505</v>
      </c>
      <c r="G288" s="25">
        <v>41352</v>
      </c>
      <c r="H288" s="25">
        <v>42072</v>
      </c>
      <c r="I288" s="104">
        <f t="shared" si="31"/>
        <v>1785</v>
      </c>
      <c r="J288" s="19">
        <f t="shared" si="37"/>
        <v>720</v>
      </c>
      <c r="K288" s="83" t="s">
        <v>65</v>
      </c>
      <c r="L288" s="4">
        <v>5.14</v>
      </c>
      <c r="M288" s="19">
        <f t="shared" si="33"/>
        <v>1</v>
      </c>
      <c r="N288" s="19">
        <f t="shared" si="34"/>
        <v>1</v>
      </c>
      <c r="O288" s="19">
        <f t="shared" si="35"/>
        <v>1</v>
      </c>
      <c r="P288" s="19">
        <f t="shared" si="36"/>
        <v>1</v>
      </c>
      <c r="Q288" s="4">
        <v>39</v>
      </c>
      <c r="R288" s="4">
        <v>75</v>
      </c>
      <c r="S288" s="24">
        <v>0</v>
      </c>
      <c r="T288" s="129">
        <v>0</v>
      </c>
      <c r="U288" s="129">
        <v>0</v>
      </c>
      <c r="V288" s="4">
        <v>60</v>
      </c>
      <c r="W288" s="24">
        <v>0</v>
      </c>
      <c r="X288" s="24">
        <v>2</v>
      </c>
      <c r="Y288" s="24">
        <v>0.35</v>
      </c>
      <c r="Z288" s="24">
        <v>3.5</v>
      </c>
      <c r="AA288" s="24">
        <v>0.35</v>
      </c>
      <c r="AB288" s="24">
        <v>0</v>
      </c>
      <c r="AC288" s="24">
        <v>0</v>
      </c>
      <c r="AD288" s="24">
        <v>0</v>
      </c>
      <c r="AE288" s="24" t="s">
        <v>47</v>
      </c>
      <c r="AF288" s="114" t="s">
        <v>42</v>
      </c>
      <c r="AG288" s="114" t="s">
        <v>43</v>
      </c>
      <c r="AI288" s="104">
        <v>1861</v>
      </c>
      <c r="AJ288">
        <v>1904</v>
      </c>
    </row>
    <row r="289" spans="2:36" x14ac:dyDescent="0.25">
      <c r="B289" s="24" t="s">
        <v>144</v>
      </c>
      <c r="C289" s="24">
        <v>2</v>
      </c>
      <c r="D289" s="24"/>
      <c r="E289" s="23">
        <v>39567</v>
      </c>
      <c r="F289" s="104">
        <f t="shared" si="32"/>
        <v>2505</v>
      </c>
      <c r="G289" s="27">
        <v>41428</v>
      </c>
      <c r="H289" s="25">
        <v>42072</v>
      </c>
      <c r="I289" s="104">
        <f t="shared" si="31"/>
        <v>1861</v>
      </c>
      <c r="J289" s="19">
        <f t="shared" si="37"/>
        <v>644</v>
      </c>
      <c r="K289" s="83" t="s">
        <v>65</v>
      </c>
      <c r="L289" s="24">
        <v>5.14</v>
      </c>
      <c r="M289" s="19">
        <f t="shared" si="33"/>
        <v>1</v>
      </c>
      <c r="N289" s="19">
        <f t="shared" si="34"/>
        <v>1</v>
      </c>
      <c r="O289" s="19">
        <f t="shared" si="35"/>
        <v>1</v>
      </c>
      <c r="P289" s="19">
        <f t="shared" si="36"/>
        <v>1</v>
      </c>
      <c r="Q289" s="24">
        <v>53</v>
      </c>
      <c r="R289" s="24">
        <v>90</v>
      </c>
      <c r="S289" s="24">
        <v>0</v>
      </c>
      <c r="T289" s="129">
        <v>0</v>
      </c>
      <c r="U289" s="129">
        <v>0</v>
      </c>
      <c r="V289" s="4">
        <v>60</v>
      </c>
      <c r="W289" s="24">
        <v>0</v>
      </c>
      <c r="X289" s="24">
        <v>2</v>
      </c>
      <c r="Y289" s="24">
        <v>0.35</v>
      </c>
      <c r="Z289" s="24">
        <v>2.5</v>
      </c>
      <c r="AA289" s="24">
        <v>0.35</v>
      </c>
      <c r="AB289" s="24">
        <v>0</v>
      </c>
      <c r="AC289" s="24">
        <v>0</v>
      </c>
      <c r="AD289" s="24">
        <v>0</v>
      </c>
      <c r="AE289" s="24" t="s">
        <v>47</v>
      </c>
      <c r="AF289" s="114" t="s">
        <v>42</v>
      </c>
      <c r="AG289" s="114" t="s">
        <v>43</v>
      </c>
      <c r="AI289" s="104">
        <v>1961</v>
      </c>
      <c r="AJ289">
        <v>1908</v>
      </c>
    </row>
    <row r="290" spans="2:36" x14ac:dyDescent="0.25">
      <c r="B290" s="24" t="s">
        <v>144</v>
      </c>
      <c r="C290" s="24">
        <v>2</v>
      </c>
      <c r="D290" s="24"/>
      <c r="E290" s="23">
        <v>39567</v>
      </c>
      <c r="F290" s="104">
        <f t="shared" si="32"/>
        <v>2505</v>
      </c>
      <c r="G290" s="27">
        <v>41528</v>
      </c>
      <c r="H290" s="25">
        <v>42072</v>
      </c>
      <c r="I290" s="104">
        <f t="shared" si="31"/>
        <v>1961</v>
      </c>
      <c r="J290" s="19">
        <f t="shared" si="37"/>
        <v>544</v>
      </c>
      <c r="K290" s="83" t="s">
        <v>65</v>
      </c>
      <c r="L290" s="24">
        <v>5.13</v>
      </c>
      <c r="M290" s="19">
        <f t="shared" si="33"/>
        <v>1</v>
      </c>
      <c r="N290" s="19">
        <f t="shared" si="34"/>
        <v>1</v>
      </c>
      <c r="O290" s="19">
        <f t="shared" si="35"/>
        <v>1</v>
      </c>
      <c r="P290" s="19">
        <f t="shared" si="36"/>
        <v>1</v>
      </c>
      <c r="Q290" s="24">
        <v>55</v>
      </c>
      <c r="R290" s="24">
        <v>94</v>
      </c>
      <c r="S290" s="24">
        <v>0</v>
      </c>
      <c r="T290" s="129">
        <v>0</v>
      </c>
      <c r="U290" s="129">
        <v>0</v>
      </c>
      <c r="V290" s="4">
        <v>60</v>
      </c>
      <c r="W290" s="24">
        <v>0</v>
      </c>
      <c r="X290" s="24">
        <v>2</v>
      </c>
      <c r="Y290" s="24">
        <v>0.35</v>
      </c>
      <c r="Z290" s="24">
        <v>2.5</v>
      </c>
      <c r="AA290" s="24">
        <v>0.35</v>
      </c>
      <c r="AB290" s="24">
        <v>0</v>
      </c>
      <c r="AC290" s="24">
        <v>0</v>
      </c>
      <c r="AD290" s="24">
        <v>0</v>
      </c>
      <c r="AE290" s="24" t="s">
        <v>47</v>
      </c>
      <c r="AF290" s="114" t="s">
        <v>42</v>
      </c>
      <c r="AG290" s="114" t="s">
        <v>43</v>
      </c>
      <c r="AI290" s="104">
        <v>2149</v>
      </c>
      <c r="AJ290">
        <v>1911</v>
      </c>
    </row>
    <row r="291" spans="2:36" x14ac:dyDescent="0.25">
      <c r="B291" s="24" t="s">
        <v>144</v>
      </c>
      <c r="C291" s="24">
        <v>2</v>
      </c>
      <c r="D291" s="24"/>
      <c r="E291" s="23">
        <v>39567</v>
      </c>
      <c r="F291" s="104">
        <f t="shared" si="32"/>
        <v>2505</v>
      </c>
      <c r="G291" s="27">
        <v>41716</v>
      </c>
      <c r="H291" s="25">
        <v>42072</v>
      </c>
      <c r="I291" s="104">
        <f t="shared" si="31"/>
        <v>2149</v>
      </c>
      <c r="J291" s="19">
        <f t="shared" si="37"/>
        <v>356</v>
      </c>
      <c r="K291" s="83" t="s">
        <v>65</v>
      </c>
      <c r="L291" s="24">
        <v>5.08</v>
      </c>
      <c r="M291" s="19">
        <f t="shared" si="33"/>
        <v>0</v>
      </c>
      <c r="N291" s="19">
        <f t="shared" si="34"/>
        <v>0</v>
      </c>
      <c r="O291" s="19">
        <f t="shared" si="35"/>
        <v>1</v>
      </c>
      <c r="P291" s="19">
        <f t="shared" si="36"/>
        <v>1</v>
      </c>
      <c r="Q291" s="24">
        <v>41</v>
      </c>
      <c r="R291" s="24">
        <v>96</v>
      </c>
      <c r="S291" s="24">
        <v>0</v>
      </c>
      <c r="T291" s="129">
        <v>0</v>
      </c>
      <c r="U291" s="129">
        <v>0</v>
      </c>
      <c r="V291" s="4">
        <v>60</v>
      </c>
      <c r="W291" s="24">
        <v>0</v>
      </c>
      <c r="X291" s="24">
        <v>2</v>
      </c>
      <c r="Y291" s="24">
        <v>0.35</v>
      </c>
      <c r="Z291" s="24">
        <v>2.5</v>
      </c>
      <c r="AA291" s="24">
        <v>0.35</v>
      </c>
      <c r="AB291" s="24">
        <v>0</v>
      </c>
      <c r="AC291" s="24">
        <v>0</v>
      </c>
      <c r="AD291" s="24">
        <v>0</v>
      </c>
      <c r="AE291" s="24" t="s">
        <v>47</v>
      </c>
      <c r="AF291" s="114" t="s">
        <v>42</v>
      </c>
      <c r="AG291" s="114" t="s">
        <v>43</v>
      </c>
      <c r="AI291" s="104">
        <v>2197</v>
      </c>
      <c r="AJ291">
        <v>1918</v>
      </c>
    </row>
    <row r="292" spans="2:36" x14ac:dyDescent="0.25">
      <c r="B292" s="24" t="s">
        <v>144</v>
      </c>
      <c r="C292" s="24">
        <v>2</v>
      </c>
      <c r="D292" s="24"/>
      <c r="E292" s="23">
        <v>39567</v>
      </c>
      <c r="F292" s="104">
        <f t="shared" si="32"/>
        <v>2505</v>
      </c>
      <c r="G292" s="27">
        <v>41764</v>
      </c>
      <c r="H292" s="25">
        <v>42072</v>
      </c>
      <c r="I292" s="104">
        <f t="shared" si="31"/>
        <v>2197</v>
      </c>
      <c r="J292" s="19">
        <f t="shared" si="37"/>
        <v>308</v>
      </c>
      <c r="K292" s="83" t="s">
        <v>65</v>
      </c>
      <c r="L292" s="24">
        <v>5.07</v>
      </c>
      <c r="M292" s="19">
        <f t="shared" si="33"/>
        <v>0</v>
      </c>
      <c r="N292" s="19">
        <f t="shared" si="34"/>
        <v>0</v>
      </c>
      <c r="O292" s="19">
        <f t="shared" si="35"/>
        <v>1</v>
      </c>
      <c r="P292" s="19">
        <f t="shared" si="36"/>
        <v>1</v>
      </c>
      <c r="Q292" s="24">
        <v>0</v>
      </c>
      <c r="R292" s="24">
        <v>56</v>
      </c>
      <c r="S292" s="24">
        <v>0</v>
      </c>
      <c r="T292" s="129">
        <v>0</v>
      </c>
      <c r="U292" s="129">
        <v>0</v>
      </c>
      <c r="V292" s="4">
        <v>60</v>
      </c>
      <c r="W292" s="24">
        <v>1</v>
      </c>
      <c r="X292" s="24">
        <v>2</v>
      </c>
      <c r="Y292" s="24">
        <v>0.35</v>
      </c>
      <c r="Z292" s="24">
        <v>2.5</v>
      </c>
      <c r="AA292" s="24">
        <v>0.35</v>
      </c>
      <c r="AB292" s="24">
        <v>0</v>
      </c>
      <c r="AC292" s="24">
        <v>0</v>
      </c>
      <c r="AD292" s="24">
        <v>0</v>
      </c>
      <c r="AE292" s="24" t="s">
        <v>47</v>
      </c>
      <c r="AF292" s="114" t="s">
        <v>42</v>
      </c>
      <c r="AG292" s="114" t="s">
        <v>28</v>
      </c>
      <c r="AI292" s="104">
        <v>2381</v>
      </c>
      <c r="AJ292">
        <v>1920</v>
      </c>
    </row>
    <row r="293" spans="2:36" x14ac:dyDescent="0.25">
      <c r="B293" s="24" t="s">
        <v>144</v>
      </c>
      <c r="C293" s="24">
        <v>2</v>
      </c>
      <c r="D293" s="24"/>
      <c r="E293" s="23">
        <v>39567</v>
      </c>
      <c r="F293" s="104">
        <f t="shared" si="32"/>
        <v>2505</v>
      </c>
      <c r="G293" s="27">
        <v>41948</v>
      </c>
      <c r="H293" s="25">
        <v>42072</v>
      </c>
      <c r="I293" s="104">
        <f t="shared" si="31"/>
        <v>2381</v>
      </c>
      <c r="J293" s="19">
        <f t="shared" si="37"/>
        <v>124</v>
      </c>
      <c r="K293" s="83" t="s">
        <v>65</v>
      </c>
      <c r="L293" s="24">
        <v>4.97</v>
      </c>
      <c r="M293" s="19">
        <f t="shared" si="33"/>
        <v>0</v>
      </c>
      <c r="N293" s="19">
        <f t="shared" si="34"/>
        <v>0</v>
      </c>
      <c r="O293" s="19">
        <f t="shared" si="35"/>
        <v>0</v>
      </c>
      <c r="P293" s="19">
        <f t="shared" si="36"/>
        <v>1</v>
      </c>
      <c r="Q293" s="24">
        <v>0</v>
      </c>
      <c r="R293" s="24">
        <f>54+42</f>
        <v>96</v>
      </c>
      <c r="S293" s="24">
        <v>0</v>
      </c>
      <c r="T293" s="129">
        <v>0</v>
      </c>
      <c r="U293" s="129">
        <v>0</v>
      </c>
      <c r="V293" s="4">
        <v>60</v>
      </c>
      <c r="W293" s="24">
        <v>1</v>
      </c>
      <c r="X293" s="24">
        <v>2</v>
      </c>
      <c r="Y293" s="24">
        <v>0.35</v>
      </c>
      <c r="Z293" s="24">
        <v>2.5</v>
      </c>
      <c r="AA293" s="24">
        <v>0.35</v>
      </c>
      <c r="AB293" s="24">
        <v>0</v>
      </c>
      <c r="AC293" s="24">
        <v>0</v>
      </c>
      <c r="AD293" s="24">
        <v>0</v>
      </c>
      <c r="AE293" s="24" t="s">
        <v>47</v>
      </c>
      <c r="AF293" s="114" t="s">
        <v>42</v>
      </c>
      <c r="AG293" s="114" t="s">
        <v>28</v>
      </c>
      <c r="AI293" s="104">
        <v>2498</v>
      </c>
      <c r="AJ293">
        <v>1929</v>
      </c>
    </row>
    <row r="294" spans="2:36" x14ac:dyDescent="0.25">
      <c r="B294" s="24" t="s">
        <v>144</v>
      </c>
      <c r="C294" s="24">
        <v>2</v>
      </c>
      <c r="E294" s="27">
        <v>39567</v>
      </c>
      <c r="F294" s="104">
        <f t="shared" si="32"/>
        <v>2505</v>
      </c>
      <c r="G294" s="25">
        <v>42065</v>
      </c>
      <c r="H294" s="25">
        <v>42072</v>
      </c>
      <c r="I294" s="104">
        <f t="shared" si="31"/>
        <v>2498</v>
      </c>
      <c r="J294" s="19">
        <f t="shared" si="37"/>
        <v>7</v>
      </c>
      <c r="K294" s="83" t="s">
        <v>65</v>
      </c>
      <c r="L294" s="4">
        <v>4.74</v>
      </c>
      <c r="M294" s="19">
        <f t="shared" si="33"/>
        <v>0</v>
      </c>
      <c r="N294" s="19">
        <f t="shared" si="34"/>
        <v>0</v>
      </c>
      <c r="O294" s="19">
        <f t="shared" si="35"/>
        <v>0</v>
      </c>
      <c r="P294" s="19">
        <f t="shared" si="36"/>
        <v>0</v>
      </c>
      <c r="Q294" s="24">
        <v>0</v>
      </c>
      <c r="R294" s="4">
        <f>54+41</f>
        <v>95</v>
      </c>
      <c r="S294" s="24">
        <v>0</v>
      </c>
      <c r="T294" s="125">
        <v>0</v>
      </c>
      <c r="U294" s="125">
        <v>0</v>
      </c>
      <c r="V294" s="4">
        <v>60</v>
      </c>
      <c r="W294" s="4">
        <v>1</v>
      </c>
      <c r="X294" s="24">
        <v>0</v>
      </c>
      <c r="Y294" s="24">
        <v>0</v>
      </c>
      <c r="Z294" s="4">
        <v>2.5</v>
      </c>
      <c r="AA294" s="4">
        <v>0.35</v>
      </c>
      <c r="AB294" s="24">
        <v>0</v>
      </c>
      <c r="AC294" s="24">
        <v>0</v>
      </c>
      <c r="AD294" s="24">
        <v>0</v>
      </c>
      <c r="AE294" s="4" t="s">
        <v>47</v>
      </c>
      <c r="AF294" s="118" t="s">
        <v>42</v>
      </c>
      <c r="AG294" s="118">
        <v>1</v>
      </c>
      <c r="AI294" s="104">
        <v>2505</v>
      </c>
      <c r="AJ294">
        <v>1933</v>
      </c>
    </row>
    <row r="295" spans="2:36" x14ac:dyDescent="0.25">
      <c r="B295" s="24" t="s">
        <v>144</v>
      </c>
      <c r="C295" s="24">
        <v>2</v>
      </c>
      <c r="E295" s="27">
        <v>39567</v>
      </c>
      <c r="F295" s="104">
        <f t="shared" si="32"/>
        <v>2505</v>
      </c>
      <c r="G295" s="25">
        <v>42072</v>
      </c>
      <c r="H295" s="25">
        <v>42072</v>
      </c>
      <c r="I295" s="104">
        <f t="shared" si="31"/>
        <v>2505</v>
      </c>
      <c r="J295" s="19">
        <f t="shared" si="37"/>
        <v>0</v>
      </c>
      <c r="K295" s="83" t="s">
        <v>65</v>
      </c>
      <c r="L295" s="4">
        <v>4.74</v>
      </c>
      <c r="M295" s="19">
        <f t="shared" si="33"/>
        <v>0</v>
      </c>
      <c r="N295" s="19">
        <f t="shared" si="34"/>
        <v>0</v>
      </c>
      <c r="O295" s="19">
        <f t="shared" si="35"/>
        <v>0</v>
      </c>
      <c r="P295" s="19">
        <f t="shared" si="36"/>
        <v>0</v>
      </c>
      <c r="Q295" s="24">
        <v>0</v>
      </c>
      <c r="R295" s="4">
        <f>55+42</f>
        <v>97</v>
      </c>
      <c r="S295" s="24">
        <v>0</v>
      </c>
      <c r="T295" s="125">
        <v>0</v>
      </c>
      <c r="U295" s="125">
        <v>0</v>
      </c>
      <c r="V295" s="4">
        <v>60</v>
      </c>
      <c r="W295" s="4">
        <v>1</v>
      </c>
      <c r="X295" s="24">
        <v>0</v>
      </c>
      <c r="Y295" s="24">
        <v>0</v>
      </c>
      <c r="Z295" s="4">
        <v>2.5</v>
      </c>
      <c r="AA295" s="4">
        <v>0.35</v>
      </c>
      <c r="AB295" s="24">
        <v>0</v>
      </c>
      <c r="AC295" s="24">
        <v>0</v>
      </c>
      <c r="AD295" s="24">
        <v>0</v>
      </c>
      <c r="AE295" s="4" t="s">
        <v>47</v>
      </c>
      <c r="AF295" s="118" t="s">
        <v>42</v>
      </c>
      <c r="AG295" s="118">
        <v>1</v>
      </c>
      <c r="AI295" s="104">
        <v>476</v>
      </c>
      <c r="AJ295">
        <v>1934</v>
      </c>
    </row>
    <row r="296" spans="2:36" hidden="1" x14ac:dyDescent="0.25">
      <c r="B296" s="24" t="s">
        <v>49</v>
      </c>
      <c r="C296" s="24">
        <v>2</v>
      </c>
      <c r="E296" s="27">
        <v>39630</v>
      </c>
      <c r="F296" s="104">
        <f t="shared" si="32"/>
        <v>2505</v>
      </c>
      <c r="G296" s="25">
        <v>40106</v>
      </c>
      <c r="H296" s="25">
        <v>42135</v>
      </c>
      <c r="I296" s="104">
        <f t="shared" si="31"/>
        <v>476</v>
      </c>
      <c r="J296" s="19">
        <f t="shared" si="37"/>
        <v>2029</v>
      </c>
      <c r="K296" t="s">
        <v>69</v>
      </c>
      <c r="L296" s="24">
        <v>6.4</v>
      </c>
      <c r="M296" s="19">
        <f t="shared" si="33"/>
        <v>1</v>
      </c>
      <c r="N296" s="19">
        <f t="shared" si="34"/>
        <v>1</v>
      </c>
      <c r="O296" s="19">
        <f t="shared" si="35"/>
        <v>1</v>
      </c>
      <c r="P296" s="19">
        <f t="shared" si="36"/>
        <v>1</v>
      </c>
      <c r="Q296" s="24">
        <v>0</v>
      </c>
      <c r="R296" s="24">
        <v>0</v>
      </c>
      <c r="S296" s="24">
        <v>0</v>
      </c>
      <c r="T296" s="127">
        <v>0</v>
      </c>
      <c r="U296" s="127">
        <v>0</v>
      </c>
      <c r="V296" s="4">
        <v>60</v>
      </c>
      <c r="W296" s="24">
        <v>0</v>
      </c>
      <c r="X296" s="24">
        <v>3.5</v>
      </c>
      <c r="Y296" s="24">
        <v>0.35</v>
      </c>
      <c r="Z296" s="24">
        <v>3.5</v>
      </c>
      <c r="AA296" s="24">
        <v>0.35</v>
      </c>
      <c r="AB296" s="24">
        <v>0</v>
      </c>
      <c r="AC296" s="24">
        <v>0</v>
      </c>
      <c r="AD296" s="24">
        <v>0</v>
      </c>
      <c r="AE296" s="24" t="s">
        <v>47</v>
      </c>
      <c r="AF296" s="138" t="s">
        <v>42</v>
      </c>
      <c r="AG296" s="114" t="s">
        <v>268</v>
      </c>
      <c r="AI296" s="104">
        <v>658</v>
      </c>
      <c r="AJ296">
        <v>1937</v>
      </c>
    </row>
    <row r="297" spans="2:36" hidden="1" x14ac:dyDescent="0.25">
      <c r="B297" s="24" t="s">
        <v>49</v>
      </c>
      <c r="C297" s="24">
        <v>2</v>
      </c>
      <c r="E297" s="27">
        <v>39630</v>
      </c>
      <c r="F297" s="104">
        <f t="shared" si="32"/>
        <v>2505</v>
      </c>
      <c r="G297" s="25">
        <v>40288</v>
      </c>
      <c r="H297" s="25">
        <v>42135</v>
      </c>
      <c r="I297" s="104">
        <f t="shared" si="31"/>
        <v>658</v>
      </c>
      <c r="J297" s="19">
        <f t="shared" si="37"/>
        <v>1847</v>
      </c>
      <c r="K297" t="s">
        <v>69</v>
      </c>
      <c r="L297" s="4">
        <v>6.36</v>
      </c>
      <c r="M297" s="19">
        <f t="shared" si="33"/>
        <v>1</v>
      </c>
      <c r="N297" s="19">
        <f t="shared" si="34"/>
        <v>1</v>
      </c>
      <c r="O297" s="19">
        <f t="shared" si="35"/>
        <v>1</v>
      </c>
      <c r="P297" s="19">
        <f t="shared" si="36"/>
        <v>1</v>
      </c>
      <c r="Q297" s="4">
        <v>0</v>
      </c>
      <c r="R297" s="4">
        <v>0</v>
      </c>
      <c r="S297" s="24">
        <v>0</v>
      </c>
      <c r="T297" s="125">
        <v>0</v>
      </c>
      <c r="U297" s="125">
        <v>1</v>
      </c>
      <c r="V297" s="4">
        <v>60</v>
      </c>
      <c r="W297" s="24">
        <v>0</v>
      </c>
      <c r="X297" s="24">
        <v>2</v>
      </c>
      <c r="Y297" s="24">
        <v>0.35</v>
      </c>
      <c r="Z297" s="24">
        <v>3</v>
      </c>
      <c r="AA297" s="24">
        <v>0.35</v>
      </c>
      <c r="AB297" s="24">
        <v>0</v>
      </c>
      <c r="AC297" s="24">
        <v>0</v>
      </c>
      <c r="AD297" s="24">
        <v>0</v>
      </c>
      <c r="AE297" s="24" t="s">
        <v>47</v>
      </c>
      <c r="AF297" s="118" t="s">
        <v>46</v>
      </c>
      <c r="AG297" s="114" t="s">
        <v>268</v>
      </c>
      <c r="AI297" s="104">
        <v>854</v>
      </c>
      <c r="AJ297">
        <v>1938</v>
      </c>
    </row>
    <row r="298" spans="2:36" hidden="1" x14ac:dyDescent="0.25">
      <c r="B298" s="24" t="s">
        <v>49</v>
      </c>
      <c r="C298" s="24">
        <v>2</v>
      </c>
      <c r="E298" s="27">
        <v>39630</v>
      </c>
      <c r="F298" s="104">
        <f t="shared" si="32"/>
        <v>2505</v>
      </c>
      <c r="G298" s="25">
        <v>40484</v>
      </c>
      <c r="H298" s="25">
        <v>42135</v>
      </c>
      <c r="I298" s="104">
        <f t="shared" si="31"/>
        <v>854</v>
      </c>
      <c r="J298" s="19">
        <f t="shared" si="37"/>
        <v>1651</v>
      </c>
      <c r="K298" t="s">
        <v>69</v>
      </c>
      <c r="L298" s="4">
        <v>6.26</v>
      </c>
      <c r="M298" s="19">
        <f t="shared" si="33"/>
        <v>1</v>
      </c>
      <c r="N298" s="19">
        <f t="shared" si="34"/>
        <v>1</v>
      </c>
      <c r="O298" s="19">
        <f t="shared" si="35"/>
        <v>1</v>
      </c>
      <c r="P298" s="19">
        <f t="shared" si="36"/>
        <v>1</v>
      </c>
      <c r="Q298" s="24">
        <v>0</v>
      </c>
      <c r="R298" s="24">
        <v>0</v>
      </c>
      <c r="S298" s="24">
        <v>0</v>
      </c>
      <c r="T298" s="127">
        <v>0</v>
      </c>
      <c r="U298" s="127">
        <v>0</v>
      </c>
      <c r="V298" s="4">
        <v>60</v>
      </c>
      <c r="W298" s="24">
        <v>0</v>
      </c>
      <c r="X298" s="24">
        <v>2</v>
      </c>
      <c r="Y298" s="24">
        <v>0.35</v>
      </c>
      <c r="Z298" s="24">
        <v>3</v>
      </c>
      <c r="AA298" s="24">
        <v>0.35</v>
      </c>
      <c r="AB298" s="24">
        <v>0</v>
      </c>
      <c r="AC298" s="24">
        <v>0</v>
      </c>
      <c r="AD298" s="24">
        <v>0</v>
      </c>
      <c r="AE298" s="24" t="s">
        <v>47</v>
      </c>
      <c r="AF298" s="138" t="s">
        <v>42</v>
      </c>
      <c r="AG298" s="114" t="s">
        <v>268</v>
      </c>
      <c r="AI298" s="104">
        <v>1036</v>
      </c>
      <c r="AJ298">
        <v>1944</v>
      </c>
    </row>
    <row r="299" spans="2:36" hidden="1" x14ac:dyDescent="0.25">
      <c r="B299" s="4" t="s">
        <v>49</v>
      </c>
      <c r="C299" s="4">
        <v>2</v>
      </c>
      <c r="E299" s="13">
        <v>39630</v>
      </c>
      <c r="F299" s="104">
        <f t="shared" si="32"/>
        <v>2505</v>
      </c>
      <c r="G299" s="13">
        <v>40666</v>
      </c>
      <c r="H299" s="25">
        <v>42135</v>
      </c>
      <c r="I299" s="104">
        <f t="shared" si="31"/>
        <v>1036</v>
      </c>
      <c r="J299" s="19">
        <f t="shared" si="37"/>
        <v>1469</v>
      </c>
      <c r="K299" t="s">
        <v>69</v>
      </c>
      <c r="L299" s="4">
        <v>6.1</v>
      </c>
      <c r="M299" s="19">
        <f t="shared" si="33"/>
        <v>1</v>
      </c>
      <c r="N299" s="19">
        <f t="shared" si="34"/>
        <v>1</v>
      </c>
      <c r="O299" s="19">
        <f t="shared" si="35"/>
        <v>1</v>
      </c>
      <c r="P299" s="19">
        <f t="shared" si="36"/>
        <v>1</v>
      </c>
      <c r="Q299" s="4">
        <v>0</v>
      </c>
      <c r="R299" s="4">
        <v>0</v>
      </c>
      <c r="S299" s="24">
        <v>0</v>
      </c>
      <c r="T299" s="125">
        <v>0</v>
      </c>
      <c r="U299" s="125">
        <v>0</v>
      </c>
      <c r="V299" s="4">
        <v>60</v>
      </c>
      <c r="W299" s="4">
        <v>0</v>
      </c>
      <c r="X299" s="4">
        <v>2</v>
      </c>
      <c r="Y299" s="4">
        <v>0.35</v>
      </c>
      <c r="Z299" s="4">
        <v>3</v>
      </c>
      <c r="AA299" s="4">
        <v>0.35</v>
      </c>
      <c r="AB299" s="24">
        <v>0</v>
      </c>
      <c r="AC299" s="24">
        <v>0</v>
      </c>
      <c r="AD299" s="24">
        <v>0</v>
      </c>
      <c r="AE299" s="4" t="s">
        <v>47</v>
      </c>
      <c r="AF299" s="118" t="s">
        <v>42</v>
      </c>
      <c r="AG299" s="118" t="s">
        <v>48</v>
      </c>
      <c r="AI299" s="104">
        <v>1239</v>
      </c>
      <c r="AJ299">
        <v>1945</v>
      </c>
    </row>
    <row r="300" spans="2:36" hidden="1" x14ac:dyDescent="0.25">
      <c r="B300" s="4" t="s">
        <v>49</v>
      </c>
      <c r="C300" s="4">
        <v>2</v>
      </c>
      <c r="E300" s="13">
        <v>39630</v>
      </c>
      <c r="F300" s="104">
        <f t="shared" si="32"/>
        <v>2505</v>
      </c>
      <c r="G300" s="13">
        <v>40869</v>
      </c>
      <c r="H300" s="25">
        <v>42135</v>
      </c>
      <c r="I300" s="104">
        <f t="shared" si="31"/>
        <v>1239</v>
      </c>
      <c r="J300" s="19">
        <f t="shared" si="37"/>
        <v>1266</v>
      </c>
      <c r="K300" t="s">
        <v>69</v>
      </c>
      <c r="L300" s="4">
        <v>5.88</v>
      </c>
      <c r="M300" s="19">
        <f t="shared" si="33"/>
        <v>1</v>
      </c>
      <c r="N300" s="19">
        <f t="shared" si="34"/>
        <v>1</v>
      </c>
      <c r="O300" s="19">
        <f t="shared" si="35"/>
        <v>1</v>
      </c>
      <c r="P300" s="19">
        <f t="shared" si="36"/>
        <v>1</v>
      </c>
      <c r="Q300" s="4">
        <v>1</v>
      </c>
      <c r="R300" s="24">
        <v>0</v>
      </c>
      <c r="S300" s="24">
        <v>0</v>
      </c>
      <c r="T300" s="125">
        <v>0</v>
      </c>
      <c r="U300" s="125">
        <v>1</v>
      </c>
      <c r="V300" s="4">
        <v>60</v>
      </c>
      <c r="W300" s="4">
        <v>0</v>
      </c>
      <c r="X300" s="4">
        <v>2</v>
      </c>
      <c r="Y300" s="4">
        <v>0.35</v>
      </c>
      <c r="Z300" s="4">
        <v>3</v>
      </c>
      <c r="AA300" s="4">
        <v>0.35</v>
      </c>
      <c r="AB300" s="24">
        <v>0</v>
      </c>
      <c r="AC300" s="24">
        <v>0</v>
      </c>
      <c r="AD300" s="24">
        <v>0</v>
      </c>
      <c r="AE300" s="4" t="s">
        <v>47</v>
      </c>
      <c r="AF300" s="118" t="s">
        <v>46</v>
      </c>
      <c r="AG300" s="118" t="s">
        <v>48</v>
      </c>
      <c r="AI300" s="104">
        <v>1428</v>
      </c>
      <c r="AJ300">
        <v>1946</v>
      </c>
    </row>
    <row r="301" spans="2:36" hidden="1" x14ac:dyDescent="0.25">
      <c r="B301" s="4" t="s">
        <v>49</v>
      </c>
      <c r="C301" s="4">
        <v>2</v>
      </c>
      <c r="E301" s="13">
        <v>39630</v>
      </c>
      <c r="F301" s="104">
        <f t="shared" si="32"/>
        <v>2505</v>
      </c>
      <c r="G301" s="13">
        <v>41058</v>
      </c>
      <c r="H301" s="25">
        <v>42135</v>
      </c>
      <c r="I301" s="104">
        <f t="shared" si="31"/>
        <v>1428</v>
      </c>
      <c r="J301" s="19">
        <f t="shared" si="37"/>
        <v>1077</v>
      </c>
      <c r="K301" t="s">
        <v>69</v>
      </c>
      <c r="L301" s="4">
        <v>5.47</v>
      </c>
      <c r="M301" s="19">
        <f t="shared" si="33"/>
        <v>1</v>
      </c>
      <c r="N301" s="19">
        <f t="shared" si="34"/>
        <v>1</v>
      </c>
      <c r="O301" s="19">
        <f t="shared" si="35"/>
        <v>1</v>
      </c>
      <c r="P301" s="19">
        <f t="shared" si="36"/>
        <v>1</v>
      </c>
      <c r="Q301" s="4">
        <v>2</v>
      </c>
      <c r="R301" s="4">
        <v>0</v>
      </c>
      <c r="S301" s="24">
        <v>0</v>
      </c>
      <c r="T301" s="125">
        <v>0</v>
      </c>
      <c r="U301" s="125">
        <v>1</v>
      </c>
      <c r="V301" s="4">
        <v>60</v>
      </c>
      <c r="W301" s="4">
        <v>0</v>
      </c>
      <c r="X301" s="4">
        <v>2</v>
      </c>
      <c r="Y301" s="4">
        <v>0.35</v>
      </c>
      <c r="Z301" s="4">
        <v>3</v>
      </c>
      <c r="AA301" s="4">
        <v>0.35</v>
      </c>
      <c r="AB301" s="24">
        <v>0</v>
      </c>
      <c r="AC301" s="24">
        <v>0</v>
      </c>
      <c r="AD301" s="24">
        <v>0</v>
      </c>
      <c r="AE301" s="4" t="s">
        <v>47</v>
      </c>
      <c r="AF301" s="118" t="s">
        <v>46</v>
      </c>
      <c r="AG301" s="118" t="s">
        <v>48</v>
      </c>
      <c r="AI301" s="104">
        <v>1582</v>
      </c>
      <c r="AJ301">
        <v>1946</v>
      </c>
    </row>
    <row r="302" spans="2:36" hidden="1" x14ac:dyDescent="0.25">
      <c r="B302" s="4" t="s">
        <v>49</v>
      </c>
      <c r="C302" s="4">
        <v>2</v>
      </c>
      <c r="E302" s="13">
        <v>39630</v>
      </c>
      <c r="F302" s="104">
        <f t="shared" si="32"/>
        <v>2505</v>
      </c>
      <c r="G302" s="13">
        <v>41212</v>
      </c>
      <c r="H302" s="25">
        <v>42135</v>
      </c>
      <c r="I302" s="104">
        <f t="shared" si="31"/>
        <v>1582</v>
      </c>
      <c r="J302" s="19">
        <f t="shared" si="37"/>
        <v>923</v>
      </c>
      <c r="K302" t="s">
        <v>69</v>
      </c>
      <c r="L302" s="4">
        <v>5.28</v>
      </c>
      <c r="M302" s="19">
        <f t="shared" si="33"/>
        <v>1</v>
      </c>
      <c r="N302" s="19">
        <f t="shared" si="34"/>
        <v>1</v>
      </c>
      <c r="O302" s="19">
        <f t="shared" si="35"/>
        <v>1</v>
      </c>
      <c r="P302" s="19">
        <f t="shared" si="36"/>
        <v>1</v>
      </c>
      <c r="Q302" s="4">
        <v>3</v>
      </c>
      <c r="R302" s="24">
        <v>0</v>
      </c>
      <c r="S302" s="24">
        <v>0</v>
      </c>
      <c r="T302" s="125">
        <v>0</v>
      </c>
      <c r="U302" s="125">
        <v>1</v>
      </c>
      <c r="V302" s="4">
        <v>60</v>
      </c>
      <c r="W302" s="4">
        <v>0</v>
      </c>
      <c r="X302" s="4">
        <v>2</v>
      </c>
      <c r="Y302" s="4">
        <v>0.35</v>
      </c>
      <c r="Z302" s="4">
        <v>3</v>
      </c>
      <c r="AA302" s="4">
        <v>0.35</v>
      </c>
      <c r="AB302" s="24">
        <v>0</v>
      </c>
      <c r="AC302" s="24">
        <v>0</v>
      </c>
      <c r="AD302" s="24">
        <v>0</v>
      </c>
      <c r="AE302" s="4" t="s">
        <v>47</v>
      </c>
      <c r="AF302" s="118" t="s">
        <v>46</v>
      </c>
      <c r="AG302" s="118" t="s">
        <v>48</v>
      </c>
      <c r="AI302" s="104">
        <v>1764</v>
      </c>
      <c r="AJ302">
        <v>1946</v>
      </c>
    </row>
    <row r="303" spans="2:36" hidden="1" x14ac:dyDescent="0.25">
      <c r="B303" s="4" t="s">
        <v>49</v>
      </c>
      <c r="C303" s="4">
        <v>2</v>
      </c>
      <c r="E303" s="13">
        <v>39630</v>
      </c>
      <c r="F303" s="104">
        <f t="shared" si="32"/>
        <v>2505</v>
      </c>
      <c r="G303" s="13">
        <v>41394</v>
      </c>
      <c r="H303" s="25">
        <v>42135</v>
      </c>
      <c r="I303" s="104">
        <f t="shared" si="31"/>
        <v>1764</v>
      </c>
      <c r="J303" s="19">
        <f t="shared" si="37"/>
        <v>741</v>
      </c>
      <c r="K303" t="s">
        <v>69</v>
      </c>
      <c r="L303" s="4">
        <v>5.18</v>
      </c>
      <c r="M303" s="19">
        <f t="shared" si="33"/>
        <v>1</v>
      </c>
      <c r="N303" s="19">
        <f t="shared" si="34"/>
        <v>1</v>
      </c>
      <c r="O303" s="19">
        <f t="shared" si="35"/>
        <v>1</v>
      </c>
      <c r="P303" s="19">
        <f t="shared" si="36"/>
        <v>1</v>
      </c>
      <c r="Q303" s="4">
        <v>2</v>
      </c>
      <c r="R303" s="4">
        <v>0</v>
      </c>
      <c r="S303" s="24">
        <v>0</v>
      </c>
      <c r="T303" s="125">
        <v>0</v>
      </c>
      <c r="U303" s="125">
        <v>0</v>
      </c>
      <c r="V303" s="4">
        <v>60</v>
      </c>
      <c r="W303" s="4">
        <v>0</v>
      </c>
      <c r="X303" s="4">
        <v>2</v>
      </c>
      <c r="Y303" s="4">
        <v>0.35</v>
      </c>
      <c r="Z303" s="4">
        <v>3</v>
      </c>
      <c r="AA303" s="4">
        <v>0.35</v>
      </c>
      <c r="AB303" s="24">
        <v>0</v>
      </c>
      <c r="AC303" s="24">
        <v>0</v>
      </c>
      <c r="AD303" s="24">
        <v>0</v>
      </c>
      <c r="AE303" s="4" t="s">
        <v>47</v>
      </c>
      <c r="AF303" s="118" t="s">
        <v>42</v>
      </c>
      <c r="AG303" s="118" t="s">
        <v>48</v>
      </c>
      <c r="AI303" s="104">
        <v>1856</v>
      </c>
      <c r="AJ303">
        <v>1961</v>
      </c>
    </row>
    <row r="304" spans="2:36" hidden="1" x14ac:dyDescent="0.25">
      <c r="B304" s="24" t="s">
        <v>49</v>
      </c>
      <c r="C304" s="24">
        <v>2</v>
      </c>
      <c r="E304" s="27">
        <v>39630</v>
      </c>
      <c r="F304" s="104">
        <f t="shared" si="32"/>
        <v>2505</v>
      </c>
      <c r="G304" s="25">
        <v>41486</v>
      </c>
      <c r="H304" s="25">
        <v>42135</v>
      </c>
      <c r="I304" s="104">
        <f t="shared" si="31"/>
        <v>1856</v>
      </c>
      <c r="J304" s="19">
        <f t="shared" si="37"/>
        <v>649</v>
      </c>
      <c r="K304" t="s">
        <v>69</v>
      </c>
      <c r="L304" s="4">
        <v>5.17</v>
      </c>
      <c r="M304" s="19">
        <f t="shared" si="33"/>
        <v>1</v>
      </c>
      <c r="N304" s="19">
        <f t="shared" si="34"/>
        <v>1</v>
      </c>
      <c r="O304" s="19">
        <f t="shared" si="35"/>
        <v>1</v>
      </c>
      <c r="P304" s="19">
        <f t="shared" si="36"/>
        <v>1</v>
      </c>
      <c r="Q304" s="4">
        <v>3</v>
      </c>
      <c r="R304" s="4">
        <v>0</v>
      </c>
      <c r="S304" s="24">
        <v>0</v>
      </c>
      <c r="T304" s="125">
        <v>0</v>
      </c>
      <c r="U304" s="125">
        <v>1</v>
      </c>
      <c r="V304" s="4">
        <v>60</v>
      </c>
      <c r="W304" s="24">
        <v>0</v>
      </c>
      <c r="X304" s="24">
        <v>2</v>
      </c>
      <c r="Y304" s="24">
        <v>0.35</v>
      </c>
      <c r="Z304" s="24">
        <v>2.5</v>
      </c>
      <c r="AA304" s="24">
        <v>0.35</v>
      </c>
      <c r="AB304" s="24">
        <v>0</v>
      </c>
      <c r="AC304" s="24">
        <v>0</v>
      </c>
      <c r="AD304" s="24">
        <v>0</v>
      </c>
      <c r="AE304" s="24" t="s">
        <v>47</v>
      </c>
      <c r="AF304" s="118" t="s">
        <v>46</v>
      </c>
      <c r="AG304" s="114" t="s">
        <v>268</v>
      </c>
      <c r="AI304" s="104">
        <v>2030</v>
      </c>
      <c r="AJ304">
        <v>1967</v>
      </c>
    </row>
    <row r="305" spans="2:36" hidden="1" x14ac:dyDescent="0.25">
      <c r="B305" s="4" t="s">
        <v>49</v>
      </c>
      <c r="C305" s="4">
        <v>2</v>
      </c>
      <c r="E305" s="13">
        <v>39630</v>
      </c>
      <c r="F305" s="104">
        <f t="shared" si="32"/>
        <v>2505</v>
      </c>
      <c r="G305" s="13">
        <v>41660</v>
      </c>
      <c r="H305" s="25">
        <v>42135</v>
      </c>
      <c r="I305" s="104">
        <f t="shared" si="31"/>
        <v>2030</v>
      </c>
      <c r="J305" s="19">
        <f t="shared" si="37"/>
        <v>475</v>
      </c>
      <c r="K305" t="s">
        <v>69</v>
      </c>
      <c r="L305" s="4">
        <v>5.15</v>
      </c>
      <c r="M305" s="19">
        <f t="shared" si="33"/>
        <v>0</v>
      </c>
      <c r="N305" s="19">
        <f t="shared" si="34"/>
        <v>1</v>
      </c>
      <c r="O305" s="19">
        <f t="shared" si="35"/>
        <v>1</v>
      </c>
      <c r="P305" s="19">
        <f t="shared" si="36"/>
        <v>1</v>
      </c>
      <c r="Q305" s="4">
        <v>2</v>
      </c>
      <c r="R305" s="4">
        <v>0</v>
      </c>
      <c r="S305" s="24">
        <v>0</v>
      </c>
      <c r="T305" s="125">
        <v>0</v>
      </c>
      <c r="U305" s="125">
        <v>1</v>
      </c>
      <c r="V305" s="4">
        <v>60</v>
      </c>
      <c r="W305" s="4">
        <v>0</v>
      </c>
      <c r="X305" s="4">
        <v>2</v>
      </c>
      <c r="Y305" s="4">
        <v>0.35</v>
      </c>
      <c r="Z305" s="4">
        <v>2.5</v>
      </c>
      <c r="AA305" s="4">
        <v>0.35</v>
      </c>
      <c r="AB305" s="24">
        <v>0</v>
      </c>
      <c r="AC305" s="24">
        <v>0</v>
      </c>
      <c r="AD305" s="24">
        <v>0</v>
      </c>
      <c r="AE305" s="4" t="s">
        <v>47</v>
      </c>
      <c r="AF305" s="118" t="s">
        <v>46</v>
      </c>
      <c r="AG305" s="118" t="s">
        <v>48</v>
      </c>
      <c r="AI305" s="104">
        <v>2183</v>
      </c>
      <c r="AJ305">
        <v>1967</v>
      </c>
    </row>
    <row r="306" spans="2:36" hidden="1" x14ac:dyDescent="0.25">
      <c r="B306" s="4" t="s">
        <v>49</v>
      </c>
      <c r="C306" s="4">
        <v>2</v>
      </c>
      <c r="E306" s="13">
        <v>39630</v>
      </c>
      <c r="F306" s="104">
        <f t="shared" si="32"/>
        <v>2505</v>
      </c>
      <c r="G306" s="13">
        <v>41813</v>
      </c>
      <c r="H306" s="25">
        <v>42135</v>
      </c>
      <c r="I306" s="104">
        <f t="shared" si="31"/>
        <v>2183</v>
      </c>
      <c r="J306" s="19">
        <f t="shared" si="37"/>
        <v>322</v>
      </c>
      <c r="K306" t="s">
        <v>69</v>
      </c>
      <c r="L306" s="4">
        <v>5.14</v>
      </c>
      <c r="M306" s="19">
        <f t="shared" si="33"/>
        <v>0</v>
      </c>
      <c r="N306" s="19">
        <f t="shared" si="34"/>
        <v>0</v>
      </c>
      <c r="O306" s="19">
        <f t="shared" si="35"/>
        <v>1</v>
      </c>
      <c r="P306" s="19">
        <f t="shared" si="36"/>
        <v>1</v>
      </c>
      <c r="Q306" s="4">
        <v>1</v>
      </c>
      <c r="R306" s="4">
        <v>0</v>
      </c>
      <c r="S306" s="24">
        <v>0</v>
      </c>
      <c r="T306" s="125">
        <v>0</v>
      </c>
      <c r="U306" s="125">
        <v>1</v>
      </c>
      <c r="V306" s="4">
        <v>60</v>
      </c>
      <c r="W306" s="4">
        <v>0</v>
      </c>
      <c r="X306" s="4">
        <v>2</v>
      </c>
      <c r="Y306" s="4">
        <v>0.35</v>
      </c>
      <c r="Z306" s="4">
        <v>2.5</v>
      </c>
      <c r="AA306" s="4">
        <v>0.35</v>
      </c>
      <c r="AB306" s="24">
        <v>0</v>
      </c>
      <c r="AC306" s="24">
        <v>0</v>
      </c>
      <c r="AD306" s="24">
        <v>0</v>
      </c>
      <c r="AE306" s="4" t="s">
        <v>47</v>
      </c>
      <c r="AF306" s="118" t="s">
        <v>46</v>
      </c>
      <c r="AG306" s="118" t="s">
        <v>48</v>
      </c>
      <c r="AI306" s="104">
        <v>2337</v>
      </c>
      <c r="AJ306">
        <v>1967</v>
      </c>
    </row>
    <row r="307" spans="2:36" hidden="1" x14ac:dyDescent="0.25">
      <c r="B307" s="4" t="s">
        <v>49</v>
      </c>
      <c r="C307" s="4">
        <v>2</v>
      </c>
      <c r="E307" s="13">
        <v>39630</v>
      </c>
      <c r="F307" s="104">
        <f t="shared" si="32"/>
        <v>2505</v>
      </c>
      <c r="G307" s="23">
        <v>41967</v>
      </c>
      <c r="H307" s="25">
        <v>42135</v>
      </c>
      <c r="I307" s="104">
        <f t="shared" si="31"/>
        <v>2337</v>
      </c>
      <c r="J307" s="19">
        <f t="shared" si="37"/>
        <v>168</v>
      </c>
      <c r="K307" t="s">
        <v>69</v>
      </c>
      <c r="L307" s="24">
        <v>5.13</v>
      </c>
      <c r="M307" s="19">
        <f t="shared" si="33"/>
        <v>0</v>
      </c>
      <c r="N307" s="19">
        <f t="shared" si="34"/>
        <v>0</v>
      </c>
      <c r="O307" s="19">
        <f t="shared" si="35"/>
        <v>0</v>
      </c>
      <c r="P307" s="19">
        <f t="shared" si="36"/>
        <v>1</v>
      </c>
      <c r="Q307" s="24">
        <v>2</v>
      </c>
      <c r="R307" s="4">
        <v>0</v>
      </c>
      <c r="S307" s="24">
        <v>0</v>
      </c>
      <c r="T307" s="129">
        <v>0</v>
      </c>
      <c r="U307" s="129">
        <v>0</v>
      </c>
      <c r="V307" s="4">
        <v>60</v>
      </c>
      <c r="W307" s="4">
        <v>0</v>
      </c>
      <c r="X307" s="4">
        <v>2</v>
      </c>
      <c r="Y307" s="4">
        <v>0.35</v>
      </c>
      <c r="Z307" s="4">
        <v>2.5</v>
      </c>
      <c r="AA307" s="4">
        <v>0.35</v>
      </c>
      <c r="AB307" s="24">
        <v>0</v>
      </c>
      <c r="AC307" s="24">
        <v>0</v>
      </c>
      <c r="AD307" s="24">
        <v>0</v>
      </c>
      <c r="AE307" s="4" t="s">
        <v>47</v>
      </c>
      <c r="AF307" s="114" t="s">
        <v>42</v>
      </c>
      <c r="AG307" s="118" t="s">
        <v>48</v>
      </c>
      <c r="AI307" s="104">
        <v>2505</v>
      </c>
      <c r="AJ307">
        <v>1970</v>
      </c>
    </row>
    <row r="308" spans="2:36" hidden="1" x14ac:dyDescent="0.25">
      <c r="B308" s="24" t="s">
        <v>49</v>
      </c>
      <c r="C308" s="24">
        <v>2</v>
      </c>
      <c r="E308" s="27">
        <v>39630</v>
      </c>
      <c r="F308" s="104">
        <f t="shared" si="32"/>
        <v>2505</v>
      </c>
      <c r="G308" s="25">
        <v>42135</v>
      </c>
      <c r="H308" s="25">
        <v>42135</v>
      </c>
      <c r="I308" s="104">
        <f t="shared" si="31"/>
        <v>2505</v>
      </c>
      <c r="J308" s="19">
        <f t="shared" si="37"/>
        <v>0</v>
      </c>
      <c r="K308" t="s">
        <v>69</v>
      </c>
      <c r="L308" s="4">
        <v>5.07</v>
      </c>
      <c r="M308" s="19">
        <f t="shared" si="33"/>
        <v>0</v>
      </c>
      <c r="N308" s="19">
        <f t="shared" si="34"/>
        <v>0</v>
      </c>
      <c r="O308" s="19">
        <f t="shared" si="35"/>
        <v>0</v>
      </c>
      <c r="P308" s="19">
        <f t="shared" si="36"/>
        <v>0</v>
      </c>
      <c r="Q308" s="4">
        <v>1</v>
      </c>
      <c r="R308" s="4">
        <v>0</v>
      </c>
      <c r="S308" s="24">
        <v>0</v>
      </c>
      <c r="T308" s="125">
        <v>0</v>
      </c>
      <c r="U308" s="125">
        <v>0</v>
      </c>
      <c r="V308" s="4">
        <v>60</v>
      </c>
      <c r="W308" s="24">
        <v>0</v>
      </c>
      <c r="X308" s="24">
        <v>2</v>
      </c>
      <c r="Y308" s="24">
        <v>0.35</v>
      </c>
      <c r="Z308" s="24">
        <v>2.5</v>
      </c>
      <c r="AA308" s="24">
        <v>0.35</v>
      </c>
      <c r="AB308" s="24">
        <v>0</v>
      </c>
      <c r="AC308" s="24">
        <v>0</v>
      </c>
      <c r="AD308" s="24">
        <v>0</v>
      </c>
      <c r="AE308" s="24" t="s">
        <v>47</v>
      </c>
      <c r="AF308" s="118" t="s">
        <v>42</v>
      </c>
      <c r="AG308" s="114" t="s">
        <v>268</v>
      </c>
      <c r="AI308" s="104">
        <v>1014</v>
      </c>
      <c r="AJ308">
        <v>1975</v>
      </c>
    </row>
    <row r="309" spans="2:36" ht="14.5" hidden="1" x14ac:dyDescent="0.25">
      <c r="B309" s="52" t="s">
        <v>174</v>
      </c>
      <c r="C309" s="24">
        <v>2</v>
      </c>
      <c r="D309" s="24"/>
      <c r="E309" s="42">
        <v>39730</v>
      </c>
      <c r="F309" s="104">
        <f t="shared" si="32"/>
        <v>2378</v>
      </c>
      <c r="G309" s="23">
        <v>40744</v>
      </c>
      <c r="H309" s="27">
        <v>42108</v>
      </c>
      <c r="I309" s="104">
        <f t="shared" si="31"/>
        <v>1014</v>
      </c>
      <c r="J309" s="19">
        <f t="shared" si="37"/>
        <v>1364</v>
      </c>
      <c r="K309" t="s">
        <v>69</v>
      </c>
      <c r="L309" s="24">
        <v>6.09</v>
      </c>
      <c r="M309" s="19">
        <f t="shared" si="33"/>
        <v>1</v>
      </c>
      <c r="N309" s="19">
        <f t="shared" si="34"/>
        <v>1</v>
      </c>
      <c r="O309" s="19">
        <f t="shared" si="35"/>
        <v>1</v>
      </c>
      <c r="P309" s="19">
        <f t="shared" si="36"/>
        <v>1</v>
      </c>
      <c r="Q309" s="24">
        <v>5</v>
      </c>
      <c r="R309" s="24">
        <v>0</v>
      </c>
      <c r="S309" s="24">
        <v>0</v>
      </c>
      <c r="T309" s="129">
        <v>0</v>
      </c>
      <c r="U309" s="129">
        <v>0</v>
      </c>
      <c r="V309" s="24">
        <v>50</v>
      </c>
      <c r="W309" s="24">
        <v>0</v>
      </c>
      <c r="X309" s="24">
        <v>2.5</v>
      </c>
      <c r="Y309" s="24">
        <v>0.35</v>
      </c>
      <c r="Z309" s="24">
        <v>2.5</v>
      </c>
      <c r="AA309" s="24">
        <v>0.35</v>
      </c>
      <c r="AB309" s="24">
        <v>0</v>
      </c>
      <c r="AC309" s="24">
        <v>0</v>
      </c>
      <c r="AD309" s="24">
        <v>0</v>
      </c>
      <c r="AE309" s="24" t="s">
        <v>67</v>
      </c>
      <c r="AF309" s="114" t="s">
        <v>42</v>
      </c>
      <c r="AG309" s="114" t="s">
        <v>69</v>
      </c>
      <c r="AI309" s="104">
        <v>1222</v>
      </c>
      <c r="AJ309">
        <v>1978</v>
      </c>
    </row>
    <row r="310" spans="2:36" ht="14.5" hidden="1" x14ac:dyDescent="0.25">
      <c r="B310" s="52" t="s">
        <v>174</v>
      </c>
      <c r="C310" s="24">
        <v>2</v>
      </c>
      <c r="D310" s="24"/>
      <c r="E310" s="42">
        <v>39730</v>
      </c>
      <c r="F310" s="104">
        <f t="shared" si="32"/>
        <v>2378</v>
      </c>
      <c r="G310" s="23">
        <v>40952</v>
      </c>
      <c r="H310" s="27">
        <v>42108</v>
      </c>
      <c r="I310" s="104">
        <f t="shared" si="31"/>
        <v>1222</v>
      </c>
      <c r="J310" s="19">
        <f t="shared" si="37"/>
        <v>1156</v>
      </c>
      <c r="K310" t="s">
        <v>69</v>
      </c>
      <c r="L310" s="40">
        <v>5.89</v>
      </c>
      <c r="M310" s="19">
        <f t="shared" si="33"/>
        <v>1</v>
      </c>
      <c r="N310" s="19">
        <f t="shared" si="34"/>
        <v>1</v>
      </c>
      <c r="O310" s="19">
        <f t="shared" si="35"/>
        <v>1</v>
      </c>
      <c r="P310" s="19">
        <f t="shared" si="36"/>
        <v>1</v>
      </c>
      <c r="Q310" s="24">
        <v>5</v>
      </c>
      <c r="R310" s="24">
        <v>0</v>
      </c>
      <c r="S310" s="24">
        <v>0</v>
      </c>
      <c r="T310" s="129">
        <v>0</v>
      </c>
      <c r="U310" s="129">
        <v>0</v>
      </c>
      <c r="V310" s="24">
        <v>50</v>
      </c>
      <c r="W310" s="24">
        <v>0</v>
      </c>
      <c r="X310" s="24">
        <v>2.5</v>
      </c>
      <c r="Y310" s="24">
        <v>0.35</v>
      </c>
      <c r="Z310" s="24">
        <v>2.5</v>
      </c>
      <c r="AA310" s="24">
        <v>0.35</v>
      </c>
      <c r="AB310" s="24">
        <v>0</v>
      </c>
      <c r="AC310" s="24">
        <v>0</v>
      </c>
      <c r="AD310" s="24">
        <v>0</v>
      </c>
      <c r="AE310" s="24" t="s">
        <v>67</v>
      </c>
      <c r="AF310" s="114" t="s">
        <v>42</v>
      </c>
      <c r="AG310" s="114" t="s">
        <v>69</v>
      </c>
      <c r="AI310" s="104">
        <v>1615</v>
      </c>
      <c r="AJ310">
        <v>1978</v>
      </c>
    </row>
    <row r="311" spans="2:36" ht="14.5" hidden="1" x14ac:dyDescent="0.25">
      <c r="B311" s="52" t="s">
        <v>174</v>
      </c>
      <c r="C311" s="24">
        <v>2</v>
      </c>
      <c r="D311" s="24"/>
      <c r="E311" s="42">
        <v>39730</v>
      </c>
      <c r="F311" s="104">
        <f t="shared" si="32"/>
        <v>2378</v>
      </c>
      <c r="G311" s="27">
        <v>41345</v>
      </c>
      <c r="H311" s="27">
        <v>42108</v>
      </c>
      <c r="I311" s="104">
        <f t="shared" si="31"/>
        <v>1615</v>
      </c>
      <c r="J311" s="19">
        <f t="shared" si="37"/>
        <v>763</v>
      </c>
      <c r="K311" t="s">
        <v>69</v>
      </c>
      <c r="L311" s="40">
        <v>5.3</v>
      </c>
      <c r="M311" s="19">
        <f t="shared" si="33"/>
        <v>1</v>
      </c>
      <c r="N311" s="19">
        <f t="shared" si="34"/>
        <v>1</v>
      </c>
      <c r="O311" s="19">
        <f t="shared" si="35"/>
        <v>1</v>
      </c>
      <c r="P311" s="19">
        <f t="shared" si="36"/>
        <v>1</v>
      </c>
      <c r="Q311" s="24">
        <v>0</v>
      </c>
      <c r="R311" s="24">
        <v>0</v>
      </c>
      <c r="S311" s="24">
        <v>0</v>
      </c>
      <c r="T311" s="127">
        <v>0</v>
      </c>
      <c r="U311" s="127">
        <v>0</v>
      </c>
      <c r="V311" s="24">
        <v>50</v>
      </c>
      <c r="W311" s="24">
        <v>0</v>
      </c>
      <c r="X311" s="24">
        <v>2.5</v>
      </c>
      <c r="Y311" s="24">
        <v>0.35</v>
      </c>
      <c r="Z311" s="24">
        <v>2.5</v>
      </c>
      <c r="AA311" s="24">
        <v>0.35</v>
      </c>
      <c r="AB311" s="24">
        <v>0</v>
      </c>
      <c r="AC311" s="24">
        <v>0</v>
      </c>
      <c r="AD311" s="24">
        <v>0</v>
      </c>
      <c r="AE311" s="24" t="s">
        <v>67</v>
      </c>
      <c r="AF311" s="145" t="s">
        <v>42</v>
      </c>
      <c r="AG311" s="114" t="s">
        <v>69</v>
      </c>
      <c r="AI311" s="104">
        <v>1811</v>
      </c>
      <c r="AJ311">
        <v>1981</v>
      </c>
    </row>
    <row r="312" spans="2:36" ht="14.5" hidden="1" x14ac:dyDescent="0.25">
      <c r="B312" s="52" t="s">
        <v>174</v>
      </c>
      <c r="C312" s="24">
        <v>2</v>
      </c>
      <c r="D312" s="24"/>
      <c r="E312" s="42">
        <v>39730</v>
      </c>
      <c r="F312" s="104">
        <f t="shared" si="32"/>
        <v>2378</v>
      </c>
      <c r="G312" s="27">
        <v>41541</v>
      </c>
      <c r="H312" s="27">
        <v>42108</v>
      </c>
      <c r="I312" s="104">
        <f t="shared" si="31"/>
        <v>1811</v>
      </c>
      <c r="J312" s="19">
        <f t="shared" si="37"/>
        <v>567</v>
      </c>
      <c r="K312" t="s">
        <v>69</v>
      </c>
      <c r="L312" s="24">
        <v>5.2</v>
      </c>
      <c r="M312" s="19">
        <f t="shared" si="33"/>
        <v>1</v>
      </c>
      <c r="N312" s="19">
        <f t="shared" si="34"/>
        <v>1</v>
      </c>
      <c r="O312" s="19">
        <f t="shared" si="35"/>
        <v>1</v>
      </c>
      <c r="P312" s="19">
        <f t="shared" si="36"/>
        <v>1</v>
      </c>
      <c r="Q312" s="24">
        <v>0</v>
      </c>
      <c r="R312" s="24">
        <v>0</v>
      </c>
      <c r="S312" s="24">
        <v>0</v>
      </c>
      <c r="T312" s="127">
        <v>0</v>
      </c>
      <c r="U312" s="127">
        <v>0</v>
      </c>
      <c r="V312" s="24">
        <v>50</v>
      </c>
      <c r="W312" s="24">
        <v>0</v>
      </c>
      <c r="X312" s="24">
        <v>2.5</v>
      </c>
      <c r="Y312" s="24">
        <v>0.35</v>
      </c>
      <c r="Z312" s="24">
        <v>2.5</v>
      </c>
      <c r="AA312" s="24">
        <v>0.35</v>
      </c>
      <c r="AB312" s="24">
        <v>0</v>
      </c>
      <c r="AC312" s="24">
        <v>0</v>
      </c>
      <c r="AD312" s="24">
        <v>0</v>
      </c>
      <c r="AE312" s="24" t="s">
        <v>67</v>
      </c>
      <c r="AF312" s="145" t="s">
        <v>42</v>
      </c>
      <c r="AG312" s="114" t="s">
        <v>69</v>
      </c>
      <c r="AI312" s="104">
        <v>1929</v>
      </c>
      <c r="AJ312">
        <v>1982</v>
      </c>
    </row>
    <row r="313" spans="2:36" ht="14.5" hidden="1" x14ac:dyDescent="0.25">
      <c r="B313" s="52" t="s">
        <v>174</v>
      </c>
      <c r="C313" s="24">
        <v>2</v>
      </c>
      <c r="D313" s="24"/>
      <c r="E313" s="42">
        <v>39730</v>
      </c>
      <c r="F313" s="104">
        <f t="shared" si="32"/>
        <v>2378</v>
      </c>
      <c r="G313" s="25">
        <v>41659</v>
      </c>
      <c r="H313" s="27">
        <v>42108</v>
      </c>
      <c r="I313" s="104">
        <f t="shared" si="31"/>
        <v>1929</v>
      </c>
      <c r="J313" s="19">
        <f t="shared" si="37"/>
        <v>449</v>
      </c>
      <c r="K313" t="s">
        <v>69</v>
      </c>
      <c r="L313" s="4">
        <v>5.17</v>
      </c>
      <c r="M313" s="19">
        <f t="shared" si="33"/>
        <v>0</v>
      </c>
      <c r="N313" s="19">
        <f t="shared" si="34"/>
        <v>1</v>
      </c>
      <c r="O313" s="19">
        <f t="shared" si="35"/>
        <v>1</v>
      </c>
      <c r="P313" s="19">
        <f t="shared" si="36"/>
        <v>1</v>
      </c>
      <c r="Q313" s="4">
        <v>2</v>
      </c>
      <c r="R313" s="4">
        <v>0</v>
      </c>
      <c r="S313" s="24">
        <v>0</v>
      </c>
      <c r="T313" s="129">
        <v>0</v>
      </c>
      <c r="U313" s="129">
        <v>0</v>
      </c>
      <c r="V313" s="24">
        <v>50</v>
      </c>
      <c r="W313" s="24">
        <v>0</v>
      </c>
      <c r="X313" s="24">
        <v>2.5</v>
      </c>
      <c r="Y313" s="24">
        <v>0.35</v>
      </c>
      <c r="Z313" s="24">
        <v>2.5</v>
      </c>
      <c r="AA313" s="24">
        <v>0.35</v>
      </c>
      <c r="AB313" s="24">
        <v>0</v>
      </c>
      <c r="AC313" s="24">
        <v>0</v>
      </c>
      <c r="AD313" s="24">
        <v>0</v>
      </c>
      <c r="AE313" s="24" t="s">
        <v>67</v>
      </c>
      <c r="AF313" s="114" t="s">
        <v>42</v>
      </c>
      <c r="AG313" s="114" t="s">
        <v>69</v>
      </c>
      <c r="AI313" s="104">
        <v>2069</v>
      </c>
      <c r="AJ313">
        <v>1991</v>
      </c>
    </row>
    <row r="314" spans="2:36" ht="14.5" hidden="1" x14ac:dyDescent="0.25">
      <c r="B314" s="52" t="s">
        <v>174</v>
      </c>
      <c r="C314" s="24">
        <v>2</v>
      </c>
      <c r="D314" s="24"/>
      <c r="E314" s="42">
        <v>39730</v>
      </c>
      <c r="F314" s="104">
        <f t="shared" si="32"/>
        <v>2378</v>
      </c>
      <c r="G314" s="25">
        <v>41799</v>
      </c>
      <c r="H314" s="27">
        <v>42108</v>
      </c>
      <c r="I314" s="104">
        <f t="shared" si="31"/>
        <v>2069</v>
      </c>
      <c r="J314" s="19">
        <f t="shared" si="37"/>
        <v>309</v>
      </c>
      <c r="K314" t="s">
        <v>69</v>
      </c>
      <c r="L314" s="4">
        <v>5.15</v>
      </c>
      <c r="M314" s="19">
        <f t="shared" si="33"/>
        <v>0</v>
      </c>
      <c r="N314" s="19">
        <f t="shared" si="34"/>
        <v>0</v>
      </c>
      <c r="O314" s="19">
        <f t="shared" si="35"/>
        <v>1</v>
      </c>
      <c r="P314" s="19">
        <f t="shared" si="36"/>
        <v>1</v>
      </c>
      <c r="Q314" s="4">
        <v>0</v>
      </c>
      <c r="R314" s="4">
        <v>0</v>
      </c>
      <c r="S314" s="24">
        <v>0</v>
      </c>
      <c r="T314" s="129">
        <v>0</v>
      </c>
      <c r="U314" s="129">
        <v>0</v>
      </c>
      <c r="V314" s="24">
        <v>50</v>
      </c>
      <c r="W314" s="24">
        <v>0</v>
      </c>
      <c r="X314" s="24">
        <v>2.5</v>
      </c>
      <c r="Y314" s="24">
        <v>0.35</v>
      </c>
      <c r="Z314" s="24">
        <v>2.5</v>
      </c>
      <c r="AA314" s="24">
        <v>0.35</v>
      </c>
      <c r="AB314" s="24">
        <v>0</v>
      </c>
      <c r="AC314" s="24">
        <v>0</v>
      </c>
      <c r="AD314" s="24">
        <v>0</v>
      </c>
      <c r="AE314" s="24" t="s">
        <v>67</v>
      </c>
      <c r="AF314" s="114" t="s">
        <v>42</v>
      </c>
      <c r="AG314" s="114" t="s">
        <v>69</v>
      </c>
      <c r="AI314" s="104">
        <v>2195</v>
      </c>
      <c r="AJ314">
        <v>2003</v>
      </c>
    </row>
    <row r="315" spans="2:36" ht="14.5" hidden="1" x14ac:dyDescent="0.25">
      <c r="B315" s="52" t="s">
        <v>174</v>
      </c>
      <c r="C315" s="24">
        <v>2</v>
      </c>
      <c r="D315" s="24"/>
      <c r="E315" s="42">
        <v>39730</v>
      </c>
      <c r="F315" s="104">
        <f t="shared" si="32"/>
        <v>2378</v>
      </c>
      <c r="G315" s="25">
        <v>41925</v>
      </c>
      <c r="H315" s="27">
        <v>42108</v>
      </c>
      <c r="I315" s="104">
        <f t="shared" si="31"/>
        <v>2195</v>
      </c>
      <c r="J315" s="19">
        <f t="shared" si="37"/>
        <v>183</v>
      </c>
      <c r="K315" t="s">
        <v>69</v>
      </c>
      <c r="L315" s="4">
        <v>5.14</v>
      </c>
      <c r="M315" s="19">
        <f t="shared" si="33"/>
        <v>0</v>
      </c>
      <c r="N315" s="19">
        <f t="shared" si="34"/>
        <v>0</v>
      </c>
      <c r="O315" s="19">
        <f t="shared" si="35"/>
        <v>1</v>
      </c>
      <c r="P315" s="19">
        <f t="shared" si="36"/>
        <v>1</v>
      </c>
      <c r="Q315" s="4">
        <v>0</v>
      </c>
      <c r="R315" s="4">
        <v>0</v>
      </c>
      <c r="S315" s="24">
        <v>0</v>
      </c>
      <c r="T315" s="129">
        <v>0</v>
      </c>
      <c r="U315" s="129">
        <v>0</v>
      </c>
      <c r="V315" s="24">
        <v>50</v>
      </c>
      <c r="W315" s="24">
        <v>0</v>
      </c>
      <c r="X315" s="24">
        <v>2.5</v>
      </c>
      <c r="Y315" s="24">
        <v>0.35</v>
      </c>
      <c r="Z315" s="24">
        <v>2.5</v>
      </c>
      <c r="AA315" s="24">
        <v>0.35</v>
      </c>
      <c r="AB315" s="24">
        <v>0</v>
      </c>
      <c r="AC315" s="24">
        <v>0</v>
      </c>
      <c r="AD315" s="24">
        <v>0</v>
      </c>
      <c r="AE315" s="24" t="s">
        <v>67</v>
      </c>
      <c r="AF315" s="114" t="s">
        <v>42</v>
      </c>
      <c r="AG315" s="114" t="s">
        <v>69</v>
      </c>
      <c r="AI315" s="104">
        <v>2378</v>
      </c>
      <c r="AJ315">
        <v>2005</v>
      </c>
    </row>
    <row r="316" spans="2:36" ht="14.5" hidden="1" x14ac:dyDescent="0.25">
      <c r="B316" s="52" t="s">
        <v>174</v>
      </c>
      <c r="C316" s="24">
        <v>2</v>
      </c>
      <c r="D316" s="24"/>
      <c r="E316" s="42">
        <v>39730</v>
      </c>
      <c r="F316" s="104">
        <f t="shared" si="32"/>
        <v>2378</v>
      </c>
      <c r="G316" s="27">
        <v>42108</v>
      </c>
      <c r="H316" s="27">
        <v>42108</v>
      </c>
      <c r="I316" s="104">
        <f t="shared" si="31"/>
        <v>2378</v>
      </c>
      <c r="J316" s="19">
        <f t="shared" si="37"/>
        <v>0</v>
      </c>
      <c r="K316" t="s">
        <v>69</v>
      </c>
      <c r="L316" s="24">
        <v>5.13</v>
      </c>
      <c r="M316" s="19">
        <f t="shared" si="33"/>
        <v>0</v>
      </c>
      <c r="N316" s="19">
        <f t="shared" si="34"/>
        <v>0</v>
      </c>
      <c r="O316" s="19">
        <f t="shared" si="35"/>
        <v>0</v>
      </c>
      <c r="P316" s="19">
        <f t="shared" si="36"/>
        <v>0</v>
      </c>
      <c r="Q316" s="24">
        <v>0</v>
      </c>
      <c r="R316" s="24">
        <v>0</v>
      </c>
      <c r="S316" s="24">
        <v>0</v>
      </c>
      <c r="T316" s="129">
        <v>0</v>
      </c>
      <c r="U316" s="129">
        <v>0</v>
      </c>
      <c r="V316" s="24">
        <v>40</v>
      </c>
      <c r="W316" s="24">
        <v>0</v>
      </c>
      <c r="X316" s="24">
        <v>2.5</v>
      </c>
      <c r="Y316" s="24">
        <v>0.35</v>
      </c>
      <c r="Z316" s="24">
        <v>2.5</v>
      </c>
      <c r="AA316" s="24">
        <v>0.35</v>
      </c>
      <c r="AB316" s="24">
        <v>0</v>
      </c>
      <c r="AC316" s="24">
        <v>0</v>
      </c>
      <c r="AD316" s="24">
        <v>0</v>
      </c>
      <c r="AE316" s="24" t="s">
        <v>110</v>
      </c>
      <c r="AF316" s="114" t="s">
        <v>42</v>
      </c>
      <c r="AG316" s="114" t="s">
        <v>69</v>
      </c>
      <c r="AI316" s="104">
        <v>403</v>
      </c>
      <c r="AJ316">
        <v>2006</v>
      </c>
    </row>
    <row r="317" spans="2:36" hidden="1" x14ac:dyDescent="0.25">
      <c r="B317" s="24" t="s">
        <v>70</v>
      </c>
      <c r="C317" s="24">
        <v>2</v>
      </c>
      <c r="E317" s="27">
        <v>39682</v>
      </c>
      <c r="F317" s="104">
        <f t="shared" si="32"/>
        <v>2341</v>
      </c>
      <c r="G317" s="25">
        <v>40085</v>
      </c>
      <c r="H317" s="25">
        <v>42023</v>
      </c>
      <c r="I317" s="104">
        <f t="shared" si="31"/>
        <v>403</v>
      </c>
      <c r="J317" s="19">
        <f t="shared" si="37"/>
        <v>1938</v>
      </c>
      <c r="K317" t="s">
        <v>69</v>
      </c>
      <c r="L317" s="24">
        <v>6.4</v>
      </c>
      <c r="M317" s="19">
        <f t="shared" si="33"/>
        <v>1</v>
      </c>
      <c r="N317" s="19">
        <f t="shared" si="34"/>
        <v>1</v>
      </c>
      <c r="O317" s="19">
        <f t="shared" si="35"/>
        <v>1</v>
      </c>
      <c r="P317" s="19">
        <f t="shared" si="36"/>
        <v>1</v>
      </c>
      <c r="Q317" s="24">
        <v>64</v>
      </c>
      <c r="R317" s="24">
        <v>0</v>
      </c>
      <c r="S317" s="24">
        <v>0</v>
      </c>
      <c r="T317" s="127">
        <v>0</v>
      </c>
      <c r="U317" s="127">
        <v>0</v>
      </c>
      <c r="V317" s="24">
        <v>60</v>
      </c>
      <c r="W317" s="24">
        <v>0</v>
      </c>
      <c r="X317" s="24">
        <v>2</v>
      </c>
      <c r="Y317" s="24">
        <v>0.35</v>
      </c>
      <c r="Z317" s="24">
        <v>3</v>
      </c>
      <c r="AA317" s="24">
        <v>0.35</v>
      </c>
      <c r="AB317" s="24">
        <v>0</v>
      </c>
      <c r="AC317" s="24">
        <v>0</v>
      </c>
      <c r="AD317" s="24">
        <v>0</v>
      </c>
      <c r="AE317" s="24" t="s">
        <v>47</v>
      </c>
      <c r="AF317" s="138" t="s">
        <v>42</v>
      </c>
      <c r="AG317" s="114" t="s">
        <v>285</v>
      </c>
      <c r="AI317" s="104">
        <v>426</v>
      </c>
      <c r="AJ317">
        <v>2006</v>
      </c>
    </row>
    <row r="318" spans="2:36" hidden="1" x14ac:dyDescent="0.25">
      <c r="B318" s="24" t="s">
        <v>70</v>
      </c>
      <c r="C318" s="24">
        <v>2</v>
      </c>
      <c r="E318" s="27">
        <v>39682</v>
      </c>
      <c r="F318" s="104">
        <f t="shared" si="32"/>
        <v>2341</v>
      </c>
      <c r="G318" s="25">
        <v>40108</v>
      </c>
      <c r="H318" s="25">
        <v>42023</v>
      </c>
      <c r="I318" s="104">
        <f t="shared" si="31"/>
        <v>426</v>
      </c>
      <c r="J318" s="19">
        <f t="shared" si="37"/>
        <v>1915</v>
      </c>
      <c r="K318" t="s">
        <v>69</v>
      </c>
      <c r="L318" s="4">
        <v>6.33</v>
      </c>
      <c r="M318" s="19">
        <f t="shared" si="33"/>
        <v>1</v>
      </c>
      <c r="N318" s="19">
        <f t="shared" si="34"/>
        <v>1</v>
      </c>
      <c r="O318" s="19">
        <f t="shared" si="35"/>
        <v>1</v>
      </c>
      <c r="P318" s="19">
        <f t="shared" si="36"/>
        <v>1</v>
      </c>
      <c r="Q318" s="4">
        <v>80</v>
      </c>
      <c r="R318" s="4">
        <v>0</v>
      </c>
      <c r="S318" s="24">
        <v>0</v>
      </c>
      <c r="T318" s="125">
        <v>0</v>
      </c>
      <c r="U318" s="125">
        <v>0</v>
      </c>
      <c r="V318" s="24">
        <v>60</v>
      </c>
      <c r="W318" s="24">
        <v>0</v>
      </c>
      <c r="X318" s="24">
        <v>2</v>
      </c>
      <c r="Y318" s="24">
        <v>0.35</v>
      </c>
      <c r="Z318" s="24">
        <v>3</v>
      </c>
      <c r="AA318" s="24">
        <v>0.35</v>
      </c>
      <c r="AB318" s="24">
        <v>0</v>
      </c>
      <c r="AC318" s="24">
        <v>0</v>
      </c>
      <c r="AD318" s="24">
        <v>0</v>
      </c>
      <c r="AE318" s="24" t="s">
        <v>47</v>
      </c>
      <c r="AF318" s="118" t="s">
        <v>42</v>
      </c>
      <c r="AG318" s="114" t="s">
        <v>285</v>
      </c>
      <c r="AI318" s="104">
        <v>592</v>
      </c>
      <c r="AJ318">
        <v>2012</v>
      </c>
    </row>
    <row r="319" spans="2:36" hidden="1" x14ac:dyDescent="0.25">
      <c r="B319" s="24" t="s">
        <v>70</v>
      </c>
      <c r="C319" s="24">
        <v>2</v>
      </c>
      <c r="E319" s="27">
        <v>39682</v>
      </c>
      <c r="F319" s="104">
        <f t="shared" si="32"/>
        <v>2341</v>
      </c>
      <c r="G319" s="25">
        <v>40274</v>
      </c>
      <c r="H319" s="25">
        <v>42023</v>
      </c>
      <c r="I319" s="104">
        <f t="shared" si="31"/>
        <v>592</v>
      </c>
      <c r="J319" s="19">
        <f t="shared" si="37"/>
        <v>1749</v>
      </c>
      <c r="K319" t="s">
        <v>69</v>
      </c>
      <c r="L319" s="4">
        <v>6.31</v>
      </c>
      <c r="M319" s="19">
        <f t="shared" si="33"/>
        <v>1</v>
      </c>
      <c r="N319" s="19">
        <f t="shared" si="34"/>
        <v>1</v>
      </c>
      <c r="O319" s="19">
        <f t="shared" si="35"/>
        <v>1</v>
      </c>
      <c r="P319" s="19">
        <f t="shared" si="36"/>
        <v>1</v>
      </c>
      <c r="Q319" s="4">
        <v>74</v>
      </c>
      <c r="R319" s="4">
        <v>0</v>
      </c>
      <c r="S319" s="24">
        <v>0</v>
      </c>
      <c r="T319" s="125">
        <v>0</v>
      </c>
      <c r="U319" s="125">
        <v>0</v>
      </c>
      <c r="V319" s="24">
        <v>60</v>
      </c>
      <c r="W319" s="24">
        <v>0</v>
      </c>
      <c r="X319" s="24">
        <v>2</v>
      </c>
      <c r="Y319" s="24">
        <v>0.35</v>
      </c>
      <c r="Z319" s="24">
        <v>3</v>
      </c>
      <c r="AA319" s="24">
        <v>0.35</v>
      </c>
      <c r="AB319" s="24">
        <v>0</v>
      </c>
      <c r="AC319" s="24">
        <v>0</v>
      </c>
      <c r="AD319" s="24">
        <v>0</v>
      </c>
      <c r="AE319" s="24" t="s">
        <v>47</v>
      </c>
      <c r="AF319" s="118" t="s">
        <v>42</v>
      </c>
      <c r="AG319" s="114" t="s">
        <v>285</v>
      </c>
      <c r="AI319" s="104">
        <v>970</v>
      </c>
      <c r="AJ319">
        <v>2013</v>
      </c>
    </row>
    <row r="320" spans="2:36" hidden="1" x14ac:dyDescent="0.25">
      <c r="B320" s="24" t="s">
        <v>70</v>
      </c>
      <c r="C320" s="24">
        <v>2</v>
      </c>
      <c r="E320" s="27">
        <v>39682</v>
      </c>
      <c r="F320" s="104">
        <f t="shared" si="32"/>
        <v>2341</v>
      </c>
      <c r="G320" s="25">
        <v>40652</v>
      </c>
      <c r="H320" s="25">
        <v>42023</v>
      </c>
      <c r="I320" s="104">
        <f t="shared" si="31"/>
        <v>970</v>
      </c>
      <c r="J320" s="19">
        <f t="shared" si="37"/>
        <v>1371</v>
      </c>
      <c r="K320" t="s">
        <v>69</v>
      </c>
      <c r="L320" s="4">
        <v>5.84</v>
      </c>
      <c r="M320" s="19">
        <f t="shared" si="33"/>
        <v>1</v>
      </c>
      <c r="N320" s="19">
        <f t="shared" si="34"/>
        <v>1</v>
      </c>
      <c r="O320" s="19">
        <f t="shared" si="35"/>
        <v>1</v>
      </c>
      <c r="P320" s="19">
        <f t="shared" si="36"/>
        <v>1</v>
      </c>
      <c r="Q320" s="4">
        <v>83</v>
      </c>
      <c r="R320" s="4">
        <v>0</v>
      </c>
      <c r="S320" s="24">
        <v>0</v>
      </c>
      <c r="T320" s="125">
        <v>0</v>
      </c>
      <c r="U320" s="125">
        <v>0</v>
      </c>
      <c r="V320" s="24">
        <v>60</v>
      </c>
      <c r="W320" s="24">
        <v>0</v>
      </c>
      <c r="X320" s="24">
        <v>2</v>
      </c>
      <c r="Y320" s="24">
        <v>0.35</v>
      </c>
      <c r="Z320" s="24">
        <v>3</v>
      </c>
      <c r="AA320" s="24">
        <v>0.35</v>
      </c>
      <c r="AB320" s="24">
        <v>0</v>
      </c>
      <c r="AC320" s="24">
        <v>0</v>
      </c>
      <c r="AD320" s="24">
        <v>0</v>
      </c>
      <c r="AE320" s="24" t="s">
        <v>47</v>
      </c>
      <c r="AF320" s="118" t="s">
        <v>42</v>
      </c>
      <c r="AG320" s="114" t="s">
        <v>285</v>
      </c>
      <c r="AI320" s="104">
        <v>1131</v>
      </c>
      <c r="AJ320">
        <v>2016</v>
      </c>
    </row>
    <row r="321" spans="2:36" hidden="1" x14ac:dyDescent="0.25">
      <c r="B321" s="4" t="s">
        <v>70</v>
      </c>
      <c r="C321" s="4">
        <v>2</v>
      </c>
      <c r="E321" s="13">
        <v>39682</v>
      </c>
      <c r="F321" s="104">
        <f t="shared" si="32"/>
        <v>2341</v>
      </c>
      <c r="G321" s="13">
        <v>40813</v>
      </c>
      <c r="H321" s="25">
        <v>42023</v>
      </c>
      <c r="I321" s="104">
        <f t="shared" ref="I321:I384" si="38">G321-E321</f>
        <v>1131</v>
      </c>
      <c r="J321" s="19">
        <f t="shared" si="37"/>
        <v>1210</v>
      </c>
      <c r="K321" t="s">
        <v>69</v>
      </c>
      <c r="L321" s="4">
        <v>5.39</v>
      </c>
      <c r="M321" s="19">
        <f t="shared" si="33"/>
        <v>1</v>
      </c>
      <c r="N321" s="19">
        <f t="shared" si="34"/>
        <v>1</v>
      </c>
      <c r="O321" s="19">
        <f t="shared" si="35"/>
        <v>1</v>
      </c>
      <c r="P321" s="19">
        <f t="shared" si="36"/>
        <v>1</v>
      </c>
      <c r="Q321" s="4">
        <v>87</v>
      </c>
      <c r="R321" s="4">
        <v>0</v>
      </c>
      <c r="S321" s="24">
        <v>0</v>
      </c>
      <c r="T321" s="125">
        <v>1</v>
      </c>
      <c r="U321" s="125">
        <v>0</v>
      </c>
      <c r="V321" s="24">
        <v>60</v>
      </c>
      <c r="W321" s="4">
        <v>0</v>
      </c>
      <c r="X321" s="4">
        <v>2</v>
      </c>
      <c r="Y321" s="4">
        <v>0.35</v>
      </c>
      <c r="Z321" s="4">
        <v>3.5</v>
      </c>
      <c r="AA321" s="4">
        <v>0.35</v>
      </c>
      <c r="AB321" s="24">
        <v>0</v>
      </c>
      <c r="AC321" s="24">
        <v>0</v>
      </c>
      <c r="AD321" s="24">
        <v>0</v>
      </c>
      <c r="AE321" s="4" t="s">
        <v>47</v>
      </c>
      <c r="AF321" s="118" t="s">
        <v>45</v>
      </c>
      <c r="AG321" s="118" t="s">
        <v>43</v>
      </c>
      <c r="AI321" s="104">
        <v>1180</v>
      </c>
      <c r="AJ321">
        <v>2016</v>
      </c>
    </row>
    <row r="322" spans="2:36" hidden="1" x14ac:dyDescent="0.25">
      <c r="B322" s="4" t="s">
        <v>70</v>
      </c>
      <c r="C322" s="4">
        <v>2</v>
      </c>
      <c r="E322" s="13">
        <v>39682</v>
      </c>
      <c r="F322" s="104">
        <f t="shared" si="32"/>
        <v>2341</v>
      </c>
      <c r="G322" s="13">
        <v>40862</v>
      </c>
      <c r="H322" s="25">
        <v>42023</v>
      </c>
      <c r="I322" s="104">
        <f t="shared" si="38"/>
        <v>1180</v>
      </c>
      <c r="J322" s="19">
        <f t="shared" si="37"/>
        <v>1161</v>
      </c>
      <c r="K322" t="s">
        <v>69</v>
      </c>
      <c r="L322" s="4">
        <v>5.33</v>
      </c>
      <c r="M322" s="19">
        <f t="shared" si="33"/>
        <v>1</v>
      </c>
      <c r="N322" s="19">
        <f t="shared" si="34"/>
        <v>1</v>
      </c>
      <c r="O322" s="19">
        <f t="shared" si="35"/>
        <v>1</v>
      </c>
      <c r="P322" s="19">
        <f t="shared" si="36"/>
        <v>1</v>
      </c>
      <c r="Q322" s="4">
        <v>86</v>
      </c>
      <c r="R322" s="4">
        <v>0</v>
      </c>
      <c r="S322" s="24">
        <v>0</v>
      </c>
      <c r="T322" s="125">
        <v>0</v>
      </c>
      <c r="U322" s="125">
        <v>0</v>
      </c>
      <c r="V322" s="24">
        <v>60</v>
      </c>
      <c r="W322" s="4">
        <v>0</v>
      </c>
      <c r="X322" s="4">
        <v>2</v>
      </c>
      <c r="Y322" s="4">
        <v>0.35</v>
      </c>
      <c r="Z322" s="4">
        <v>3.5</v>
      </c>
      <c r="AA322" s="4">
        <v>0.35</v>
      </c>
      <c r="AB322" s="24">
        <v>0</v>
      </c>
      <c r="AC322" s="24">
        <v>0</v>
      </c>
      <c r="AD322" s="24">
        <v>0</v>
      </c>
      <c r="AE322" s="4" t="s">
        <v>47</v>
      </c>
      <c r="AF322" s="118" t="s">
        <v>42</v>
      </c>
      <c r="AG322" s="118" t="s">
        <v>43</v>
      </c>
      <c r="AI322" s="104">
        <v>1369</v>
      </c>
      <c r="AJ322">
        <v>2023</v>
      </c>
    </row>
    <row r="323" spans="2:36" hidden="1" x14ac:dyDescent="0.25">
      <c r="B323" s="4" t="s">
        <v>70</v>
      </c>
      <c r="C323" s="4">
        <v>2</v>
      </c>
      <c r="E323" s="13">
        <v>39682</v>
      </c>
      <c r="F323" s="104">
        <f t="shared" ref="F323:F386" si="39">H323-E323</f>
        <v>2341</v>
      </c>
      <c r="G323" s="13">
        <v>41051</v>
      </c>
      <c r="H323" s="25">
        <v>42023</v>
      </c>
      <c r="I323" s="104">
        <f t="shared" si="38"/>
        <v>1369</v>
      </c>
      <c r="J323" s="19">
        <f t="shared" si="37"/>
        <v>972</v>
      </c>
      <c r="K323" t="s">
        <v>69</v>
      </c>
      <c r="L323" s="4">
        <v>5.21</v>
      </c>
      <c r="M323" s="19">
        <f t="shared" ref="M323:M386" si="40">IF($J323&gt;540,1,0)</f>
        <v>1</v>
      </c>
      <c r="N323" s="19">
        <f t="shared" ref="N323:N386" si="41">IF($J323&gt;360,1,0)</f>
        <v>1</v>
      </c>
      <c r="O323" s="19">
        <f t="shared" ref="O323:O386" si="42">IF($J323&gt;180,1,0)</f>
        <v>1</v>
      </c>
      <c r="P323" s="19">
        <f t="shared" ref="P323:P386" si="43">IF($J323&gt;90,1,0)</f>
        <v>1</v>
      </c>
      <c r="Q323" s="4">
        <v>87</v>
      </c>
      <c r="R323" s="4">
        <v>0</v>
      </c>
      <c r="S323" s="24">
        <v>0</v>
      </c>
      <c r="T323" s="125">
        <v>0</v>
      </c>
      <c r="U323" s="125">
        <v>0</v>
      </c>
      <c r="V323" s="24">
        <v>60</v>
      </c>
      <c r="W323" s="4">
        <v>0</v>
      </c>
      <c r="X323" s="4">
        <v>2</v>
      </c>
      <c r="Y323" s="4">
        <v>0.35</v>
      </c>
      <c r="Z323" s="4">
        <v>3.5</v>
      </c>
      <c r="AA323" s="4">
        <v>0.35</v>
      </c>
      <c r="AB323" s="24">
        <v>0</v>
      </c>
      <c r="AC323" s="24">
        <v>0</v>
      </c>
      <c r="AD323" s="24">
        <v>0</v>
      </c>
      <c r="AE323" s="4" t="s">
        <v>47</v>
      </c>
      <c r="AF323" s="118" t="s">
        <v>42</v>
      </c>
      <c r="AG323" s="118" t="s">
        <v>43</v>
      </c>
      <c r="AI323" s="104">
        <v>1530</v>
      </c>
      <c r="AJ323">
        <v>2029</v>
      </c>
    </row>
    <row r="324" spans="2:36" hidden="1" x14ac:dyDescent="0.25">
      <c r="B324" s="4" t="s">
        <v>70</v>
      </c>
      <c r="C324" s="4">
        <v>2</v>
      </c>
      <c r="E324" s="13">
        <v>39682</v>
      </c>
      <c r="F324" s="104">
        <f t="shared" si="39"/>
        <v>2341</v>
      </c>
      <c r="G324" s="13">
        <v>41212</v>
      </c>
      <c r="H324" s="25">
        <v>42023</v>
      </c>
      <c r="I324" s="104">
        <f t="shared" si="38"/>
        <v>1530</v>
      </c>
      <c r="J324" s="19">
        <f t="shared" si="37"/>
        <v>811</v>
      </c>
      <c r="K324" t="s">
        <v>69</v>
      </c>
      <c r="L324" s="4">
        <v>5.16</v>
      </c>
      <c r="M324" s="19">
        <f t="shared" si="40"/>
        <v>1</v>
      </c>
      <c r="N324" s="19">
        <f t="shared" si="41"/>
        <v>1</v>
      </c>
      <c r="O324" s="19">
        <f t="shared" si="42"/>
        <v>1</v>
      </c>
      <c r="P324" s="19">
        <f t="shared" si="43"/>
        <v>1</v>
      </c>
      <c r="Q324" s="4">
        <v>88</v>
      </c>
      <c r="R324" s="4">
        <v>0</v>
      </c>
      <c r="S324" s="24">
        <v>0</v>
      </c>
      <c r="T324" s="125">
        <v>0</v>
      </c>
      <c r="U324" s="125">
        <v>0</v>
      </c>
      <c r="V324" s="24">
        <v>60</v>
      </c>
      <c r="W324" s="4">
        <v>0</v>
      </c>
      <c r="X324" s="4">
        <v>2</v>
      </c>
      <c r="Y324" s="4">
        <v>0.35</v>
      </c>
      <c r="Z324" s="4">
        <v>3.5</v>
      </c>
      <c r="AA324" s="4">
        <v>0.35</v>
      </c>
      <c r="AB324" s="24">
        <v>0</v>
      </c>
      <c r="AC324" s="24">
        <v>0</v>
      </c>
      <c r="AD324" s="24">
        <v>0</v>
      </c>
      <c r="AE324" s="4" t="s">
        <v>47</v>
      </c>
      <c r="AF324" s="118" t="s">
        <v>42</v>
      </c>
      <c r="AG324" s="118" t="s">
        <v>43</v>
      </c>
      <c r="AI324" s="104">
        <v>1642</v>
      </c>
      <c r="AJ324">
        <v>2030</v>
      </c>
    </row>
    <row r="325" spans="2:36" hidden="1" x14ac:dyDescent="0.25">
      <c r="B325" s="4" t="s">
        <v>70</v>
      </c>
      <c r="C325" s="4">
        <v>2</v>
      </c>
      <c r="E325" s="13">
        <v>39682</v>
      </c>
      <c r="F325" s="104">
        <f t="shared" si="39"/>
        <v>2341</v>
      </c>
      <c r="G325" s="13">
        <v>41324</v>
      </c>
      <c r="H325" s="25">
        <v>42023</v>
      </c>
      <c r="I325" s="104">
        <f t="shared" si="38"/>
        <v>1642</v>
      </c>
      <c r="J325" s="19">
        <f t="shared" si="37"/>
        <v>699</v>
      </c>
      <c r="K325" t="s">
        <v>69</v>
      </c>
      <c r="L325" s="4">
        <v>5.14</v>
      </c>
      <c r="M325" s="19">
        <f t="shared" si="40"/>
        <v>1</v>
      </c>
      <c r="N325" s="19">
        <f t="shared" si="41"/>
        <v>1</v>
      </c>
      <c r="O325" s="19">
        <f t="shared" si="42"/>
        <v>1</v>
      </c>
      <c r="P325" s="19">
        <f t="shared" si="43"/>
        <v>1</v>
      </c>
      <c r="Q325" s="4">
        <v>87</v>
      </c>
      <c r="R325" s="4">
        <v>0</v>
      </c>
      <c r="S325" s="24">
        <v>0</v>
      </c>
      <c r="T325" s="125">
        <v>0</v>
      </c>
      <c r="U325" s="125">
        <v>0</v>
      </c>
      <c r="V325" s="24">
        <v>60</v>
      </c>
      <c r="W325" s="4">
        <v>0</v>
      </c>
      <c r="X325" s="4">
        <v>2</v>
      </c>
      <c r="Y325" s="4">
        <v>0.35</v>
      </c>
      <c r="Z325" s="4">
        <v>3.5</v>
      </c>
      <c r="AA325" s="4">
        <v>0.35</v>
      </c>
      <c r="AB325" s="24">
        <v>0</v>
      </c>
      <c r="AC325" s="24">
        <v>0</v>
      </c>
      <c r="AD325" s="24">
        <v>0</v>
      </c>
      <c r="AE325" s="4" t="s">
        <v>47</v>
      </c>
      <c r="AF325" s="118" t="s">
        <v>42</v>
      </c>
      <c r="AG325" s="118" t="s">
        <v>43</v>
      </c>
      <c r="AI325" s="104">
        <v>1768</v>
      </c>
      <c r="AJ325">
        <v>2030</v>
      </c>
    </row>
    <row r="326" spans="2:36" hidden="1" x14ac:dyDescent="0.25">
      <c r="B326" s="4" t="s">
        <v>70</v>
      </c>
      <c r="C326" s="4">
        <v>2</v>
      </c>
      <c r="E326" s="13">
        <v>39682</v>
      </c>
      <c r="F326" s="104">
        <f t="shared" si="39"/>
        <v>2341</v>
      </c>
      <c r="G326" s="13">
        <v>41450</v>
      </c>
      <c r="H326" s="25">
        <v>42023</v>
      </c>
      <c r="I326" s="104">
        <f t="shared" si="38"/>
        <v>1768</v>
      </c>
      <c r="J326" s="19">
        <f t="shared" si="37"/>
        <v>573</v>
      </c>
      <c r="K326" t="s">
        <v>69</v>
      </c>
      <c r="L326" s="4">
        <v>5.14</v>
      </c>
      <c r="M326" s="19">
        <f t="shared" si="40"/>
        <v>1</v>
      </c>
      <c r="N326" s="19">
        <f t="shared" si="41"/>
        <v>1</v>
      </c>
      <c r="O326" s="19">
        <f t="shared" si="42"/>
        <v>1</v>
      </c>
      <c r="P326" s="19">
        <f t="shared" si="43"/>
        <v>1</v>
      </c>
      <c r="Q326" s="4">
        <v>88</v>
      </c>
      <c r="R326" s="4">
        <v>0</v>
      </c>
      <c r="S326" s="24">
        <v>0</v>
      </c>
      <c r="T326" s="128">
        <v>0</v>
      </c>
      <c r="U326" s="128">
        <v>0</v>
      </c>
      <c r="V326" s="24">
        <v>60</v>
      </c>
      <c r="W326" s="4">
        <v>0</v>
      </c>
      <c r="X326" s="4">
        <v>2</v>
      </c>
      <c r="Y326" s="4">
        <v>0.35</v>
      </c>
      <c r="Z326" s="4">
        <v>3.5</v>
      </c>
      <c r="AA326" s="4">
        <v>0.35</v>
      </c>
      <c r="AB326" s="24">
        <v>0</v>
      </c>
      <c r="AC326" s="24">
        <v>0</v>
      </c>
      <c r="AD326" s="24">
        <v>0</v>
      </c>
      <c r="AE326" s="4" t="s">
        <v>47</v>
      </c>
      <c r="AG326" s="118" t="s">
        <v>43</v>
      </c>
      <c r="AI326" s="104">
        <v>1846</v>
      </c>
      <c r="AJ326">
        <v>2030</v>
      </c>
    </row>
    <row r="327" spans="2:36" hidden="1" x14ac:dyDescent="0.25">
      <c r="B327" s="4" t="s">
        <v>70</v>
      </c>
      <c r="C327" s="4">
        <v>2</v>
      </c>
      <c r="E327" s="13">
        <v>39682</v>
      </c>
      <c r="F327" s="104">
        <f t="shared" si="39"/>
        <v>2341</v>
      </c>
      <c r="G327" s="13">
        <v>41528</v>
      </c>
      <c r="H327" s="25">
        <v>42023</v>
      </c>
      <c r="I327" s="104">
        <f t="shared" si="38"/>
        <v>1846</v>
      </c>
      <c r="J327" s="19">
        <f t="shared" ref="J327:J390" si="44">H327-G327</f>
        <v>495</v>
      </c>
      <c r="K327" t="s">
        <v>69</v>
      </c>
      <c r="L327" s="4">
        <v>5.13</v>
      </c>
      <c r="M327" s="19">
        <f t="shared" si="40"/>
        <v>0</v>
      </c>
      <c r="N327" s="19">
        <f t="shared" si="41"/>
        <v>1</v>
      </c>
      <c r="O327" s="19">
        <f t="shared" si="42"/>
        <v>1</v>
      </c>
      <c r="P327" s="19">
        <f t="shared" si="43"/>
        <v>1</v>
      </c>
      <c r="Q327" s="4">
        <v>87</v>
      </c>
      <c r="R327" s="4">
        <v>0</v>
      </c>
      <c r="S327" s="24">
        <v>0</v>
      </c>
      <c r="T327" s="128">
        <v>0</v>
      </c>
      <c r="U327" s="128">
        <v>0</v>
      </c>
      <c r="V327" s="24">
        <v>60</v>
      </c>
      <c r="W327" s="4">
        <v>0</v>
      </c>
      <c r="X327" s="4">
        <v>2</v>
      </c>
      <c r="Y327" s="4">
        <v>0.35</v>
      </c>
      <c r="Z327" s="4">
        <v>3.5</v>
      </c>
      <c r="AA327" s="4">
        <v>0.35</v>
      </c>
      <c r="AB327" s="24">
        <v>0</v>
      </c>
      <c r="AC327" s="24">
        <v>0</v>
      </c>
      <c r="AD327" s="24">
        <v>0</v>
      </c>
      <c r="AE327" s="4" t="s">
        <v>47</v>
      </c>
      <c r="AG327" s="118" t="s">
        <v>43</v>
      </c>
      <c r="AI327" s="104">
        <v>2005</v>
      </c>
      <c r="AJ327">
        <v>2037</v>
      </c>
    </row>
    <row r="328" spans="2:36" hidden="1" x14ac:dyDescent="0.25">
      <c r="B328" s="4" t="s">
        <v>70</v>
      </c>
      <c r="C328" s="4">
        <v>2</v>
      </c>
      <c r="E328" s="13">
        <v>39682</v>
      </c>
      <c r="F328" s="104">
        <f t="shared" si="39"/>
        <v>2341</v>
      </c>
      <c r="G328" s="23">
        <v>41687</v>
      </c>
      <c r="H328" s="25">
        <v>42023</v>
      </c>
      <c r="I328" s="104">
        <f t="shared" si="38"/>
        <v>2005</v>
      </c>
      <c r="J328" s="19">
        <f t="shared" si="44"/>
        <v>336</v>
      </c>
      <c r="K328" t="s">
        <v>69</v>
      </c>
      <c r="L328" s="24">
        <v>5.1100000000000003</v>
      </c>
      <c r="M328" s="19">
        <f t="shared" si="40"/>
        <v>0</v>
      </c>
      <c r="N328" s="19">
        <f t="shared" si="41"/>
        <v>0</v>
      </c>
      <c r="O328" s="19">
        <f t="shared" si="42"/>
        <v>1</v>
      </c>
      <c r="P328" s="19">
        <f t="shared" si="43"/>
        <v>1</v>
      </c>
      <c r="Q328" s="24">
        <v>84</v>
      </c>
      <c r="R328" s="4">
        <v>0</v>
      </c>
      <c r="S328" s="24">
        <v>0</v>
      </c>
      <c r="T328" s="128">
        <v>0</v>
      </c>
      <c r="U328" s="128">
        <v>0</v>
      </c>
      <c r="V328" s="24">
        <v>60</v>
      </c>
      <c r="W328" s="4">
        <v>0</v>
      </c>
      <c r="X328" s="4">
        <v>2</v>
      </c>
      <c r="Y328" s="4">
        <v>0.35</v>
      </c>
      <c r="Z328" s="4">
        <v>3.5</v>
      </c>
      <c r="AA328" s="4">
        <v>0.35</v>
      </c>
      <c r="AB328" s="4">
        <v>0</v>
      </c>
      <c r="AC328" s="24">
        <v>0</v>
      </c>
      <c r="AD328" s="24">
        <v>0</v>
      </c>
      <c r="AE328" s="4" t="s">
        <v>47</v>
      </c>
      <c r="AG328" s="118" t="s">
        <v>43</v>
      </c>
      <c r="AI328" s="104">
        <v>2090</v>
      </c>
      <c r="AJ328">
        <v>2039</v>
      </c>
    </row>
    <row r="329" spans="2:36" hidden="1" x14ac:dyDescent="0.25">
      <c r="B329" s="4" t="s">
        <v>70</v>
      </c>
      <c r="C329" s="4">
        <v>2</v>
      </c>
      <c r="E329" s="13">
        <v>39682</v>
      </c>
      <c r="F329" s="104">
        <f t="shared" si="39"/>
        <v>2341</v>
      </c>
      <c r="G329" s="25">
        <v>41772</v>
      </c>
      <c r="H329" s="25">
        <v>42023</v>
      </c>
      <c r="I329" s="104">
        <f t="shared" si="38"/>
        <v>2090</v>
      </c>
      <c r="J329" s="19">
        <f t="shared" si="44"/>
        <v>251</v>
      </c>
      <c r="K329" t="s">
        <v>69</v>
      </c>
      <c r="L329" s="4">
        <v>5.0999999999999996</v>
      </c>
      <c r="M329" s="19">
        <f t="shared" si="40"/>
        <v>0</v>
      </c>
      <c r="N329" s="19">
        <f t="shared" si="41"/>
        <v>0</v>
      </c>
      <c r="O329" s="19">
        <f t="shared" si="42"/>
        <v>1</v>
      </c>
      <c r="P329" s="19">
        <f t="shared" si="43"/>
        <v>1</v>
      </c>
      <c r="Q329" s="4">
        <v>84</v>
      </c>
      <c r="R329" s="4">
        <v>0</v>
      </c>
      <c r="S329" s="24">
        <v>0</v>
      </c>
      <c r="T329" s="128">
        <v>0</v>
      </c>
      <c r="U329" s="128">
        <v>0</v>
      </c>
      <c r="V329" s="24">
        <v>60</v>
      </c>
      <c r="W329" s="4">
        <v>0</v>
      </c>
      <c r="X329" s="4">
        <v>2</v>
      </c>
      <c r="Y329" s="4">
        <v>0.35</v>
      </c>
      <c r="Z329" s="4">
        <v>3.5</v>
      </c>
      <c r="AA329" s="4">
        <v>0.35</v>
      </c>
      <c r="AB329" s="24">
        <v>0</v>
      </c>
      <c r="AC329" s="24">
        <v>0</v>
      </c>
      <c r="AD329" s="24">
        <v>0</v>
      </c>
      <c r="AE329" s="4" t="s">
        <v>47</v>
      </c>
      <c r="AG329" s="118" t="s">
        <v>43</v>
      </c>
      <c r="AI329" s="104">
        <v>2153</v>
      </c>
      <c r="AJ329">
        <v>2047</v>
      </c>
    </row>
    <row r="330" spans="2:36" hidden="1" x14ac:dyDescent="0.25">
      <c r="B330" s="4" t="s">
        <v>70</v>
      </c>
      <c r="C330" s="4">
        <v>2</v>
      </c>
      <c r="E330" s="13">
        <v>39682</v>
      </c>
      <c r="F330" s="104">
        <f t="shared" si="39"/>
        <v>2341</v>
      </c>
      <c r="G330" s="25">
        <v>41835</v>
      </c>
      <c r="H330" s="25">
        <v>42023</v>
      </c>
      <c r="I330" s="104">
        <f t="shared" si="38"/>
        <v>2153</v>
      </c>
      <c r="J330" s="19">
        <f t="shared" si="44"/>
        <v>188</v>
      </c>
      <c r="K330" t="s">
        <v>69</v>
      </c>
      <c r="L330" s="4">
        <v>5.07</v>
      </c>
      <c r="M330" s="19">
        <f t="shared" si="40"/>
        <v>0</v>
      </c>
      <c r="N330" s="19">
        <f t="shared" si="41"/>
        <v>0</v>
      </c>
      <c r="O330" s="19">
        <f t="shared" si="42"/>
        <v>1</v>
      </c>
      <c r="P330" s="19">
        <f t="shared" si="43"/>
        <v>1</v>
      </c>
      <c r="Q330" s="4">
        <v>80</v>
      </c>
      <c r="R330" s="4">
        <v>0</v>
      </c>
      <c r="S330" s="24">
        <v>0</v>
      </c>
      <c r="T330" s="128">
        <v>0</v>
      </c>
      <c r="U330" s="128">
        <v>0</v>
      </c>
      <c r="V330" s="24">
        <v>60</v>
      </c>
      <c r="W330" s="4">
        <v>0</v>
      </c>
      <c r="X330" s="4">
        <v>2</v>
      </c>
      <c r="Y330" s="4">
        <v>0.35</v>
      </c>
      <c r="Z330" s="4">
        <v>3.5</v>
      </c>
      <c r="AA330" s="4">
        <v>0.35</v>
      </c>
      <c r="AB330" s="24">
        <v>0</v>
      </c>
      <c r="AC330" s="24">
        <v>0</v>
      </c>
      <c r="AD330" s="24">
        <v>0</v>
      </c>
      <c r="AE330" s="4" t="s">
        <v>47</v>
      </c>
      <c r="AG330" s="118" t="s">
        <v>43</v>
      </c>
      <c r="AI330" s="104">
        <v>2232</v>
      </c>
      <c r="AJ330">
        <v>2048</v>
      </c>
    </row>
    <row r="331" spans="2:36" hidden="1" x14ac:dyDescent="0.25">
      <c r="B331" s="4" t="s">
        <v>70</v>
      </c>
      <c r="C331" s="4">
        <v>2</v>
      </c>
      <c r="E331" s="13">
        <v>39682</v>
      </c>
      <c r="F331" s="104">
        <f t="shared" si="39"/>
        <v>2341</v>
      </c>
      <c r="G331" s="25">
        <v>41914</v>
      </c>
      <c r="H331" s="25">
        <v>42023</v>
      </c>
      <c r="I331" s="104">
        <f t="shared" si="38"/>
        <v>2232</v>
      </c>
      <c r="J331" s="19">
        <f t="shared" si="44"/>
        <v>109</v>
      </c>
      <c r="K331" t="s">
        <v>69</v>
      </c>
      <c r="L331" s="4">
        <v>5.04</v>
      </c>
      <c r="M331" s="19">
        <f t="shared" si="40"/>
        <v>0</v>
      </c>
      <c r="N331" s="19">
        <f t="shared" si="41"/>
        <v>0</v>
      </c>
      <c r="O331" s="19">
        <f t="shared" si="42"/>
        <v>0</v>
      </c>
      <c r="P331" s="19">
        <f t="shared" si="43"/>
        <v>1</v>
      </c>
      <c r="Q331" s="4">
        <v>81</v>
      </c>
      <c r="R331" s="4">
        <v>0</v>
      </c>
      <c r="S331" s="24">
        <v>0</v>
      </c>
      <c r="T331" s="128">
        <v>0</v>
      </c>
      <c r="U331" s="128">
        <v>0</v>
      </c>
      <c r="V331" s="24">
        <v>60</v>
      </c>
      <c r="W331" s="4">
        <v>0</v>
      </c>
      <c r="X331" s="4">
        <v>2</v>
      </c>
      <c r="Y331" s="4">
        <v>0.35</v>
      </c>
      <c r="Z331" s="4">
        <v>3.5</v>
      </c>
      <c r="AA331" s="4">
        <v>0.35</v>
      </c>
      <c r="AB331" s="24">
        <v>0</v>
      </c>
      <c r="AC331" s="24">
        <v>0</v>
      </c>
      <c r="AD331" s="24">
        <v>0</v>
      </c>
      <c r="AE331" s="4" t="s">
        <v>47</v>
      </c>
      <c r="AG331" s="118" t="s">
        <v>43</v>
      </c>
      <c r="AI331" s="104">
        <v>2341</v>
      </c>
      <c r="AJ331">
        <v>2048</v>
      </c>
    </row>
    <row r="332" spans="2:36" hidden="1" x14ac:dyDescent="0.25">
      <c r="B332" s="4" t="s">
        <v>70</v>
      </c>
      <c r="C332" s="4">
        <v>2</v>
      </c>
      <c r="E332" s="13">
        <v>39682</v>
      </c>
      <c r="F332" s="104">
        <f t="shared" si="39"/>
        <v>2341</v>
      </c>
      <c r="G332" s="25">
        <v>42023</v>
      </c>
      <c r="H332" s="25">
        <v>42023</v>
      </c>
      <c r="I332" s="104">
        <f t="shared" si="38"/>
        <v>2341</v>
      </c>
      <c r="J332" s="19">
        <f t="shared" si="44"/>
        <v>0</v>
      </c>
      <c r="K332" t="s">
        <v>69</v>
      </c>
      <c r="L332" s="4">
        <v>4.9400000000000004</v>
      </c>
      <c r="M332" s="19">
        <f t="shared" si="40"/>
        <v>0</v>
      </c>
      <c r="N332" s="19">
        <f t="shared" si="41"/>
        <v>0</v>
      </c>
      <c r="O332" s="19">
        <f t="shared" si="42"/>
        <v>0</v>
      </c>
      <c r="P332" s="19">
        <f t="shared" si="43"/>
        <v>0</v>
      </c>
      <c r="Q332" s="4">
        <v>81</v>
      </c>
      <c r="R332" s="4">
        <v>0</v>
      </c>
      <c r="S332" s="24">
        <v>0</v>
      </c>
      <c r="T332" s="128">
        <v>0</v>
      </c>
      <c r="U332" s="128">
        <v>0</v>
      </c>
      <c r="V332" s="24">
        <v>60</v>
      </c>
      <c r="W332" s="4">
        <v>0</v>
      </c>
      <c r="X332" s="4">
        <v>2</v>
      </c>
      <c r="Y332" s="4">
        <v>0.35</v>
      </c>
      <c r="Z332" s="4">
        <v>3.5</v>
      </c>
      <c r="AA332" s="4">
        <v>0.35</v>
      </c>
      <c r="AB332" s="24">
        <v>0</v>
      </c>
      <c r="AC332" s="24">
        <v>0</v>
      </c>
      <c r="AD332" s="24">
        <v>0</v>
      </c>
      <c r="AE332" s="4" t="s">
        <v>47</v>
      </c>
      <c r="AG332" s="118" t="s">
        <v>43</v>
      </c>
      <c r="AI332" s="104">
        <v>1064</v>
      </c>
      <c r="AJ332">
        <v>2049</v>
      </c>
    </row>
    <row r="333" spans="2:36" hidden="1" x14ac:dyDescent="0.25">
      <c r="B333" s="24" t="s">
        <v>192</v>
      </c>
      <c r="C333" s="24">
        <v>2</v>
      </c>
      <c r="D333" s="24"/>
      <c r="E333" s="42">
        <v>39749</v>
      </c>
      <c r="F333" s="104">
        <f t="shared" si="39"/>
        <v>2274</v>
      </c>
      <c r="G333" s="23">
        <v>40813</v>
      </c>
      <c r="H333" s="25">
        <v>42023</v>
      </c>
      <c r="I333" s="104">
        <f t="shared" si="38"/>
        <v>1064</v>
      </c>
      <c r="J333" s="19">
        <f t="shared" si="44"/>
        <v>1210</v>
      </c>
      <c r="K333" t="s">
        <v>69</v>
      </c>
      <c r="L333" s="24">
        <v>6.12</v>
      </c>
      <c r="M333" s="19">
        <f t="shared" si="40"/>
        <v>1</v>
      </c>
      <c r="N333" s="19">
        <f t="shared" si="41"/>
        <v>1</v>
      </c>
      <c r="O333" s="19">
        <f t="shared" si="42"/>
        <v>1</v>
      </c>
      <c r="P333" s="19">
        <f t="shared" si="43"/>
        <v>1</v>
      </c>
      <c r="Q333" s="24">
        <v>35</v>
      </c>
      <c r="R333" s="24">
        <v>0</v>
      </c>
      <c r="S333" s="24">
        <v>0</v>
      </c>
      <c r="T333" s="129">
        <v>0</v>
      </c>
      <c r="U333" s="129">
        <v>11</v>
      </c>
      <c r="V333" s="24">
        <v>60</v>
      </c>
      <c r="W333" s="24">
        <v>0</v>
      </c>
      <c r="X333" s="24">
        <v>1.5</v>
      </c>
      <c r="Y333" s="24">
        <v>0.35</v>
      </c>
      <c r="Z333" s="24">
        <v>2</v>
      </c>
      <c r="AA333" s="24">
        <v>0.35</v>
      </c>
      <c r="AB333" s="24">
        <v>0</v>
      </c>
      <c r="AC333" s="24">
        <v>0</v>
      </c>
      <c r="AD333" s="24">
        <v>0</v>
      </c>
      <c r="AE333" s="24" t="s">
        <v>47</v>
      </c>
      <c r="AF333" s="114" t="s">
        <v>193</v>
      </c>
      <c r="AG333" s="114" t="s">
        <v>43</v>
      </c>
      <c r="AI333" s="104">
        <v>1239</v>
      </c>
      <c r="AJ333">
        <v>2051</v>
      </c>
    </row>
    <row r="334" spans="2:36" hidden="1" x14ac:dyDescent="0.25">
      <c r="B334" s="24" t="s">
        <v>192</v>
      </c>
      <c r="C334" s="24">
        <v>2</v>
      </c>
      <c r="D334" s="24"/>
      <c r="E334" s="42">
        <v>39749</v>
      </c>
      <c r="F334" s="104">
        <f t="shared" si="39"/>
        <v>2274</v>
      </c>
      <c r="G334" s="23">
        <v>40988</v>
      </c>
      <c r="H334" s="25">
        <v>42023</v>
      </c>
      <c r="I334" s="104">
        <f t="shared" si="38"/>
        <v>1239</v>
      </c>
      <c r="J334" s="19">
        <f t="shared" si="44"/>
        <v>1035</v>
      </c>
      <c r="K334" t="s">
        <v>69</v>
      </c>
      <c r="L334" s="40">
        <v>5.89</v>
      </c>
      <c r="M334" s="19">
        <f t="shared" si="40"/>
        <v>1</v>
      </c>
      <c r="N334" s="19">
        <f t="shared" si="41"/>
        <v>1</v>
      </c>
      <c r="O334" s="19">
        <f t="shared" si="42"/>
        <v>1</v>
      </c>
      <c r="P334" s="19">
        <f t="shared" si="43"/>
        <v>1</v>
      </c>
      <c r="Q334" s="24">
        <v>40</v>
      </c>
      <c r="R334" s="24">
        <v>0</v>
      </c>
      <c r="S334" s="24">
        <v>0</v>
      </c>
      <c r="T334" s="129">
        <v>0</v>
      </c>
      <c r="U334" s="129">
        <v>0</v>
      </c>
      <c r="V334" s="24">
        <v>60</v>
      </c>
      <c r="W334" s="24">
        <v>0</v>
      </c>
      <c r="X334" s="24">
        <v>1.5</v>
      </c>
      <c r="Y334" s="24">
        <v>0.35</v>
      </c>
      <c r="Z334" s="24">
        <v>2</v>
      </c>
      <c r="AA334" s="24">
        <v>0.35</v>
      </c>
      <c r="AB334" s="24">
        <v>0</v>
      </c>
      <c r="AC334" s="24">
        <v>0</v>
      </c>
      <c r="AD334" s="24">
        <v>0</v>
      </c>
      <c r="AE334" s="24" t="s">
        <v>47</v>
      </c>
      <c r="AF334" s="114" t="s">
        <v>42</v>
      </c>
      <c r="AG334" s="114" t="s">
        <v>43</v>
      </c>
      <c r="AI334" s="104">
        <v>1421</v>
      </c>
      <c r="AJ334">
        <v>2058</v>
      </c>
    </row>
    <row r="335" spans="2:36" hidden="1" x14ac:dyDescent="0.25">
      <c r="B335" s="24" t="s">
        <v>192</v>
      </c>
      <c r="C335" s="24">
        <v>2</v>
      </c>
      <c r="D335" s="24"/>
      <c r="E335" s="42">
        <v>39749</v>
      </c>
      <c r="F335" s="104">
        <f t="shared" si="39"/>
        <v>2274</v>
      </c>
      <c r="G335" s="25">
        <v>41170</v>
      </c>
      <c r="H335" s="25">
        <v>42023</v>
      </c>
      <c r="I335" s="104">
        <f t="shared" si="38"/>
        <v>1421</v>
      </c>
      <c r="J335" s="19">
        <f t="shared" si="44"/>
        <v>853</v>
      </c>
      <c r="K335" t="s">
        <v>69</v>
      </c>
      <c r="L335" s="4">
        <v>5.51</v>
      </c>
      <c r="M335" s="19">
        <f t="shared" si="40"/>
        <v>1</v>
      </c>
      <c r="N335" s="19">
        <f t="shared" si="41"/>
        <v>1</v>
      </c>
      <c r="O335" s="19">
        <f t="shared" si="42"/>
        <v>1</v>
      </c>
      <c r="P335" s="19">
        <f t="shared" si="43"/>
        <v>1</v>
      </c>
      <c r="Q335" s="4">
        <v>39</v>
      </c>
      <c r="R335" s="4">
        <v>0</v>
      </c>
      <c r="S335" s="24">
        <v>0</v>
      </c>
      <c r="T335" s="129">
        <v>0</v>
      </c>
      <c r="U335" s="129">
        <v>0</v>
      </c>
      <c r="V335" s="24">
        <v>60</v>
      </c>
      <c r="W335" s="24">
        <v>0</v>
      </c>
      <c r="X335" s="24">
        <v>1.5</v>
      </c>
      <c r="Y335" s="24">
        <v>0.35</v>
      </c>
      <c r="Z335" s="24">
        <v>2</v>
      </c>
      <c r="AA335" s="24">
        <v>0.35</v>
      </c>
      <c r="AB335" s="24">
        <v>0</v>
      </c>
      <c r="AC335" s="24">
        <v>0</v>
      </c>
      <c r="AD335" s="24">
        <v>0</v>
      </c>
      <c r="AE335" s="24" t="s">
        <v>47</v>
      </c>
      <c r="AF335" s="114" t="s">
        <v>42</v>
      </c>
      <c r="AG335" s="114" t="s">
        <v>43</v>
      </c>
      <c r="AI335" s="104">
        <v>1574</v>
      </c>
      <c r="AJ335">
        <v>2058</v>
      </c>
    </row>
    <row r="336" spans="2:36" hidden="1" x14ac:dyDescent="0.25">
      <c r="B336" s="24" t="s">
        <v>192</v>
      </c>
      <c r="C336" s="24">
        <v>2</v>
      </c>
      <c r="D336" s="24"/>
      <c r="E336" s="42">
        <v>39749</v>
      </c>
      <c r="F336" s="104">
        <f t="shared" si="39"/>
        <v>2274</v>
      </c>
      <c r="G336" s="25">
        <v>41323</v>
      </c>
      <c r="H336" s="25">
        <v>42023</v>
      </c>
      <c r="I336" s="104">
        <f t="shared" si="38"/>
        <v>1574</v>
      </c>
      <c r="J336" s="19">
        <f t="shared" si="44"/>
        <v>700</v>
      </c>
      <c r="K336" t="s">
        <v>69</v>
      </c>
      <c r="L336" s="4">
        <v>5.3</v>
      </c>
      <c r="M336" s="19">
        <f t="shared" si="40"/>
        <v>1</v>
      </c>
      <c r="N336" s="19">
        <f t="shared" si="41"/>
        <v>1</v>
      </c>
      <c r="O336" s="19">
        <f t="shared" si="42"/>
        <v>1</v>
      </c>
      <c r="P336" s="19">
        <f t="shared" si="43"/>
        <v>1</v>
      </c>
      <c r="Q336" s="4">
        <v>45</v>
      </c>
      <c r="R336" s="4">
        <v>0</v>
      </c>
      <c r="S336" s="24">
        <v>0</v>
      </c>
      <c r="T336" s="129">
        <v>0</v>
      </c>
      <c r="U336" s="129">
        <v>0</v>
      </c>
      <c r="V336" s="24">
        <v>60</v>
      </c>
      <c r="W336" s="24">
        <v>0</v>
      </c>
      <c r="X336" s="24">
        <v>1.5</v>
      </c>
      <c r="Y336" s="24">
        <v>0.35</v>
      </c>
      <c r="Z336" s="24">
        <v>2</v>
      </c>
      <c r="AA336" s="24">
        <v>0.35</v>
      </c>
      <c r="AB336" s="24">
        <v>0</v>
      </c>
      <c r="AC336" s="24">
        <v>0</v>
      </c>
      <c r="AD336" s="24">
        <v>0</v>
      </c>
      <c r="AE336" s="24" t="s">
        <v>47</v>
      </c>
      <c r="AF336" s="114" t="s">
        <v>42</v>
      </c>
      <c r="AG336" s="114" t="s">
        <v>43</v>
      </c>
      <c r="AI336" s="104">
        <v>1673</v>
      </c>
      <c r="AJ336">
        <v>2060</v>
      </c>
    </row>
    <row r="337" spans="2:36" hidden="1" x14ac:dyDescent="0.25">
      <c r="B337" s="24" t="s">
        <v>192</v>
      </c>
      <c r="C337" s="24">
        <v>2</v>
      </c>
      <c r="D337" s="24"/>
      <c r="E337" s="42">
        <v>39749</v>
      </c>
      <c r="F337" s="104">
        <f t="shared" si="39"/>
        <v>2274</v>
      </c>
      <c r="G337" s="25">
        <v>41422</v>
      </c>
      <c r="H337" s="25">
        <v>42023</v>
      </c>
      <c r="I337" s="104">
        <f t="shared" si="38"/>
        <v>1673</v>
      </c>
      <c r="J337" s="19">
        <f t="shared" si="44"/>
        <v>601</v>
      </c>
      <c r="K337" t="s">
        <v>69</v>
      </c>
      <c r="L337" s="4">
        <v>5.22</v>
      </c>
      <c r="M337" s="19">
        <f t="shared" si="40"/>
        <v>1</v>
      </c>
      <c r="N337" s="19">
        <f t="shared" si="41"/>
        <v>1</v>
      </c>
      <c r="O337" s="19">
        <f t="shared" si="42"/>
        <v>1</v>
      </c>
      <c r="P337" s="19">
        <f t="shared" si="43"/>
        <v>1</v>
      </c>
      <c r="Q337" s="4">
        <v>39</v>
      </c>
      <c r="R337" s="4">
        <v>0</v>
      </c>
      <c r="S337" s="24">
        <v>0</v>
      </c>
      <c r="T337" s="129">
        <v>0</v>
      </c>
      <c r="U337" s="129">
        <v>0</v>
      </c>
      <c r="V337" s="24">
        <v>60</v>
      </c>
      <c r="W337" s="24">
        <v>0</v>
      </c>
      <c r="X337" s="24">
        <v>1.5</v>
      </c>
      <c r="Y337" s="24">
        <v>0.35</v>
      </c>
      <c r="Z337" s="24">
        <v>2</v>
      </c>
      <c r="AA337" s="24">
        <v>0.35</v>
      </c>
      <c r="AB337" s="24">
        <v>0</v>
      </c>
      <c r="AC337" s="24">
        <v>0</v>
      </c>
      <c r="AD337" s="24">
        <v>0</v>
      </c>
      <c r="AE337" s="24" t="s">
        <v>47</v>
      </c>
      <c r="AF337" s="114" t="s">
        <v>42</v>
      </c>
      <c r="AG337" s="114" t="s">
        <v>43</v>
      </c>
      <c r="AI337" s="104">
        <v>1757</v>
      </c>
      <c r="AJ337">
        <v>2069</v>
      </c>
    </row>
    <row r="338" spans="2:36" hidden="1" x14ac:dyDescent="0.25">
      <c r="B338" s="24" t="s">
        <v>192</v>
      </c>
      <c r="C338" s="24">
        <v>2</v>
      </c>
      <c r="D338" s="24"/>
      <c r="E338" s="42">
        <v>39749</v>
      </c>
      <c r="F338" s="104">
        <f t="shared" si="39"/>
        <v>2274</v>
      </c>
      <c r="G338" s="25">
        <v>41506</v>
      </c>
      <c r="H338" s="25">
        <v>42023</v>
      </c>
      <c r="I338" s="104">
        <f t="shared" si="38"/>
        <v>1757</v>
      </c>
      <c r="J338" s="19">
        <f t="shared" si="44"/>
        <v>517</v>
      </c>
      <c r="K338" t="s">
        <v>69</v>
      </c>
      <c r="L338" s="4">
        <v>5.18</v>
      </c>
      <c r="M338" s="19">
        <f t="shared" si="40"/>
        <v>0</v>
      </c>
      <c r="N338" s="19">
        <f t="shared" si="41"/>
        <v>1</v>
      </c>
      <c r="O338" s="19">
        <f t="shared" si="42"/>
        <v>1</v>
      </c>
      <c r="P338" s="19">
        <f t="shared" si="43"/>
        <v>1</v>
      </c>
      <c r="Q338" s="4">
        <v>48</v>
      </c>
      <c r="R338" s="4">
        <v>0</v>
      </c>
      <c r="S338" s="24">
        <v>0</v>
      </c>
      <c r="T338" s="129">
        <v>0</v>
      </c>
      <c r="U338" s="129">
        <v>0</v>
      </c>
      <c r="V338" s="24">
        <v>60</v>
      </c>
      <c r="W338" s="24">
        <v>0</v>
      </c>
      <c r="X338" s="24">
        <v>1.5</v>
      </c>
      <c r="Y338" s="24">
        <v>0.35</v>
      </c>
      <c r="Z338" s="24">
        <v>2</v>
      </c>
      <c r="AA338" s="24">
        <v>0.35</v>
      </c>
      <c r="AB338" s="24">
        <v>0</v>
      </c>
      <c r="AC338" s="24">
        <v>0</v>
      </c>
      <c r="AD338" s="24">
        <v>0</v>
      </c>
      <c r="AE338" s="24" t="s">
        <v>47</v>
      </c>
      <c r="AF338" s="114" t="s">
        <v>42</v>
      </c>
      <c r="AG338" s="114" t="s">
        <v>43</v>
      </c>
      <c r="AI338" s="104">
        <v>1847</v>
      </c>
      <c r="AJ338">
        <v>2074</v>
      </c>
    </row>
    <row r="339" spans="2:36" hidden="1" x14ac:dyDescent="0.25">
      <c r="B339" s="24" t="s">
        <v>192</v>
      </c>
      <c r="C339" s="24">
        <v>2</v>
      </c>
      <c r="D339" s="24"/>
      <c r="E339" s="42">
        <v>39749</v>
      </c>
      <c r="F339" s="104">
        <f t="shared" si="39"/>
        <v>2274</v>
      </c>
      <c r="G339" s="25">
        <v>41596</v>
      </c>
      <c r="H339" s="25">
        <v>42023</v>
      </c>
      <c r="I339" s="104">
        <f t="shared" si="38"/>
        <v>1847</v>
      </c>
      <c r="J339" s="19">
        <f t="shared" si="44"/>
        <v>427</v>
      </c>
      <c r="K339" t="s">
        <v>69</v>
      </c>
      <c r="L339" s="4">
        <v>5.17</v>
      </c>
      <c r="M339" s="19">
        <f t="shared" si="40"/>
        <v>0</v>
      </c>
      <c r="N339" s="19">
        <f t="shared" si="41"/>
        <v>1</v>
      </c>
      <c r="O339" s="19">
        <f t="shared" si="42"/>
        <v>1</v>
      </c>
      <c r="P339" s="19">
        <f t="shared" si="43"/>
        <v>1</v>
      </c>
      <c r="Q339" s="4">
        <v>50</v>
      </c>
      <c r="R339" s="4">
        <v>0</v>
      </c>
      <c r="S339" s="24">
        <v>0</v>
      </c>
      <c r="T339" s="129">
        <v>0</v>
      </c>
      <c r="U339" s="129">
        <v>0</v>
      </c>
      <c r="V339" s="24">
        <v>60</v>
      </c>
      <c r="W339" s="24">
        <v>0</v>
      </c>
      <c r="X339" s="24">
        <v>1.5</v>
      </c>
      <c r="Y339" s="24">
        <v>0.35</v>
      </c>
      <c r="Z339" s="24">
        <v>2</v>
      </c>
      <c r="AA339" s="24">
        <v>0.35</v>
      </c>
      <c r="AB339" s="24">
        <v>0</v>
      </c>
      <c r="AC339" s="24">
        <v>0</v>
      </c>
      <c r="AD339" s="24">
        <v>0</v>
      </c>
      <c r="AE339" s="24" t="s">
        <v>47</v>
      </c>
      <c r="AF339" s="114" t="s">
        <v>42</v>
      </c>
      <c r="AG339" s="114" t="s">
        <v>43</v>
      </c>
      <c r="AI339" s="104">
        <v>1946</v>
      </c>
      <c r="AJ339">
        <v>2078</v>
      </c>
    </row>
    <row r="340" spans="2:36" hidden="1" x14ac:dyDescent="0.25">
      <c r="B340" s="24" t="s">
        <v>192</v>
      </c>
      <c r="C340" s="24">
        <v>2</v>
      </c>
      <c r="D340" s="24"/>
      <c r="E340" s="42">
        <v>39749</v>
      </c>
      <c r="F340" s="104">
        <f t="shared" si="39"/>
        <v>2274</v>
      </c>
      <c r="G340" s="27">
        <v>41695</v>
      </c>
      <c r="H340" s="25">
        <v>42023</v>
      </c>
      <c r="I340" s="104">
        <f t="shared" si="38"/>
        <v>1946</v>
      </c>
      <c r="J340" s="19">
        <f t="shared" si="44"/>
        <v>328</v>
      </c>
      <c r="K340" t="s">
        <v>69</v>
      </c>
      <c r="L340" s="24">
        <v>5.15</v>
      </c>
      <c r="M340" s="19">
        <f t="shared" si="40"/>
        <v>0</v>
      </c>
      <c r="N340" s="19">
        <f t="shared" si="41"/>
        <v>0</v>
      </c>
      <c r="O340" s="19">
        <f t="shared" si="42"/>
        <v>1</v>
      </c>
      <c r="P340" s="19">
        <f t="shared" si="43"/>
        <v>1</v>
      </c>
      <c r="Q340" s="24">
        <v>47</v>
      </c>
      <c r="R340" s="4">
        <v>0</v>
      </c>
      <c r="S340" s="4">
        <v>0</v>
      </c>
      <c r="T340" s="129">
        <v>0</v>
      </c>
      <c r="U340" s="129">
        <v>0</v>
      </c>
      <c r="V340" s="24">
        <v>60</v>
      </c>
      <c r="W340" s="24">
        <v>0</v>
      </c>
      <c r="X340" s="24">
        <v>1.5</v>
      </c>
      <c r="Y340" s="24">
        <v>0.35</v>
      </c>
      <c r="Z340" s="24">
        <v>2</v>
      </c>
      <c r="AA340" s="24">
        <v>0.35</v>
      </c>
      <c r="AB340" s="24">
        <v>0</v>
      </c>
      <c r="AC340" s="24">
        <v>0</v>
      </c>
      <c r="AD340" s="24">
        <v>0</v>
      </c>
      <c r="AE340" s="24" t="s">
        <v>47</v>
      </c>
      <c r="AF340" s="114" t="s">
        <v>42</v>
      </c>
      <c r="AG340" s="114" t="s">
        <v>43</v>
      </c>
      <c r="AI340" s="104">
        <v>2177</v>
      </c>
      <c r="AJ340">
        <v>2079</v>
      </c>
    </row>
    <row r="341" spans="2:36" hidden="1" x14ac:dyDescent="0.25">
      <c r="B341" s="24" t="s">
        <v>192</v>
      </c>
      <c r="C341" s="24">
        <v>2</v>
      </c>
      <c r="D341" s="24"/>
      <c r="E341" s="42">
        <v>39749</v>
      </c>
      <c r="F341" s="104">
        <f t="shared" si="39"/>
        <v>2274</v>
      </c>
      <c r="G341" s="25">
        <v>41926</v>
      </c>
      <c r="H341" s="25">
        <v>42023</v>
      </c>
      <c r="I341" s="104">
        <f t="shared" si="38"/>
        <v>2177</v>
      </c>
      <c r="J341" s="19">
        <f t="shared" si="44"/>
        <v>97</v>
      </c>
      <c r="K341" t="s">
        <v>69</v>
      </c>
      <c r="L341" s="4">
        <v>5.14</v>
      </c>
      <c r="M341" s="19">
        <f t="shared" si="40"/>
        <v>0</v>
      </c>
      <c r="N341" s="19">
        <f t="shared" si="41"/>
        <v>0</v>
      </c>
      <c r="O341" s="19">
        <f t="shared" si="42"/>
        <v>0</v>
      </c>
      <c r="P341" s="19">
        <f t="shared" si="43"/>
        <v>1</v>
      </c>
      <c r="Q341" s="4">
        <v>62</v>
      </c>
      <c r="R341" s="4">
        <v>0</v>
      </c>
      <c r="S341" s="24">
        <v>0</v>
      </c>
      <c r="T341" s="129">
        <v>0</v>
      </c>
      <c r="U341" s="129">
        <v>0</v>
      </c>
      <c r="V341" s="24">
        <v>60</v>
      </c>
      <c r="W341" s="24">
        <v>0</v>
      </c>
      <c r="X341" s="24">
        <v>1.5</v>
      </c>
      <c r="Y341" s="24">
        <v>0.35</v>
      </c>
      <c r="Z341" s="24">
        <v>2</v>
      </c>
      <c r="AA341" s="24">
        <v>0.35</v>
      </c>
      <c r="AB341" s="24">
        <v>0</v>
      </c>
      <c r="AC341" s="24">
        <v>0</v>
      </c>
      <c r="AD341" s="24">
        <v>0</v>
      </c>
      <c r="AE341" s="24" t="s">
        <v>47</v>
      </c>
      <c r="AF341" s="114" t="s">
        <v>42</v>
      </c>
      <c r="AG341" s="114" t="s">
        <v>43</v>
      </c>
      <c r="AI341" s="104">
        <v>2274</v>
      </c>
      <c r="AJ341">
        <v>2079</v>
      </c>
    </row>
    <row r="342" spans="2:36" hidden="1" x14ac:dyDescent="0.25">
      <c r="B342" s="24" t="s">
        <v>192</v>
      </c>
      <c r="C342" s="24">
        <v>2</v>
      </c>
      <c r="D342" s="24"/>
      <c r="E342" s="42">
        <v>39749</v>
      </c>
      <c r="F342" s="104">
        <f t="shared" si="39"/>
        <v>2274</v>
      </c>
      <c r="G342" s="25">
        <v>42023</v>
      </c>
      <c r="H342" s="25">
        <v>42023</v>
      </c>
      <c r="I342" s="104">
        <f t="shared" si="38"/>
        <v>2274</v>
      </c>
      <c r="J342" s="19">
        <f t="shared" si="44"/>
        <v>0</v>
      </c>
      <c r="K342" t="s">
        <v>69</v>
      </c>
      <c r="L342" s="4">
        <v>5.1100000000000003</v>
      </c>
      <c r="M342" s="19">
        <f t="shared" si="40"/>
        <v>0</v>
      </c>
      <c r="N342" s="19">
        <f t="shared" si="41"/>
        <v>0</v>
      </c>
      <c r="O342" s="19">
        <f t="shared" si="42"/>
        <v>0</v>
      </c>
      <c r="P342" s="19">
        <f t="shared" si="43"/>
        <v>0</v>
      </c>
      <c r="Q342" s="4">
        <v>62</v>
      </c>
      <c r="R342" s="4">
        <v>0</v>
      </c>
      <c r="S342" s="24">
        <v>0</v>
      </c>
      <c r="T342" s="129">
        <v>0</v>
      </c>
      <c r="U342" s="129">
        <v>0</v>
      </c>
      <c r="V342" s="24">
        <v>60</v>
      </c>
      <c r="W342" s="24">
        <v>0</v>
      </c>
      <c r="X342" s="24">
        <v>1.5</v>
      </c>
      <c r="Y342" s="24">
        <v>0.35</v>
      </c>
      <c r="Z342" s="24">
        <v>2</v>
      </c>
      <c r="AA342" s="24">
        <v>0.35</v>
      </c>
      <c r="AB342" s="24">
        <v>0</v>
      </c>
      <c r="AC342" s="24">
        <v>0</v>
      </c>
      <c r="AD342" s="24">
        <v>0</v>
      </c>
      <c r="AE342" s="24" t="s">
        <v>47</v>
      </c>
      <c r="AF342" s="114" t="s">
        <v>42</v>
      </c>
      <c r="AG342" s="114" t="s">
        <v>43</v>
      </c>
      <c r="AI342" s="104">
        <v>242</v>
      </c>
      <c r="AJ342">
        <v>2079</v>
      </c>
    </row>
    <row r="343" spans="2:36" x14ac:dyDescent="0.25">
      <c r="B343" s="24" t="s">
        <v>269</v>
      </c>
      <c r="C343" s="24">
        <v>2</v>
      </c>
      <c r="E343" s="27">
        <v>39833</v>
      </c>
      <c r="F343" s="104">
        <f t="shared" si="39"/>
        <v>2213</v>
      </c>
      <c r="G343" s="25">
        <v>40075</v>
      </c>
      <c r="H343" s="25">
        <v>42046</v>
      </c>
      <c r="I343" s="104">
        <f t="shared" si="38"/>
        <v>242</v>
      </c>
      <c r="J343" s="19">
        <f t="shared" si="44"/>
        <v>1971</v>
      </c>
      <c r="K343" s="83" t="s">
        <v>65</v>
      </c>
      <c r="L343" s="24">
        <v>6.44</v>
      </c>
      <c r="M343" s="19">
        <f t="shared" si="40"/>
        <v>1</v>
      </c>
      <c r="N343" s="19">
        <f t="shared" si="41"/>
        <v>1</v>
      </c>
      <c r="O343" s="19">
        <f t="shared" si="42"/>
        <v>1</v>
      </c>
      <c r="P343" s="19">
        <f t="shared" si="43"/>
        <v>1</v>
      </c>
      <c r="Q343" s="24">
        <f>40+59</f>
        <v>99</v>
      </c>
      <c r="R343" s="24">
        <f>35+56</f>
        <v>91</v>
      </c>
      <c r="S343" s="24">
        <v>0</v>
      </c>
      <c r="T343" s="127">
        <v>0</v>
      </c>
      <c r="U343" s="127">
        <v>14</v>
      </c>
      <c r="V343" s="24">
        <v>55</v>
      </c>
      <c r="W343" s="24">
        <v>1</v>
      </c>
      <c r="X343" s="24">
        <v>2.5</v>
      </c>
      <c r="Y343" s="24">
        <v>0.35</v>
      </c>
      <c r="Z343" s="24">
        <v>3.5</v>
      </c>
      <c r="AA343" s="24">
        <v>0.5</v>
      </c>
      <c r="AB343" s="24">
        <v>0</v>
      </c>
      <c r="AC343" s="24">
        <v>0</v>
      </c>
      <c r="AD343" s="24">
        <v>0</v>
      </c>
      <c r="AE343" s="24" t="s">
        <v>63</v>
      </c>
      <c r="AF343" s="138" t="s">
        <v>281</v>
      </c>
      <c r="AG343" s="114" t="s">
        <v>284</v>
      </c>
      <c r="AI343" s="104">
        <v>244</v>
      </c>
      <c r="AJ343">
        <v>2090</v>
      </c>
    </row>
    <row r="344" spans="2:36" x14ac:dyDescent="0.25">
      <c r="B344" s="24" t="s">
        <v>269</v>
      </c>
      <c r="C344" s="24">
        <v>2</v>
      </c>
      <c r="E344" s="27">
        <v>39833</v>
      </c>
      <c r="F344" s="104">
        <f t="shared" si="39"/>
        <v>2213</v>
      </c>
      <c r="G344" s="25">
        <v>40077</v>
      </c>
      <c r="H344" s="25">
        <v>42046</v>
      </c>
      <c r="I344" s="104">
        <f t="shared" si="38"/>
        <v>244</v>
      </c>
      <c r="J344" s="19">
        <f t="shared" si="44"/>
        <v>1969</v>
      </c>
      <c r="K344" s="83" t="s">
        <v>65</v>
      </c>
      <c r="L344" s="4">
        <v>6.44</v>
      </c>
      <c r="M344" s="19">
        <f t="shared" si="40"/>
        <v>1</v>
      </c>
      <c r="N344" s="19">
        <f t="shared" si="41"/>
        <v>1</v>
      </c>
      <c r="O344" s="19">
        <f t="shared" si="42"/>
        <v>1</v>
      </c>
      <c r="P344" s="19">
        <f t="shared" si="43"/>
        <v>1</v>
      </c>
      <c r="Q344" s="4">
        <f>48+51</f>
        <v>99</v>
      </c>
      <c r="R344" s="4">
        <f>43+48</f>
        <v>91</v>
      </c>
      <c r="S344" s="24">
        <v>0</v>
      </c>
      <c r="T344" s="125">
        <v>0</v>
      </c>
      <c r="U344" s="125">
        <v>14</v>
      </c>
      <c r="V344" s="24">
        <v>55</v>
      </c>
      <c r="W344" s="24">
        <v>1</v>
      </c>
      <c r="X344" s="24">
        <v>2.5</v>
      </c>
      <c r="Y344" s="24">
        <v>0.35</v>
      </c>
      <c r="Z344" s="24">
        <v>3.5</v>
      </c>
      <c r="AA344" s="24">
        <v>0.5</v>
      </c>
      <c r="AB344" s="24">
        <v>0</v>
      </c>
      <c r="AC344" s="24">
        <v>0</v>
      </c>
      <c r="AD344" s="24">
        <v>0</v>
      </c>
      <c r="AE344" s="24" t="s">
        <v>63</v>
      </c>
      <c r="AF344" s="118" t="s">
        <v>281</v>
      </c>
      <c r="AG344" s="114" t="s">
        <v>284</v>
      </c>
      <c r="AI344" s="104">
        <v>259</v>
      </c>
      <c r="AJ344">
        <v>2091</v>
      </c>
    </row>
    <row r="345" spans="2:36" x14ac:dyDescent="0.25">
      <c r="B345" s="24" t="s">
        <v>269</v>
      </c>
      <c r="C345" s="24">
        <v>2</v>
      </c>
      <c r="E345" s="27">
        <v>39833</v>
      </c>
      <c r="F345" s="104">
        <f t="shared" si="39"/>
        <v>2213</v>
      </c>
      <c r="G345" s="25">
        <v>40092</v>
      </c>
      <c r="H345" s="25">
        <v>42046</v>
      </c>
      <c r="I345" s="104">
        <f t="shared" si="38"/>
        <v>259</v>
      </c>
      <c r="J345" s="19">
        <f t="shared" si="44"/>
        <v>1954</v>
      </c>
      <c r="K345" s="83" t="s">
        <v>65</v>
      </c>
      <c r="L345" s="4">
        <v>6.44</v>
      </c>
      <c r="M345" s="19">
        <f t="shared" si="40"/>
        <v>1</v>
      </c>
      <c r="N345" s="19">
        <f t="shared" si="41"/>
        <v>1</v>
      </c>
      <c r="O345" s="19">
        <f t="shared" si="42"/>
        <v>1</v>
      </c>
      <c r="P345" s="19">
        <f t="shared" si="43"/>
        <v>1</v>
      </c>
      <c r="Q345" s="4">
        <f>45+55</f>
        <v>100</v>
      </c>
      <c r="R345" s="4">
        <f>39+53</f>
        <v>92</v>
      </c>
      <c r="S345" s="24">
        <v>0</v>
      </c>
      <c r="T345" s="125">
        <v>0</v>
      </c>
      <c r="U345" s="125">
        <v>1</v>
      </c>
      <c r="V345" s="24">
        <v>55</v>
      </c>
      <c r="W345" s="24">
        <v>1</v>
      </c>
      <c r="X345" s="24">
        <v>2.5</v>
      </c>
      <c r="Y345" s="24">
        <v>0.35</v>
      </c>
      <c r="Z345" s="24">
        <v>3.5</v>
      </c>
      <c r="AA345" s="24">
        <v>0.5</v>
      </c>
      <c r="AB345" s="24">
        <v>0</v>
      </c>
      <c r="AC345" s="24">
        <v>0</v>
      </c>
      <c r="AD345" s="24">
        <v>0</v>
      </c>
      <c r="AE345" s="24" t="s">
        <v>63</v>
      </c>
      <c r="AF345" s="118" t="s">
        <v>46</v>
      </c>
      <c r="AG345" s="114" t="s">
        <v>284</v>
      </c>
      <c r="AI345" s="104">
        <v>441</v>
      </c>
      <c r="AJ345">
        <v>2093</v>
      </c>
    </row>
    <row r="346" spans="2:36" x14ac:dyDescent="0.25">
      <c r="B346" s="24" t="s">
        <v>269</v>
      </c>
      <c r="C346" s="24">
        <v>2</v>
      </c>
      <c r="E346" s="27">
        <v>39833</v>
      </c>
      <c r="F346" s="104">
        <f t="shared" si="39"/>
        <v>2213</v>
      </c>
      <c r="G346" s="25">
        <v>40274</v>
      </c>
      <c r="H346" s="25">
        <v>42046</v>
      </c>
      <c r="I346" s="104">
        <f t="shared" si="38"/>
        <v>441</v>
      </c>
      <c r="J346" s="19">
        <f t="shared" si="44"/>
        <v>1772</v>
      </c>
      <c r="K346" s="83" t="s">
        <v>65</v>
      </c>
      <c r="L346" s="4">
        <v>6.4</v>
      </c>
      <c r="M346" s="19">
        <f t="shared" si="40"/>
        <v>1</v>
      </c>
      <c r="N346" s="19">
        <f t="shared" si="41"/>
        <v>1</v>
      </c>
      <c r="O346" s="19">
        <f t="shared" si="42"/>
        <v>1</v>
      </c>
      <c r="P346" s="19">
        <f t="shared" si="43"/>
        <v>1</v>
      </c>
      <c r="Q346" s="4">
        <f>34+66</f>
        <v>100</v>
      </c>
      <c r="R346" s="4">
        <f>31+65</f>
        <v>96</v>
      </c>
      <c r="S346" s="24">
        <v>0</v>
      </c>
      <c r="T346" s="125">
        <v>0</v>
      </c>
      <c r="U346" s="125">
        <v>129</v>
      </c>
      <c r="V346" s="24">
        <v>55</v>
      </c>
      <c r="W346" s="24">
        <v>1</v>
      </c>
      <c r="X346" s="24">
        <v>2.5</v>
      </c>
      <c r="Y346" s="24">
        <v>0.35</v>
      </c>
      <c r="Z346" s="24">
        <v>3.5</v>
      </c>
      <c r="AA346" s="24">
        <v>0.5</v>
      </c>
      <c r="AB346" s="24">
        <v>0</v>
      </c>
      <c r="AC346" s="24">
        <v>0</v>
      </c>
      <c r="AD346" s="24">
        <v>0</v>
      </c>
      <c r="AE346" s="24" t="s">
        <v>63</v>
      </c>
      <c r="AF346" s="118" t="s">
        <v>282</v>
      </c>
      <c r="AG346" s="114" t="s">
        <v>284</v>
      </c>
      <c r="AI346" s="104">
        <v>476</v>
      </c>
      <c r="AJ346">
        <v>2093</v>
      </c>
    </row>
    <row r="347" spans="2:36" x14ac:dyDescent="0.25">
      <c r="B347" s="24" t="s">
        <v>269</v>
      </c>
      <c r="C347" s="24">
        <v>2</v>
      </c>
      <c r="E347" s="27">
        <v>39833</v>
      </c>
      <c r="F347" s="104">
        <f t="shared" si="39"/>
        <v>2213</v>
      </c>
      <c r="G347" s="25">
        <v>40309</v>
      </c>
      <c r="H347" s="25">
        <v>42046</v>
      </c>
      <c r="I347" s="104">
        <f t="shared" si="38"/>
        <v>476</v>
      </c>
      <c r="J347" s="19">
        <f t="shared" si="44"/>
        <v>1737</v>
      </c>
      <c r="K347" s="83" t="s">
        <v>65</v>
      </c>
      <c r="L347" s="4">
        <v>6.37</v>
      </c>
      <c r="M347" s="19">
        <f t="shared" si="40"/>
        <v>1</v>
      </c>
      <c r="N347" s="19">
        <f t="shared" si="41"/>
        <v>1</v>
      </c>
      <c r="O347" s="19">
        <f t="shared" si="42"/>
        <v>1</v>
      </c>
      <c r="P347" s="19">
        <f t="shared" si="43"/>
        <v>1</v>
      </c>
      <c r="Q347" s="4">
        <f>32+64</f>
        <v>96</v>
      </c>
      <c r="R347" s="4">
        <f>18+39</f>
        <v>57</v>
      </c>
      <c r="S347" s="24">
        <v>0</v>
      </c>
      <c r="T347" s="125">
        <v>0</v>
      </c>
      <c r="U347" s="125">
        <v>1107</v>
      </c>
      <c r="V347" s="24">
        <v>55</v>
      </c>
      <c r="W347" s="24">
        <v>1</v>
      </c>
      <c r="X347" s="24">
        <v>2.5</v>
      </c>
      <c r="Y347" s="24">
        <v>0.35</v>
      </c>
      <c r="Z347" s="24">
        <v>3.5</v>
      </c>
      <c r="AA347" s="24">
        <v>0.5</v>
      </c>
      <c r="AB347" s="24">
        <v>0</v>
      </c>
      <c r="AC347" s="24">
        <v>0</v>
      </c>
      <c r="AD347" s="24">
        <v>0</v>
      </c>
      <c r="AE347" s="24" t="s">
        <v>63</v>
      </c>
      <c r="AF347" s="118" t="s">
        <v>283</v>
      </c>
      <c r="AG347" s="114" t="s">
        <v>284</v>
      </c>
      <c r="AI347" s="104">
        <v>826</v>
      </c>
      <c r="AJ347">
        <v>2098</v>
      </c>
    </row>
    <row r="348" spans="2:36" x14ac:dyDescent="0.25">
      <c r="B348" s="24" t="s">
        <v>269</v>
      </c>
      <c r="C348" s="24">
        <v>2</v>
      </c>
      <c r="E348" s="27">
        <v>39833</v>
      </c>
      <c r="F348" s="104">
        <f t="shared" si="39"/>
        <v>2213</v>
      </c>
      <c r="G348" s="25">
        <v>40659</v>
      </c>
      <c r="H348" s="25">
        <v>42046</v>
      </c>
      <c r="I348" s="104">
        <f t="shared" si="38"/>
        <v>826</v>
      </c>
      <c r="J348" s="19">
        <f t="shared" si="44"/>
        <v>1387</v>
      </c>
      <c r="K348" s="83" t="s">
        <v>65</v>
      </c>
      <c r="L348" s="4">
        <v>6.04</v>
      </c>
      <c r="M348" s="19">
        <f t="shared" si="40"/>
        <v>1</v>
      </c>
      <c r="N348" s="19">
        <f t="shared" si="41"/>
        <v>1</v>
      </c>
      <c r="O348" s="19">
        <f t="shared" si="42"/>
        <v>1</v>
      </c>
      <c r="P348" s="19">
        <f t="shared" si="43"/>
        <v>1</v>
      </c>
      <c r="Q348" s="4">
        <f>37+63</f>
        <v>100</v>
      </c>
      <c r="R348" s="4">
        <f>37+62</f>
        <v>99</v>
      </c>
      <c r="S348" s="24">
        <v>0</v>
      </c>
      <c r="T348" s="125">
        <v>0</v>
      </c>
      <c r="U348" s="125">
        <v>0</v>
      </c>
      <c r="V348" s="24">
        <v>55</v>
      </c>
      <c r="W348" s="24">
        <v>1</v>
      </c>
      <c r="X348" s="24">
        <v>2.5</v>
      </c>
      <c r="Y348" s="24">
        <v>0.35</v>
      </c>
      <c r="Z348" s="24">
        <v>3.5</v>
      </c>
      <c r="AA348" s="24">
        <v>0.5</v>
      </c>
      <c r="AB348" s="24">
        <v>0</v>
      </c>
      <c r="AC348" s="24">
        <v>0</v>
      </c>
      <c r="AD348" s="24">
        <v>0</v>
      </c>
      <c r="AE348" s="24" t="s">
        <v>63</v>
      </c>
      <c r="AF348" s="118" t="s">
        <v>42</v>
      </c>
      <c r="AG348" s="114" t="s">
        <v>284</v>
      </c>
      <c r="AI348" s="104">
        <v>2213</v>
      </c>
      <c r="AJ348">
        <v>2100</v>
      </c>
    </row>
    <row r="349" spans="2:36" x14ac:dyDescent="0.25">
      <c r="B349" s="24" t="s">
        <v>269</v>
      </c>
      <c r="C349" s="24">
        <v>2</v>
      </c>
      <c r="E349" s="27">
        <v>39833</v>
      </c>
      <c r="F349" s="104">
        <f t="shared" si="39"/>
        <v>2213</v>
      </c>
      <c r="G349" s="89">
        <v>42046</v>
      </c>
      <c r="H349" s="89">
        <v>42046</v>
      </c>
      <c r="I349" s="104">
        <f t="shared" si="38"/>
        <v>2213</v>
      </c>
      <c r="J349" s="19">
        <f t="shared" si="44"/>
        <v>0</v>
      </c>
      <c r="K349" s="83" t="s">
        <v>65</v>
      </c>
      <c r="L349" s="92">
        <v>4.5</v>
      </c>
      <c r="M349" s="19">
        <f t="shared" si="40"/>
        <v>0</v>
      </c>
      <c r="N349" s="19">
        <f t="shared" si="41"/>
        <v>0</v>
      </c>
      <c r="O349" s="19">
        <f t="shared" si="42"/>
        <v>0</v>
      </c>
      <c r="P349" s="19">
        <f t="shared" si="43"/>
        <v>0</v>
      </c>
      <c r="Q349" s="92">
        <f>55+65</f>
        <v>120</v>
      </c>
      <c r="R349" s="92">
        <f>35+64</f>
        <v>99</v>
      </c>
      <c r="S349" s="83">
        <v>0</v>
      </c>
      <c r="T349" s="126">
        <v>0</v>
      </c>
      <c r="U349" s="126">
        <v>0</v>
      </c>
      <c r="V349" s="24">
        <v>55</v>
      </c>
      <c r="W349" s="83">
        <v>1</v>
      </c>
      <c r="X349" s="83">
        <v>2</v>
      </c>
      <c r="Y349" s="83">
        <v>0.35</v>
      </c>
      <c r="Z349" s="83">
        <v>3</v>
      </c>
      <c r="AA349" s="83">
        <v>0.5</v>
      </c>
      <c r="AB349" s="83">
        <v>0</v>
      </c>
      <c r="AC349" s="83">
        <v>0</v>
      </c>
      <c r="AD349" s="83">
        <v>0</v>
      </c>
      <c r="AE349" s="92" t="s">
        <v>63</v>
      </c>
      <c r="AF349" s="119" t="s">
        <v>42</v>
      </c>
      <c r="AG349" s="116" t="s">
        <v>284</v>
      </c>
      <c r="AI349" s="104">
        <v>1029</v>
      </c>
      <c r="AJ349">
        <v>2105</v>
      </c>
    </row>
    <row r="350" spans="2:36" x14ac:dyDescent="0.25">
      <c r="B350" s="4" t="s">
        <v>50</v>
      </c>
      <c r="C350" s="4">
        <v>2</v>
      </c>
      <c r="E350" s="13">
        <v>39833</v>
      </c>
      <c r="F350" s="104">
        <f t="shared" si="39"/>
        <v>2211</v>
      </c>
      <c r="G350" s="13">
        <v>40862</v>
      </c>
      <c r="H350" s="25">
        <v>42044</v>
      </c>
      <c r="I350" s="104">
        <f t="shared" si="38"/>
        <v>1029</v>
      </c>
      <c r="J350" s="19">
        <f t="shared" si="44"/>
        <v>1182</v>
      </c>
      <c r="K350" s="83" t="s">
        <v>65</v>
      </c>
      <c r="L350" s="4">
        <v>5.66</v>
      </c>
      <c r="M350" s="19">
        <f t="shared" si="40"/>
        <v>1</v>
      </c>
      <c r="N350" s="19">
        <f t="shared" si="41"/>
        <v>1</v>
      </c>
      <c r="O350" s="19">
        <f t="shared" si="42"/>
        <v>1</v>
      </c>
      <c r="P350" s="19">
        <f t="shared" si="43"/>
        <v>1</v>
      </c>
      <c r="Q350" s="4">
        <f>35+65</f>
        <v>100</v>
      </c>
      <c r="R350" s="4">
        <f>34+64</f>
        <v>98</v>
      </c>
      <c r="S350" s="90">
        <v>0</v>
      </c>
      <c r="T350" s="125">
        <v>0</v>
      </c>
      <c r="U350" s="125">
        <v>0</v>
      </c>
      <c r="V350" s="24">
        <v>55</v>
      </c>
      <c r="W350" s="4">
        <v>1</v>
      </c>
      <c r="X350" s="4">
        <v>2.5</v>
      </c>
      <c r="Y350" s="4">
        <v>0.35</v>
      </c>
      <c r="Z350" s="4">
        <v>3.5</v>
      </c>
      <c r="AA350" s="4">
        <v>0.5</v>
      </c>
      <c r="AB350" s="90">
        <v>0</v>
      </c>
      <c r="AC350" s="90">
        <v>0</v>
      </c>
      <c r="AD350" s="90">
        <v>0</v>
      </c>
      <c r="AE350" s="4" t="s">
        <v>63</v>
      </c>
      <c r="AF350" s="118">
        <v>0</v>
      </c>
      <c r="AG350" s="118" t="s">
        <v>64</v>
      </c>
      <c r="AI350" s="104">
        <v>1218</v>
      </c>
      <c r="AJ350">
        <v>2107</v>
      </c>
    </row>
    <row r="351" spans="2:36" x14ac:dyDescent="0.25">
      <c r="B351" s="4" t="s">
        <v>50</v>
      </c>
      <c r="C351" s="4">
        <v>2</v>
      </c>
      <c r="E351" s="13">
        <v>39833</v>
      </c>
      <c r="F351" s="104">
        <f t="shared" si="39"/>
        <v>2211</v>
      </c>
      <c r="G351" s="13">
        <v>41051</v>
      </c>
      <c r="H351" s="25">
        <v>42044</v>
      </c>
      <c r="I351" s="104">
        <f t="shared" si="38"/>
        <v>1218</v>
      </c>
      <c r="J351" s="19">
        <f t="shared" si="44"/>
        <v>993</v>
      </c>
      <c r="K351" s="83" t="s">
        <v>65</v>
      </c>
      <c r="L351" s="4">
        <v>5.29</v>
      </c>
      <c r="M351" s="19">
        <f t="shared" si="40"/>
        <v>1</v>
      </c>
      <c r="N351" s="19">
        <f t="shared" si="41"/>
        <v>1</v>
      </c>
      <c r="O351" s="19">
        <f t="shared" si="42"/>
        <v>1</v>
      </c>
      <c r="P351" s="19">
        <f t="shared" si="43"/>
        <v>1</v>
      </c>
      <c r="Q351" s="4">
        <f>36+64</f>
        <v>100</v>
      </c>
      <c r="R351" s="4">
        <f>36+63</f>
        <v>99</v>
      </c>
      <c r="S351" s="90">
        <v>0</v>
      </c>
      <c r="T351" s="125">
        <v>0</v>
      </c>
      <c r="U351" s="125">
        <v>0</v>
      </c>
      <c r="V351" s="24">
        <v>55</v>
      </c>
      <c r="W351" s="4">
        <v>1</v>
      </c>
      <c r="X351" s="4">
        <v>2.5</v>
      </c>
      <c r="Y351" s="4">
        <v>0.35</v>
      </c>
      <c r="Z351" s="4">
        <v>3.5</v>
      </c>
      <c r="AA351" s="4">
        <v>0.5</v>
      </c>
      <c r="AB351" s="90">
        <v>0</v>
      </c>
      <c r="AC351" s="90">
        <v>0</v>
      </c>
      <c r="AD351" s="90">
        <v>0</v>
      </c>
      <c r="AE351" s="4" t="s">
        <v>63</v>
      </c>
      <c r="AF351" s="118">
        <v>0</v>
      </c>
      <c r="AG351" s="118" t="s">
        <v>64</v>
      </c>
      <c r="AI351" s="104">
        <v>1360</v>
      </c>
      <c r="AJ351">
        <v>2107</v>
      </c>
    </row>
    <row r="352" spans="2:36" x14ac:dyDescent="0.25">
      <c r="B352" s="4" t="s">
        <v>50</v>
      </c>
      <c r="C352" s="4">
        <v>2</v>
      </c>
      <c r="E352" s="13">
        <v>39833</v>
      </c>
      <c r="F352" s="104">
        <f t="shared" si="39"/>
        <v>2211</v>
      </c>
      <c r="G352" s="13">
        <v>41193</v>
      </c>
      <c r="H352" s="25">
        <v>42044</v>
      </c>
      <c r="I352" s="104">
        <f t="shared" si="38"/>
        <v>1360</v>
      </c>
      <c r="J352" s="19">
        <f t="shared" si="44"/>
        <v>851</v>
      </c>
      <c r="K352" s="83" t="s">
        <v>65</v>
      </c>
      <c r="L352" s="4">
        <v>5.19</v>
      </c>
      <c r="M352" s="19">
        <f t="shared" si="40"/>
        <v>1</v>
      </c>
      <c r="N352" s="19">
        <f t="shared" si="41"/>
        <v>1</v>
      </c>
      <c r="O352" s="19">
        <f t="shared" si="42"/>
        <v>1</v>
      </c>
      <c r="P352" s="19">
        <f t="shared" si="43"/>
        <v>1</v>
      </c>
      <c r="Q352" s="4">
        <f>35+64</f>
        <v>99</v>
      </c>
      <c r="R352" s="4">
        <f>35+63</f>
        <v>98</v>
      </c>
      <c r="S352" s="90">
        <v>0</v>
      </c>
      <c r="T352" s="125">
        <v>0</v>
      </c>
      <c r="U352" s="125">
        <v>0</v>
      </c>
      <c r="V352" s="24">
        <v>55</v>
      </c>
      <c r="W352" s="4">
        <v>1</v>
      </c>
      <c r="X352" s="4">
        <v>2.5</v>
      </c>
      <c r="Y352" s="4">
        <v>0.35</v>
      </c>
      <c r="Z352" s="4">
        <v>3.5</v>
      </c>
      <c r="AA352" s="4">
        <v>0.5</v>
      </c>
      <c r="AB352" s="90">
        <v>0</v>
      </c>
      <c r="AC352" s="90">
        <v>0</v>
      </c>
      <c r="AD352" s="90">
        <v>0</v>
      </c>
      <c r="AE352" s="4" t="s">
        <v>63</v>
      </c>
      <c r="AF352" s="118">
        <v>0</v>
      </c>
      <c r="AG352" s="118" t="s">
        <v>64</v>
      </c>
      <c r="AI352" s="104">
        <v>1407</v>
      </c>
      <c r="AJ352">
        <v>2107</v>
      </c>
    </row>
    <row r="353" spans="2:36" x14ac:dyDescent="0.25">
      <c r="B353" s="4" t="s">
        <v>50</v>
      </c>
      <c r="C353" s="4">
        <v>2</v>
      </c>
      <c r="E353" s="13">
        <v>39833</v>
      </c>
      <c r="F353" s="104">
        <f t="shared" si="39"/>
        <v>2211</v>
      </c>
      <c r="G353" s="13">
        <v>41240</v>
      </c>
      <c r="H353" s="25">
        <v>42044</v>
      </c>
      <c r="I353" s="104">
        <f t="shared" si="38"/>
        <v>1407</v>
      </c>
      <c r="J353" s="19">
        <f t="shared" si="44"/>
        <v>804</v>
      </c>
      <c r="K353" s="83" t="s">
        <v>65</v>
      </c>
      <c r="L353" s="4">
        <v>5.17</v>
      </c>
      <c r="M353" s="19">
        <f t="shared" si="40"/>
        <v>1</v>
      </c>
      <c r="N353" s="19">
        <f t="shared" si="41"/>
        <v>1</v>
      </c>
      <c r="O353" s="19">
        <f t="shared" si="42"/>
        <v>1</v>
      </c>
      <c r="P353" s="19">
        <f t="shared" si="43"/>
        <v>1</v>
      </c>
      <c r="Q353" s="4">
        <f>40+60</f>
        <v>100</v>
      </c>
      <c r="R353" s="4">
        <f>38+57</f>
        <v>95</v>
      </c>
      <c r="S353" s="90">
        <v>0</v>
      </c>
      <c r="T353" s="125">
        <v>0</v>
      </c>
      <c r="U353" s="125">
        <v>0</v>
      </c>
      <c r="V353" s="24">
        <v>55</v>
      </c>
      <c r="W353" s="4">
        <v>1</v>
      </c>
      <c r="X353" s="4">
        <v>2.5</v>
      </c>
      <c r="Y353" s="4">
        <v>0.35</v>
      </c>
      <c r="Z353" s="4">
        <v>3.5</v>
      </c>
      <c r="AA353" s="4">
        <v>0.5</v>
      </c>
      <c r="AB353" s="90">
        <v>0</v>
      </c>
      <c r="AC353" s="90">
        <v>0</v>
      </c>
      <c r="AD353" s="90">
        <v>0</v>
      </c>
      <c r="AE353" s="4" t="s">
        <v>63</v>
      </c>
      <c r="AF353" s="118">
        <v>0</v>
      </c>
      <c r="AG353" s="118" t="s">
        <v>64</v>
      </c>
      <c r="AI353" s="104">
        <v>1561</v>
      </c>
      <c r="AJ353">
        <v>2114</v>
      </c>
    </row>
    <row r="354" spans="2:36" x14ac:dyDescent="0.25">
      <c r="B354" s="4" t="s">
        <v>50</v>
      </c>
      <c r="C354" s="4">
        <v>2</v>
      </c>
      <c r="E354" s="13">
        <v>39833</v>
      </c>
      <c r="F354" s="104">
        <f t="shared" si="39"/>
        <v>2211</v>
      </c>
      <c r="G354" s="13">
        <v>41394</v>
      </c>
      <c r="H354" s="25">
        <v>42044</v>
      </c>
      <c r="I354" s="104">
        <f t="shared" si="38"/>
        <v>1561</v>
      </c>
      <c r="J354" s="19">
        <f t="shared" si="44"/>
        <v>650</v>
      </c>
      <c r="K354" s="83" t="s">
        <v>65</v>
      </c>
      <c r="L354" s="4">
        <v>5.16</v>
      </c>
      <c r="M354" s="19">
        <f t="shared" si="40"/>
        <v>1</v>
      </c>
      <c r="N354" s="19">
        <f t="shared" si="41"/>
        <v>1</v>
      </c>
      <c r="O354" s="19">
        <f t="shared" si="42"/>
        <v>1</v>
      </c>
      <c r="P354" s="19">
        <f t="shared" si="43"/>
        <v>1</v>
      </c>
      <c r="Q354" s="4">
        <f>37+63</f>
        <v>100</v>
      </c>
      <c r="R354" s="4">
        <f>37+62</f>
        <v>99</v>
      </c>
      <c r="S354" s="90">
        <v>0</v>
      </c>
      <c r="T354" s="125">
        <v>0</v>
      </c>
      <c r="U354" s="125">
        <v>0</v>
      </c>
      <c r="V354" s="24">
        <v>55</v>
      </c>
      <c r="W354" s="4">
        <v>1</v>
      </c>
      <c r="X354" s="4">
        <v>2.5</v>
      </c>
      <c r="Y354" s="4">
        <v>0.35</v>
      </c>
      <c r="Z354" s="4">
        <v>3.5</v>
      </c>
      <c r="AA354" s="4">
        <v>0.5</v>
      </c>
      <c r="AB354" s="90">
        <v>0</v>
      </c>
      <c r="AC354" s="90">
        <v>0</v>
      </c>
      <c r="AD354" s="90">
        <v>0</v>
      </c>
      <c r="AE354" s="4" t="s">
        <v>63</v>
      </c>
      <c r="AF354" s="118">
        <v>0</v>
      </c>
      <c r="AG354" s="118" t="s">
        <v>64</v>
      </c>
      <c r="AI354" s="104">
        <v>1653</v>
      </c>
      <c r="AJ354">
        <v>2122</v>
      </c>
    </row>
    <row r="355" spans="2:36" x14ac:dyDescent="0.25">
      <c r="B355" s="4" t="s">
        <v>50</v>
      </c>
      <c r="C355" s="4">
        <v>2</v>
      </c>
      <c r="E355" s="13">
        <v>39833</v>
      </c>
      <c r="F355" s="104">
        <f t="shared" si="39"/>
        <v>2211</v>
      </c>
      <c r="G355" s="13">
        <v>41486</v>
      </c>
      <c r="H355" s="25">
        <v>42044</v>
      </c>
      <c r="I355" s="104">
        <f t="shared" si="38"/>
        <v>1653</v>
      </c>
      <c r="J355" s="19">
        <f t="shared" si="44"/>
        <v>558</v>
      </c>
      <c r="K355" s="83" t="s">
        <v>65</v>
      </c>
      <c r="L355" s="4">
        <v>5.16</v>
      </c>
      <c r="M355" s="19">
        <f t="shared" si="40"/>
        <v>1</v>
      </c>
      <c r="N355" s="19">
        <f t="shared" si="41"/>
        <v>1</v>
      </c>
      <c r="O355" s="19">
        <f t="shared" si="42"/>
        <v>1</v>
      </c>
      <c r="P355" s="19">
        <f t="shared" si="43"/>
        <v>1</v>
      </c>
      <c r="Q355" s="4">
        <f>38+62</f>
        <v>100</v>
      </c>
      <c r="R355" s="4">
        <f>62+38</f>
        <v>100</v>
      </c>
      <c r="S355" s="90">
        <v>0</v>
      </c>
      <c r="T355" s="125">
        <v>0</v>
      </c>
      <c r="U355" s="125">
        <v>0</v>
      </c>
      <c r="V355" s="24">
        <v>55</v>
      </c>
      <c r="W355" s="4">
        <v>1</v>
      </c>
      <c r="X355" s="4">
        <v>2</v>
      </c>
      <c r="Y355" s="4">
        <v>0.35</v>
      </c>
      <c r="Z355" s="4">
        <v>3</v>
      </c>
      <c r="AA355" s="4">
        <v>0.5</v>
      </c>
      <c r="AB355" s="90">
        <v>0</v>
      </c>
      <c r="AC355" s="90">
        <v>0</v>
      </c>
      <c r="AD355" s="90">
        <v>0</v>
      </c>
      <c r="AE355" s="4" t="s">
        <v>63</v>
      </c>
      <c r="AF355" s="118">
        <v>0</v>
      </c>
      <c r="AG355" s="118" t="s">
        <v>65</v>
      </c>
      <c r="AI355" s="104">
        <v>1735</v>
      </c>
      <c r="AJ355">
        <v>2122</v>
      </c>
    </row>
    <row r="356" spans="2:36" x14ac:dyDescent="0.25">
      <c r="B356" s="4" t="s">
        <v>50</v>
      </c>
      <c r="C356" s="4">
        <v>2</v>
      </c>
      <c r="E356" s="13">
        <v>39833</v>
      </c>
      <c r="F356" s="104">
        <f t="shared" si="39"/>
        <v>2211</v>
      </c>
      <c r="G356" s="13">
        <v>41568</v>
      </c>
      <c r="H356" s="25">
        <v>42044</v>
      </c>
      <c r="I356" s="104">
        <f t="shared" si="38"/>
        <v>1735</v>
      </c>
      <c r="J356" s="19">
        <f t="shared" si="44"/>
        <v>476</v>
      </c>
      <c r="K356" s="83" t="s">
        <v>65</v>
      </c>
      <c r="L356" s="4">
        <v>5.14</v>
      </c>
      <c r="M356" s="19">
        <f t="shared" si="40"/>
        <v>0</v>
      </c>
      <c r="N356" s="19">
        <f t="shared" si="41"/>
        <v>1</v>
      </c>
      <c r="O356" s="19">
        <f t="shared" si="42"/>
        <v>1</v>
      </c>
      <c r="P356" s="19">
        <f t="shared" si="43"/>
        <v>1</v>
      </c>
      <c r="Q356" s="4">
        <f>37+63</f>
        <v>100</v>
      </c>
      <c r="R356" s="4">
        <f>37+63</f>
        <v>100</v>
      </c>
      <c r="S356" s="90">
        <v>0</v>
      </c>
      <c r="T356" s="128">
        <v>0</v>
      </c>
      <c r="U356" s="128">
        <v>0</v>
      </c>
      <c r="V356" s="24">
        <v>55</v>
      </c>
      <c r="W356" s="4">
        <v>1</v>
      </c>
      <c r="X356" s="4">
        <v>2</v>
      </c>
      <c r="Y356" s="4">
        <v>0.35</v>
      </c>
      <c r="Z356" s="4">
        <v>3</v>
      </c>
      <c r="AA356" s="4">
        <v>0.5</v>
      </c>
      <c r="AB356" s="90">
        <v>0</v>
      </c>
      <c r="AC356" s="90">
        <v>0</v>
      </c>
      <c r="AD356" s="90">
        <v>0</v>
      </c>
      <c r="AE356" s="4" t="s">
        <v>63</v>
      </c>
      <c r="AG356" s="118" t="s">
        <v>65</v>
      </c>
      <c r="AI356" s="104">
        <v>1897</v>
      </c>
      <c r="AJ356">
        <v>2127</v>
      </c>
    </row>
    <row r="357" spans="2:36" x14ac:dyDescent="0.25">
      <c r="B357" s="4" t="s">
        <v>50</v>
      </c>
      <c r="C357" s="4">
        <v>2</v>
      </c>
      <c r="E357" s="13">
        <v>39833</v>
      </c>
      <c r="F357" s="104">
        <f t="shared" si="39"/>
        <v>2211</v>
      </c>
      <c r="G357" s="23">
        <v>41730</v>
      </c>
      <c r="H357" s="25">
        <v>42044</v>
      </c>
      <c r="I357" s="104">
        <f t="shared" si="38"/>
        <v>1897</v>
      </c>
      <c r="J357" s="19">
        <f t="shared" si="44"/>
        <v>314</v>
      </c>
      <c r="K357" s="83" t="s">
        <v>65</v>
      </c>
      <c r="L357" s="24">
        <v>5.0999999999999996</v>
      </c>
      <c r="M357" s="19">
        <f t="shared" si="40"/>
        <v>0</v>
      </c>
      <c r="N357" s="19">
        <f t="shared" si="41"/>
        <v>0</v>
      </c>
      <c r="O357" s="19">
        <f t="shared" si="42"/>
        <v>1</v>
      </c>
      <c r="P357" s="19">
        <f t="shared" si="43"/>
        <v>1</v>
      </c>
      <c r="Q357" s="24">
        <f>37+63</f>
        <v>100</v>
      </c>
      <c r="R357" s="24">
        <f>37+63</f>
        <v>100</v>
      </c>
      <c r="S357" s="90">
        <v>0</v>
      </c>
      <c r="T357" s="128">
        <v>0</v>
      </c>
      <c r="U357" s="128">
        <v>0</v>
      </c>
      <c r="V357" s="24">
        <v>55</v>
      </c>
      <c r="W357" s="4">
        <v>1</v>
      </c>
      <c r="X357" s="4">
        <v>2</v>
      </c>
      <c r="Y357" s="4">
        <v>0.35</v>
      </c>
      <c r="Z357" s="4">
        <v>3</v>
      </c>
      <c r="AA357" s="4">
        <v>0.5</v>
      </c>
      <c r="AB357" s="4">
        <v>0</v>
      </c>
      <c r="AC357" s="90">
        <v>0</v>
      </c>
      <c r="AD357" s="90">
        <v>0</v>
      </c>
      <c r="AE357" s="4" t="s">
        <v>63</v>
      </c>
      <c r="AG357" s="118" t="s">
        <v>65</v>
      </c>
      <c r="AI357" s="104">
        <v>2079</v>
      </c>
      <c r="AJ357">
        <v>2141</v>
      </c>
    </row>
    <row r="358" spans="2:36" x14ac:dyDescent="0.25">
      <c r="B358" s="4" t="s">
        <v>50</v>
      </c>
      <c r="C358" s="4">
        <v>2</v>
      </c>
      <c r="E358" s="13">
        <v>39833</v>
      </c>
      <c r="F358" s="104">
        <f t="shared" si="39"/>
        <v>2211</v>
      </c>
      <c r="G358" s="25">
        <v>41912</v>
      </c>
      <c r="H358" s="25">
        <v>42044</v>
      </c>
      <c r="I358" s="104">
        <f t="shared" si="38"/>
        <v>2079</v>
      </c>
      <c r="J358" s="19">
        <f t="shared" si="44"/>
        <v>132</v>
      </c>
      <c r="K358" s="83" t="s">
        <v>65</v>
      </c>
      <c r="L358" s="4">
        <v>4.8899999999999997</v>
      </c>
      <c r="M358" s="19">
        <f t="shared" si="40"/>
        <v>0</v>
      </c>
      <c r="N358" s="19">
        <f t="shared" si="41"/>
        <v>0</v>
      </c>
      <c r="O358" s="19">
        <f t="shared" si="42"/>
        <v>0</v>
      </c>
      <c r="P358" s="19">
        <f t="shared" si="43"/>
        <v>1</v>
      </c>
      <c r="Q358" s="4">
        <f>36+64</f>
        <v>100</v>
      </c>
      <c r="R358" s="4">
        <f>36+64</f>
        <v>100</v>
      </c>
      <c r="S358" s="90">
        <v>0</v>
      </c>
      <c r="T358" s="128">
        <v>0</v>
      </c>
      <c r="U358" s="128">
        <v>0</v>
      </c>
      <c r="V358" s="24">
        <v>55</v>
      </c>
      <c r="W358" s="4">
        <v>1</v>
      </c>
      <c r="X358" s="4">
        <v>2</v>
      </c>
      <c r="Y358" s="4">
        <v>0.35</v>
      </c>
      <c r="Z358" s="4">
        <v>3</v>
      </c>
      <c r="AA358" s="4">
        <v>0.5</v>
      </c>
      <c r="AB358" s="90">
        <v>0</v>
      </c>
      <c r="AC358" s="90">
        <v>0</v>
      </c>
      <c r="AD358" s="90">
        <v>0</v>
      </c>
      <c r="AE358" s="4" t="s">
        <v>63</v>
      </c>
      <c r="AG358" s="118" t="s">
        <v>65</v>
      </c>
      <c r="AI358" s="104">
        <v>2187</v>
      </c>
      <c r="AJ358">
        <v>2141</v>
      </c>
    </row>
    <row r="359" spans="2:36" x14ac:dyDescent="0.25">
      <c r="B359" s="4" t="s">
        <v>50</v>
      </c>
      <c r="C359" s="4">
        <v>2</v>
      </c>
      <c r="E359" s="13">
        <v>39833</v>
      </c>
      <c r="F359" s="104">
        <f t="shared" si="39"/>
        <v>2211</v>
      </c>
      <c r="G359" s="89">
        <v>42020</v>
      </c>
      <c r="H359" s="89">
        <v>42044</v>
      </c>
      <c r="I359" s="104">
        <f t="shared" si="38"/>
        <v>2187</v>
      </c>
      <c r="J359" s="19">
        <f t="shared" si="44"/>
        <v>24</v>
      </c>
      <c r="K359" s="83" t="s">
        <v>65</v>
      </c>
      <c r="L359" s="92">
        <v>4.53</v>
      </c>
      <c r="M359" s="19">
        <f t="shared" si="40"/>
        <v>0</v>
      </c>
      <c r="N359" s="19">
        <f t="shared" si="41"/>
        <v>0</v>
      </c>
      <c r="O359" s="19">
        <f t="shared" si="42"/>
        <v>0</v>
      </c>
      <c r="P359" s="19">
        <f t="shared" si="43"/>
        <v>0</v>
      </c>
      <c r="Q359" s="92">
        <f>37+63</f>
        <v>100</v>
      </c>
      <c r="R359" s="92">
        <f>36+63</f>
        <v>99</v>
      </c>
      <c r="S359" s="90">
        <v>0</v>
      </c>
      <c r="T359" s="134">
        <v>0</v>
      </c>
      <c r="U359" s="134">
        <v>0</v>
      </c>
      <c r="V359" s="24">
        <v>55</v>
      </c>
      <c r="W359" s="92">
        <v>1</v>
      </c>
      <c r="X359" s="92">
        <v>2</v>
      </c>
      <c r="Y359" s="92">
        <v>0.35</v>
      </c>
      <c r="Z359" s="92">
        <v>3</v>
      </c>
      <c r="AA359" s="92">
        <v>0.5</v>
      </c>
      <c r="AB359" s="90">
        <v>0</v>
      </c>
      <c r="AC359" s="90">
        <v>0</v>
      </c>
      <c r="AD359" s="90">
        <v>0</v>
      </c>
      <c r="AE359" s="92" t="s">
        <v>63</v>
      </c>
      <c r="AF359" s="117"/>
      <c r="AG359" s="119" t="s">
        <v>65</v>
      </c>
      <c r="AI359" s="104">
        <v>2211</v>
      </c>
      <c r="AJ359">
        <v>2149</v>
      </c>
    </row>
    <row r="360" spans="2:36" x14ac:dyDescent="0.25">
      <c r="B360" s="4" t="s">
        <v>50</v>
      </c>
      <c r="C360" s="4">
        <v>2</v>
      </c>
      <c r="E360" s="13">
        <v>39833</v>
      </c>
      <c r="F360" s="104">
        <f t="shared" si="39"/>
        <v>2211</v>
      </c>
      <c r="G360" s="89">
        <v>42044</v>
      </c>
      <c r="H360" s="89">
        <v>42044</v>
      </c>
      <c r="I360" s="104">
        <f t="shared" si="38"/>
        <v>2211</v>
      </c>
      <c r="J360" s="19">
        <f t="shared" si="44"/>
        <v>0</v>
      </c>
      <c r="K360" s="83" t="s">
        <v>65</v>
      </c>
      <c r="L360" s="92">
        <v>4.5</v>
      </c>
      <c r="M360" s="19">
        <f t="shared" si="40"/>
        <v>0</v>
      </c>
      <c r="N360" s="19">
        <f t="shared" si="41"/>
        <v>0</v>
      </c>
      <c r="O360" s="19">
        <f t="shared" si="42"/>
        <v>0</v>
      </c>
      <c r="P360" s="19">
        <f t="shared" si="43"/>
        <v>0</v>
      </c>
      <c r="Q360" s="92">
        <f>35+63</f>
        <v>98</v>
      </c>
      <c r="R360" s="92">
        <f>35+64</f>
        <v>99</v>
      </c>
      <c r="S360" s="90">
        <v>0</v>
      </c>
      <c r="T360" s="134">
        <v>0</v>
      </c>
      <c r="U360" s="134">
        <v>0</v>
      </c>
      <c r="V360" s="24">
        <v>55</v>
      </c>
      <c r="W360" s="92">
        <v>1</v>
      </c>
      <c r="X360" s="92">
        <v>2</v>
      </c>
      <c r="Y360" s="92">
        <v>0.35</v>
      </c>
      <c r="Z360" s="92">
        <v>3</v>
      </c>
      <c r="AA360" s="92">
        <v>0.5</v>
      </c>
      <c r="AB360" s="90">
        <v>0</v>
      </c>
      <c r="AC360" s="90">
        <v>0</v>
      </c>
      <c r="AD360" s="90">
        <v>0</v>
      </c>
      <c r="AE360" s="92" t="s">
        <v>63</v>
      </c>
      <c r="AF360" s="117"/>
      <c r="AG360" s="119" t="s">
        <v>65</v>
      </c>
      <c r="AI360" s="104">
        <v>1260</v>
      </c>
      <c r="AJ360">
        <v>2149</v>
      </c>
    </row>
    <row r="361" spans="2:36" x14ac:dyDescent="0.25">
      <c r="B361" s="4" t="s">
        <v>82</v>
      </c>
      <c r="C361" s="4">
        <v>2</v>
      </c>
      <c r="E361" s="13">
        <v>39735</v>
      </c>
      <c r="F361" s="104">
        <f t="shared" si="39"/>
        <v>2472</v>
      </c>
      <c r="G361" s="13">
        <v>40995</v>
      </c>
      <c r="H361" s="27">
        <v>42207</v>
      </c>
      <c r="I361" s="104">
        <f t="shared" si="38"/>
        <v>1260</v>
      </c>
      <c r="J361" s="19">
        <f t="shared" si="44"/>
        <v>1212</v>
      </c>
      <c r="K361" s="83" t="s">
        <v>65</v>
      </c>
      <c r="L361" s="4">
        <v>5.75</v>
      </c>
      <c r="M361" s="19">
        <f t="shared" si="40"/>
        <v>1</v>
      </c>
      <c r="N361" s="19">
        <f t="shared" si="41"/>
        <v>1</v>
      </c>
      <c r="O361" s="19">
        <f t="shared" si="42"/>
        <v>1</v>
      </c>
      <c r="P361" s="19">
        <f t="shared" si="43"/>
        <v>1</v>
      </c>
      <c r="Q361" s="4">
        <v>0</v>
      </c>
      <c r="R361" s="4">
        <v>0</v>
      </c>
      <c r="S361" s="90">
        <v>0</v>
      </c>
      <c r="T361" s="125">
        <v>0</v>
      </c>
      <c r="U361" s="125">
        <v>0</v>
      </c>
      <c r="V361" s="4">
        <v>60</v>
      </c>
      <c r="W361" s="4">
        <v>1</v>
      </c>
      <c r="X361" s="4">
        <v>2.5</v>
      </c>
      <c r="Y361" s="4">
        <v>0.35</v>
      </c>
      <c r="Z361" s="4">
        <v>2.5</v>
      </c>
      <c r="AA361" s="4">
        <v>0.35</v>
      </c>
      <c r="AB361" s="90">
        <v>0</v>
      </c>
      <c r="AC361" s="90">
        <v>0</v>
      </c>
      <c r="AD361" s="90">
        <v>0</v>
      </c>
      <c r="AE361" s="4" t="s">
        <v>47</v>
      </c>
      <c r="AF361" s="118" t="s">
        <v>42</v>
      </c>
      <c r="AG361" s="118" t="s">
        <v>96</v>
      </c>
      <c r="AI361" s="104">
        <v>1449</v>
      </c>
      <c r="AJ361">
        <v>2150</v>
      </c>
    </row>
    <row r="362" spans="2:36" x14ac:dyDescent="0.25">
      <c r="B362" s="4" t="s">
        <v>82</v>
      </c>
      <c r="C362" s="4">
        <v>2</v>
      </c>
      <c r="E362" s="13">
        <v>39735</v>
      </c>
      <c r="F362" s="104">
        <f t="shared" si="39"/>
        <v>2472</v>
      </c>
      <c r="G362" s="13">
        <v>41184</v>
      </c>
      <c r="H362" s="27">
        <v>42207</v>
      </c>
      <c r="I362" s="104">
        <f t="shared" si="38"/>
        <v>1449</v>
      </c>
      <c r="J362" s="19">
        <f t="shared" si="44"/>
        <v>1023</v>
      </c>
      <c r="K362" s="83" t="s">
        <v>65</v>
      </c>
      <c r="L362" s="4">
        <v>5.32</v>
      </c>
      <c r="M362" s="19">
        <f t="shared" si="40"/>
        <v>1</v>
      </c>
      <c r="N362" s="19">
        <f t="shared" si="41"/>
        <v>1</v>
      </c>
      <c r="O362" s="19">
        <f t="shared" si="42"/>
        <v>1</v>
      </c>
      <c r="P362" s="19">
        <f t="shared" si="43"/>
        <v>1</v>
      </c>
      <c r="Q362" s="4">
        <f>35+55</f>
        <v>90</v>
      </c>
      <c r="R362" s="4">
        <f>45+55</f>
        <v>100</v>
      </c>
      <c r="S362" s="90">
        <v>0</v>
      </c>
      <c r="T362" s="125">
        <v>0</v>
      </c>
      <c r="U362" s="125">
        <v>0</v>
      </c>
      <c r="V362" s="4">
        <v>60</v>
      </c>
      <c r="W362" s="4">
        <v>1</v>
      </c>
      <c r="X362" s="4">
        <v>2.5</v>
      </c>
      <c r="Y362" s="4">
        <v>0.35</v>
      </c>
      <c r="Z362" s="4">
        <v>2.5</v>
      </c>
      <c r="AA362" s="4">
        <v>0.35</v>
      </c>
      <c r="AB362" s="90">
        <v>0</v>
      </c>
      <c r="AC362" s="90">
        <v>0</v>
      </c>
      <c r="AD362" s="90">
        <v>0</v>
      </c>
      <c r="AE362" s="4" t="s">
        <v>47</v>
      </c>
      <c r="AF362" s="118" t="s">
        <v>42</v>
      </c>
      <c r="AG362" s="118" t="s">
        <v>96</v>
      </c>
      <c r="AI362" s="104">
        <v>1574</v>
      </c>
      <c r="AJ362">
        <v>2153</v>
      </c>
    </row>
    <row r="363" spans="2:36" x14ac:dyDescent="0.25">
      <c r="B363" s="4" t="s">
        <v>82</v>
      </c>
      <c r="C363" s="4">
        <v>2</v>
      </c>
      <c r="E363" s="13">
        <v>39735</v>
      </c>
      <c r="F363" s="104">
        <f t="shared" si="39"/>
        <v>2472</v>
      </c>
      <c r="G363" s="13">
        <v>41309</v>
      </c>
      <c r="H363" s="27">
        <v>42207</v>
      </c>
      <c r="I363" s="104">
        <f t="shared" si="38"/>
        <v>1574</v>
      </c>
      <c r="J363" s="19">
        <f t="shared" si="44"/>
        <v>898</v>
      </c>
      <c r="K363" s="83" t="s">
        <v>65</v>
      </c>
      <c r="L363" s="4">
        <v>5.24</v>
      </c>
      <c r="M363" s="19">
        <f t="shared" si="40"/>
        <v>1</v>
      </c>
      <c r="N363" s="19">
        <f t="shared" si="41"/>
        <v>1</v>
      </c>
      <c r="O363" s="19">
        <f t="shared" si="42"/>
        <v>1</v>
      </c>
      <c r="P363" s="19">
        <f t="shared" si="43"/>
        <v>1</v>
      </c>
      <c r="Q363" s="4">
        <f>32+50</f>
        <v>82</v>
      </c>
      <c r="R363" s="4">
        <f>50+50</f>
        <v>100</v>
      </c>
      <c r="S363" s="90">
        <v>0</v>
      </c>
      <c r="T363" s="125">
        <v>0</v>
      </c>
      <c r="U363" s="125">
        <v>0</v>
      </c>
      <c r="V363" s="4">
        <v>60</v>
      </c>
      <c r="W363" s="4">
        <v>1</v>
      </c>
      <c r="X363" s="4">
        <v>2.5</v>
      </c>
      <c r="Y363" s="4">
        <v>0.35</v>
      </c>
      <c r="Z363" s="4">
        <v>2.5</v>
      </c>
      <c r="AA363" s="4">
        <v>0.35</v>
      </c>
      <c r="AB363" s="90">
        <v>0</v>
      </c>
      <c r="AC363" s="90">
        <v>0</v>
      </c>
      <c r="AD363" s="90">
        <v>0</v>
      </c>
      <c r="AE363" s="4" t="s">
        <v>47</v>
      </c>
      <c r="AF363" s="118" t="s">
        <v>42</v>
      </c>
      <c r="AG363" s="118" t="s">
        <v>96</v>
      </c>
      <c r="AI363" s="104">
        <v>1694</v>
      </c>
      <c r="AJ363">
        <v>2155</v>
      </c>
    </row>
    <row r="364" spans="2:36" x14ac:dyDescent="0.25">
      <c r="B364" s="4" t="s">
        <v>82</v>
      </c>
      <c r="C364" s="4">
        <v>2</v>
      </c>
      <c r="E364" s="13">
        <v>39735</v>
      </c>
      <c r="F364" s="104">
        <f t="shared" si="39"/>
        <v>2472</v>
      </c>
      <c r="G364" s="13">
        <v>41429</v>
      </c>
      <c r="H364" s="27">
        <v>42207</v>
      </c>
      <c r="I364" s="104">
        <f t="shared" si="38"/>
        <v>1694</v>
      </c>
      <c r="J364" s="19">
        <f t="shared" si="44"/>
        <v>778</v>
      </c>
      <c r="K364" s="83" t="s">
        <v>65</v>
      </c>
      <c r="L364" s="4">
        <v>5.18</v>
      </c>
      <c r="M364" s="19">
        <f t="shared" si="40"/>
        <v>1</v>
      </c>
      <c r="N364" s="19">
        <f t="shared" si="41"/>
        <v>1</v>
      </c>
      <c r="O364" s="19">
        <f t="shared" si="42"/>
        <v>1</v>
      </c>
      <c r="P364" s="19">
        <f t="shared" si="43"/>
        <v>1</v>
      </c>
      <c r="Q364" s="4">
        <f>34+53</f>
        <v>87</v>
      </c>
      <c r="R364" s="4">
        <f>47+53</f>
        <v>100</v>
      </c>
      <c r="S364" s="90">
        <v>0</v>
      </c>
      <c r="T364" s="128">
        <v>0</v>
      </c>
      <c r="U364" s="128">
        <v>0</v>
      </c>
      <c r="V364" s="4">
        <v>60</v>
      </c>
      <c r="W364" s="4">
        <v>1</v>
      </c>
      <c r="X364" s="4">
        <v>2</v>
      </c>
      <c r="Y364" s="4">
        <v>0.35</v>
      </c>
      <c r="Z364" s="4">
        <v>2.5</v>
      </c>
      <c r="AA364" s="4">
        <v>0.35</v>
      </c>
      <c r="AB364" s="90">
        <v>0</v>
      </c>
      <c r="AC364" s="90">
        <v>0</v>
      </c>
      <c r="AD364" s="90">
        <v>0</v>
      </c>
      <c r="AE364" s="4" t="s">
        <v>47</v>
      </c>
      <c r="AF364" s="141"/>
      <c r="AG364" s="118" t="s">
        <v>96</v>
      </c>
      <c r="AI364" s="104">
        <v>1833</v>
      </c>
      <c r="AJ364">
        <v>2167</v>
      </c>
    </row>
    <row r="365" spans="2:36" x14ac:dyDescent="0.25">
      <c r="B365" s="4" t="s">
        <v>82</v>
      </c>
      <c r="C365" s="4">
        <v>2</v>
      </c>
      <c r="E365" s="13">
        <v>39735</v>
      </c>
      <c r="F365" s="104">
        <f t="shared" si="39"/>
        <v>2472</v>
      </c>
      <c r="G365" s="13">
        <v>41568</v>
      </c>
      <c r="H365" s="27">
        <v>42207</v>
      </c>
      <c r="I365" s="104">
        <f t="shared" si="38"/>
        <v>1833</v>
      </c>
      <c r="J365" s="19">
        <f t="shared" si="44"/>
        <v>639</v>
      </c>
      <c r="K365" s="83" t="s">
        <v>65</v>
      </c>
      <c r="L365" s="4">
        <v>5.17</v>
      </c>
      <c r="M365" s="19">
        <f t="shared" si="40"/>
        <v>1</v>
      </c>
      <c r="N365" s="19">
        <f t="shared" si="41"/>
        <v>1</v>
      </c>
      <c r="O365" s="19">
        <f t="shared" si="42"/>
        <v>1</v>
      </c>
      <c r="P365" s="19">
        <f t="shared" si="43"/>
        <v>1</v>
      </c>
      <c r="Q365" s="4">
        <f>34+56</f>
        <v>90</v>
      </c>
      <c r="R365" s="4">
        <f>44+56</f>
        <v>100</v>
      </c>
      <c r="S365" s="90">
        <v>0</v>
      </c>
      <c r="T365" s="128">
        <v>0</v>
      </c>
      <c r="U365" s="128">
        <v>0</v>
      </c>
      <c r="V365" s="4">
        <v>60</v>
      </c>
      <c r="W365" s="4">
        <v>1</v>
      </c>
      <c r="X365" s="4">
        <v>2</v>
      </c>
      <c r="Y365" s="4">
        <v>0.35</v>
      </c>
      <c r="Z365" s="4">
        <v>2.5</v>
      </c>
      <c r="AA365" s="4">
        <v>0.35</v>
      </c>
      <c r="AB365" s="90">
        <v>0</v>
      </c>
      <c r="AC365" s="90">
        <v>0</v>
      </c>
      <c r="AD365" s="90">
        <v>0</v>
      </c>
      <c r="AE365" s="4" t="s">
        <v>47</v>
      </c>
      <c r="AG365" s="118" t="s">
        <v>96</v>
      </c>
      <c r="AI365" s="104">
        <v>2016</v>
      </c>
      <c r="AJ365">
        <v>2170</v>
      </c>
    </row>
    <row r="366" spans="2:36" x14ac:dyDescent="0.25">
      <c r="B366" s="4" t="s">
        <v>82</v>
      </c>
      <c r="C366" s="4">
        <v>2</v>
      </c>
      <c r="E366" s="13">
        <v>39735</v>
      </c>
      <c r="F366" s="104">
        <f t="shared" si="39"/>
        <v>2472</v>
      </c>
      <c r="G366" s="13">
        <v>41751</v>
      </c>
      <c r="H366" s="27">
        <v>42207</v>
      </c>
      <c r="I366" s="104">
        <f t="shared" si="38"/>
        <v>2016</v>
      </c>
      <c r="J366" s="19">
        <f t="shared" si="44"/>
        <v>456</v>
      </c>
      <c r="K366" s="83" t="s">
        <v>65</v>
      </c>
      <c r="L366" s="4">
        <v>5.15</v>
      </c>
      <c r="M366" s="19">
        <f t="shared" si="40"/>
        <v>0</v>
      </c>
      <c r="N366" s="19">
        <f t="shared" si="41"/>
        <v>1</v>
      </c>
      <c r="O366" s="19">
        <f t="shared" si="42"/>
        <v>1</v>
      </c>
      <c r="P366" s="19">
        <f t="shared" si="43"/>
        <v>1</v>
      </c>
      <c r="Q366" s="4">
        <f>32+52</f>
        <v>84</v>
      </c>
      <c r="R366" s="4">
        <f>48+52</f>
        <v>100</v>
      </c>
      <c r="S366" s="90">
        <v>0</v>
      </c>
      <c r="T366" s="128">
        <v>0</v>
      </c>
      <c r="U366" s="128">
        <v>0</v>
      </c>
      <c r="V366" s="4">
        <v>60</v>
      </c>
      <c r="W366" s="4">
        <v>1</v>
      </c>
      <c r="X366" s="4">
        <v>2</v>
      </c>
      <c r="Y366" s="4">
        <v>0.35</v>
      </c>
      <c r="Z366" s="4">
        <v>2.5</v>
      </c>
      <c r="AA366" s="4">
        <v>0.35</v>
      </c>
      <c r="AB366" s="90">
        <v>0</v>
      </c>
      <c r="AC366" s="90">
        <v>0</v>
      </c>
      <c r="AD366" s="90">
        <v>0</v>
      </c>
      <c r="AE366" s="4" t="s">
        <v>47</v>
      </c>
      <c r="AF366" s="141"/>
      <c r="AG366" s="118" t="s">
        <v>96</v>
      </c>
      <c r="AI366" s="104">
        <v>2205</v>
      </c>
      <c r="AJ366">
        <v>2177</v>
      </c>
    </row>
    <row r="367" spans="2:36" x14ac:dyDescent="0.25">
      <c r="B367" s="4" t="s">
        <v>82</v>
      </c>
      <c r="C367" s="4">
        <v>2</v>
      </c>
      <c r="E367" s="13">
        <v>39735</v>
      </c>
      <c r="F367" s="104">
        <f t="shared" si="39"/>
        <v>2472</v>
      </c>
      <c r="G367" s="13">
        <v>41940</v>
      </c>
      <c r="H367" s="27">
        <v>42207</v>
      </c>
      <c r="I367" s="104">
        <f t="shared" si="38"/>
        <v>2205</v>
      </c>
      <c r="J367" s="19">
        <f t="shared" si="44"/>
        <v>267</v>
      </c>
      <c r="K367" s="83" t="s">
        <v>65</v>
      </c>
      <c r="L367" s="4">
        <v>5.1100000000000003</v>
      </c>
      <c r="M367" s="19">
        <f t="shared" si="40"/>
        <v>0</v>
      </c>
      <c r="N367" s="19">
        <f t="shared" si="41"/>
        <v>0</v>
      </c>
      <c r="O367" s="19">
        <f t="shared" si="42"/>
        <v>1</v>
      </c>
      <c r="P367" s="19">
        <f t="shared" si="43"/>
        <v>1</v>
      </c>
      <c r="Q367" s="4">
        <f>36+50</f>
        <v>86</v>
      </c>
      <c r="R367" s="4">
        <f>50+50</f>
        <v>100</v>
      </c>
      <c r="S367" s="90">
        <v>0</v>
      </c>
      <c r="T367" s="125">
        <v>1</v>
      </c>
      <c r="U367" s="125">
        <v>2</v>
      </c>
      <c r="V367" s="4">
        <v>60</v>
      </c>
      <c r="W367" s="4">
        <v>1</v>
      </c>
      <c r="X367" s="4">
        <v>2</v>
      </c>
      <c r="Y367" s="4">
        <v>0.35</v>
      </c>
      <c r="Z367" s="4">
        <v>2.5</v>
      </c>
      <c r="AA367" s="4">
        <v>0.35</v>
      </c>
      <c r="AB367" s="90">
        <v>0</v>
      </c>
      <c r="AC367" s="90">
        <v>0</v>
      </c>
      <c r="AD367" s="90">
        <v>0</v>
      </c>
      <c r="AE367" s="4" t="s">
        <v>47</v>
      </c>
      <c r="AF367" s="140" t="s">
        <v>78</v>
      </c>
      <c r="AG367" s="118" t="s">
        <v>96</v>
      </c>
      <c r="AI367" s="104">
        <v>2472</v>
      </c>
      <c r="AJ367">
        <v>2183</v>
      </c>
    </row>
    <row r="368" spans="2:36" x14ac:dyDescent="0.25">
      <c r="B368" s="4" t="s">
        <v>82</v>
      </c>
      <c r="C368" s="4">
        <v>2</v>
      </c>
      <c r="E368" s="13">
        <v>39735</v>
      </c>
      <c r="F368" s="104">
        <f t="shared" si="39"/>
        <v>2472</v>
      </c>
      <c r="G368" s="27">
        <v>42207</v>
      </c>
      <c r="H368" s="27">
        <v>42207</v>
      </c>
      <c r="I368" s="104">
        <f t="shared" si="38"/>
        <v>2472</v>
      </c>
      <c r="J368" s="19">
        <f t="shared" si="44"/>
        <v>0</v>
      </c>
      <c r="K368" s="83" t="s">
        <v>65</v>
      </c>
      <c r="L368" s="24">
        <v>4.8</v>
      </c>
      <c r="M368" s="19">
        <f t="shared" si="40"/>
        <v>0</v>
      </c>
      <c r="N368" s="19">
        <f t="shared" si="41"/>
        <v>0</v>
      </c>
      <c r="O368" s="19">
        <f t="shared" si="42"/>
        <v>0</v>
      </c>
      <c r="P368" s="19">
        <f t="shared" si="43"/>
        <v>0</v>
      </c>
      <c r="Q368" s="24">
        <f>35+45</f>
        <v>80</v>
      </c>
      <c r="R368" s="24">
        <f>54+46</f>
        <v>100</v>
      </c>
      <c r="S368" s="90">
        <v>0</v>
      </c>
      <c r="T368" s="127">
        <v>2</v>
      </c>
      <c r="U368" s="127">
        <v>4</v>
      </c>
      <c r="V368" s="4">
        <v>60</v>
      </c>
      <c r="W368" s="4">
        <v>1</v>
      </c>
      <c r="X368" s="4">
        <v>2</v>
      </c>
      <c r="Y368" s="4">
        <v>0.35</v>
      </c>
      <c r="Z368" s="4">
        <v>2.5</v>
      </c>
      <c r="AA368" s="4">
        <v>0.35</v>
      </c>
      <c r="AB368" s="90">
        <v>0</v>
      </c>
      <c r="AC368" s="90">
        <v>0</v>
      </c>
      <c r="AD368" s="90">
        <v>0</v>
      </c>
      <c r="AE368" s="4" t="s">
        <v>47</v>
      </c>
      <c r="AF368" s="138" t="s">
        <v>79</v>
      </c>
      <c r="AG368" s="118" t="s">
        <v>96</v>
      </c>
      <c r="AI368" s="104">
        <v>469</v>
      </c>
      <c r="AJ368">
        <v>2187</v>
      </c>
    </row>
    <row r="369" spans="2:36" hidden="1" x14ac:dyDescent="0.25">
      <c r="B369" s="24" t="s">
        <v>297</v>
      </c>
      <c r="C369" s="24">
        <v>2</v>
      </c>
      <c r="E369" s="27">
        <v>39735</v>
      </c>
      <c r="F369" s="104">
        <f t="shared" si="39"/>
        <v>2396</v>
      </c>
      <c r="G369" s="25">
        <v>40204</v>
      </c>
      <c r="H369" s="25">
        <v>42131</v>
      </c>
      <c r="I369" s="104">
        <f t="shared" si="38"/>
        <v>469</v>
      </c>
      <c r="J369" s="19">
        <f t="shared" si="44"/>
        <v>1927</v>
      </c>
      <c r="K369" t="s">
        <v>69</v>
      </c>
      <c r="L369" s="24">
        <v>6.41</v>
      </c>
      <c r="M369" s="19">
        <f t="shared" si="40"/>
        <v>1</v>
      </c>
      <c r="N369" s="19">
        <f t="shared" si="41"/>
        <v>1</v>
      </c>
      <c r="O369" s="19">
        <f t="shared" si="42"/>
        <v>1</v>
      </c>
      <c r="P369" s="19">
        <f t="shared" si="43"/>
        <v>1</v>
      </c>
      <c r="Q369" s="24">
        <f>7+40</f>
        <v>47</v>
      </c>
      <c r="R369" s="24">
        <f>52+48</f>
        <v>100</v>
      </c>
      <c r="S369" s="24">
        <v>0</v>
      </c>
      <c r="T369" s="127">
        <v>0</v>
      </c>
      <c r="U369" s="127">
        <v>0</v>
      </c>
      <c r="V369" s="4">
        <v>60</v>
      </c>
      <c r="W369" s="24">
        <v>1</v>
      </c>
      <c r="X369" s="24">
        <v>2.5</v>
      </c>
      <c r="Y369" s="24">
        <v>0.35</v>
      </c>
      <c r="Z369" s="24">
        <v>2.5</v>
      </c>
      <c r="AA369" s="24">
        <v>0.35</v>
      </c>
      <c r="AB369" s="24">
        <v>0</v>
      </c>
      <c r="AC369" s="24">
        <v>0</v>
      </c>
      <c r="AD369" s="24">
        <v>0</v>
      </c>
      <c r="AE369" s="24" t="s">
        <v>67</v>
      </c>
      <c r="AF369" s="138" t="s">
        <v>42</v>
      </c>
      <c r="AG369" s="114" t="s">
        <v>302</v>
      </c>
      <c r="AI369" s="104">
        <v>1071</v>
      </c>
      <c r="AJ369">
        <v>2188</v>
      </c>
    </row>
    <row r="370" spans="2:36" hidden="1" x14ac:dyDescent="0.25">
      <c r="B370" s="24" t="s">
        <v>297</v>
      </c>
      <c r="C370" s="24">
        <v>2</v>
      </c>
      <c r="E370" s="27">
        <v>39735</v>
      </c>
      <c r="F370" s="104">
        <f t="shared" si="39"/>
        <v>2396</v>
      </c>
      <c r="G370" s="25">
        <v>40806</v>
      </c>
      <c r="H370" s="25">
        <v>42131</v>
      </c>
      <c r="I370" s="104">
        <f t="shared" si="38"/>
        <v>1071</v>
      </c>
      <c r="J370" s="19">
        <f t="shared" si="44"/>
        <v>1325</v>
      </c>
      <c r="K370" t="s">
        <v>69</v>
      </c>
      <c r="L370" s="4">
        <v>5.99</v>
      </c>
      <c r="M370" s="19">
        <f t="shared" si="40"/>
        <v>1</v>
      </c>
      <c r="N370" s="19">
        <f t="shared" si="41"/>
        <v>1</v>
      </c>
      <c r="O370" s="19">
        <f t="shared" si="42"/>
        <v>1</v>
      </c>
      <c r="P370" s="19">
        <f t="shared" si="43"/>
        <v>1</v>
      </c>
      <c r="Q370" s="4">
        <f>24+50</f>
        <v>74</v>
      </c>
      <c r="R370" s="4">
        <f>46+54</f>
        <v>100</v>
      </c>
      <c r="S370" s="24">
        <v>0</v>
      </c>
      <c r="T370" s="127">
        <v>0</v>
      </c>
      <c r="U370" s="127">
        <v>0</v>
      </c>
      <c r="V370" s="4">
        <v>60</v>
      </c>
      <c r="W370" s="24">
        <v>1</v>
      </c>
      <c r="X370" s="24">
        <v>2.5</v>
      </c>
      <c r="Y370" s="24">
        <v>0.35</v>
      </c>
      <c r="Z370" s="24">
        <v>2.5</v>
      </c>
      <c r="AA370" s="24">
        <v>0.35</v>
      </c>
      <c r="AB370" s="24">
        <v>0</v>
      </c>
      <c r="AC370" s="24">
        <v>0</v>
      </c>
      <c r="AD370" s="24">
        <v>0</v>
      </c>
      <c r="AE370" s="24" t="s">
        <v>67</v>
      </c>
      <c r="AF370" s="138" t="s">
        <v>42</v>
      </c>
      <c r="AG370" s="114" t="s">
        <v>302</v>
      </c>
      <c r="AI370" s="104">
        <v>2394</v>
      </c>
      <c r="AJ370">
        <v>2190</v>
      </c>
    </row>
    <row r="371" spans="2:36" hidden="1" x14ac:dyDescent="0.25">
      <c r="B371" s="24" t="s">
        <v>297</v>
      </c>
      <c r="C371" s="24">
        <v>2</v>
      </c>
      <c r="E371" s="27">
        <v>39735</v>
      </c>
      <c r="F371" s="104">
        <f t="shared" si="39"/>
        <v>2396</v>
      </c>
      <c r="G371" s="25">
        <v>42129</v>
      </c>
      <c r="H371" s="25">
        <v>42131</v>
      </c>
      <c r="I371" s="104">
        <f t="shared" si="38"/>
        <v>2394</v>
      </c>
      <c r="J371" s="19">
        <f t="shared" si="44"/>
        <v>2</v>
      </c>
      <c r="K371" t="s">
        <v>69</v>
      </c>
      <c r="L371" s="4">
        <v>4.97</v>
      </c>
      <c r="M371" s="19">
        <f t="shared" si="40"/>
        <v>0</v>
      </c>
      <c r="N371" s="19">
        <f t="shared" si="41"/>
        <v>0</v>
      </c>
      <c r="O371" s="19">
        <f t="shared" si="42"/>
        <v>0</v>
      </c>
      <c r="P371" s="19">
        <f t="shared" si="43"/>
        <v>0</v>
      </c>
      <c r="Q371" s="4">
        <f>35+45</f>
        <v>80</v>
      </c>
      <c r="R371" s="4">
        <f>55+45</f>
        <v>100</v>
      </c>
      <c r="S371" s="24">
        <v>0</v>
      </c>
      <c r="T371" s="127">
        <v>0</v>
      </c>
      <c r="U371" s="127">
        <v>0</v>
      </c>
      <c r="V371" s="4">
        <v>60</v>
      </c>
      <c r="W371" s="4">
        <v>0</v>
      </c>
      <c r="X371" s="4">
        <v>2</v>
      </c>
      <c r="Y371" s="4">
        <v>0.35</v>
      </c>
      <c r="Z371" s="4">
        <v>2.5</v>
      </c>
      <c r="AA371" s="4">
        <v>0.35</v>
      </c>
      <c r="AB371" s="24">
        <v>0</v>
      </c>
      <c r="AC371" s="24">
        <v>0</v>
      </c>
      <c r="AD371" s="24">
        <v>0</v>
      </c>
      <c r="AE371" s="4" t="s">
        <v>47</v>
      </c>
      <c r="AF371" s="138" t="s">
        <v>42</v>
      </c>
      <c r="AG371" s="118" t="s">
        <v>69</v>
      </c>
      <c r="AI371" s="104">
        <v>2396</v>
      </c>
      <c r="AJ371">
        <v>2190</v>
      </c>
    </row>
    <row r="372" spans="2:36" hidden="1" x14ac:dyDescent="0.25">
      <c r="B372" s="24" t="s">
        <v>297</v>
      </c>
      <c r="C372" s="24">
        <v>2</v>
      </c>
      <c r="E372" s="27">
        <v>39735</v>
      </c>
      <c r="F372" s="104">
        <f t="shared" si="39"/>
        <v>2396</v>
      </c>
      <c r="G372" s="25">
        <v>42131</v>
      </c>
      <c r="H372" s="25">
        <v>42131</v>
      </c>
      <c r="I372" s="104">
        <f t="shared" si="38"/>
        <v>2396</v>
      </c>
      <c r="J372" s="19">
        <f t="shared" si="44"/>
        <v>0</v>
      </c>
      <c r="K372" t="s">
        <v>69</v>
      </c>
      <c r="L372" s="4">
        <v>4.83</v>
      </c>
      <c r="M372" s="19">
        <f t="shared" si="40"/>
        <v>0</v>
      </c>
      <c r="N372" s="19">
        <f t="shared" si="41"/>
        <v>0</v>
      </c>
      <c r="O372" s="19">
        <f t="shared" si="42"/>
        <v>0</v>
      </c>
      <c r="P372" s="19">
        <f t="shared" si="43"/>
        <v>0</v>
      </c>
      <c r="Q372" s="4">
        <f>35+46</f>
        <v>81</v>
      </c>
      <c r="R372" s="4">
        <f>54+46</f>
        <v>100</v>
      </c>
      <c r="S372" s="24">
        <v>0</v>
      </c>
      <c r="T372" s="127">
        <v>0</v>
      </c>
      <c r="U372" s="127">
        <v>0</v>
      </c>
      <c r="V372" s="4">
        <v>60</v>
      </c>
      <c r="W372" s="4">
        <v>0</v>
      </c>
      <c r="X372" s="4">
        <v>2</v>
      </c>
      <c r="Y372" s="4">
        <v>0.35</v>
      </c>
      <c r="Z372" s="4">
        <v>2.5</v>
      </c>
      <c r="AA372" s="4">
        <v>0.35</v>
      </c>
      <c r="AB372" s="24">
        <v>0</v>
      </c>
      <c r="AC372" s="24">
        <v>0</v>
      </c>
      <c r="AD372" s="24">
        <v>0</v>
      </c>
      <c r="AE372" s="4" t="s">
        <v>47</v>
      </c>
      <c r="AF372" s="138" t="s">
        <v>42</v>
      </c>
      <c r="AG372" s="118" t="s">
        <v>69</v>
      </c>
      <c r="AI372" s="104">
        <v>210</v>
      </c>
      <c r="AJ372">
        <v>2191</v>
      </c>
    </row>
    <row r="373" spans="2:36" hidden="1" x14ac:dyDescent="0.25">
      <c r="B373" s="4" t="s">
        <v>38</v>
      </c>
      <c r="C373" s="4">
        <v>3</v>
      </c>
      <c r="D373" s="4" t="s">
        <v>26</v>
      </c>
      <c r="E373" s="13">
        <v>39770</v>
      </c>
      <c r="F373" s="104">
        <f t="shared" si="39"/>
        <v>1946</v>
      </c>
      <c r="G373" s="79">
        <v>39980</v>
      </c>
      <c r="H373" s="79">
        <v>41716</v>
      </c>
      <c r="I373" s="104">
        <f t="shared" si="38"/>
        <v>210</v>
      </c>
      <c r="J373" s="19">
        <f t="shared" si="44"/>
        <v>1736</v>
      </c>
      <c r="K373" t="s">
        <v>69</v>
      </c>
      <c r="L373" s="82">
        <v>6.43</v>
      </c>
      <c r="M373" s="19">
        <f t="shared" si="40"/>
        <v>1</v>
      </c>
      <c r="N373" s="19">
        <f t="shared" si="41"/>
        <v>1</v>
      </c>
      <c r="O373" s="19">
        <f t="shared" si="42"/>
        <v>1</v>
      </c>
      <c r="P373" s="19">
        <f t="shared" si="43"/>
        <v>1</v>
      </c>
      <c r="Q373" s="82">
        <v>0</v>
      </c>
      <c r="R373" s="82">
        <v>99</v>
      </c>
      <c r="S373" s="82">
        <v>99</v>
      </c>
      <c r="T373" s="134">
        <v>0</v>
      </c>
      <c r="U373" s="134">
        <v>0</v>
      </c>
      <c r="V373" s="4">
        <v>60</v>
      </c>
      <c r="W373" s="82">
        <v>0</v>
      </c>
      <c r="X373" s="82">
        <v>3.5</v>
      </c>
      <c r="Y373" s="82">
        <v>0.35</v>
      </c>
      <c r="Z373" s="82">
        <v>3.5</v>
      </c>
      <c r="AA373" s="82">
        <v>0.35</v>
      </c>
      <c r="AB373" s="82">
        <v>3.5</v>
      </c>
      <c r="AC373" s="82">
        <v>0.35</v>
      </c>
      <c r="AD373" s="82" t="s">
        <v>16</v>
      </c>
      <c r="AE373" s="82">
        <v>60</v>
      </c>
      <c r="AF373" s="120"/>
      <c r="AG373" s="120">
        <v>120</v>
      </c>
      <c r="AI373" s="104">
        <v>427</v>
      </c>
      <c r="AJ373">
        <v>2195</v>
      </c>
    </row>
    <row r="374" spans="2:36" hidden="1" x14ac:dyDescent="0.25">
      <c r="B374" s="4" t="s">
        <v>38</v>
      </c>
      <c r="C374" s="4">
        <v>3</v>
      </c>
      <c r="D374" s="4" t="s">
        <v>26</v>
      </c>
      <c r="E374" s="13">
        <v>39770</v>
      </c>
      <c r="F374" s="104">
        <f t="shared" si="39"/>
        <v>1946</v>
      </c>
      <c r="G374" s="79">
        <v>40197</v>
      </c>
      <c r="H374" s="79">
        <v>41716</v>
      </c>
      <c r="I374" s="104">
        <f t="shared" si="38"/>
        <v>427</v>
      </c>
      <c r="J374" s="19">
        <f t="shared" si="44"/>
        <v>1519</v>
      </c>
      <c r="K374" t="s">
        <v>69</v>
      </c>
      <c r="L374" s="82">
        <v>6.37</v>
      </c>
      <c r="M374" s="19">
        <f t="shared" si="40"/>
        <v>1</v>
      </c>
      <c r="N374" s="19">
        <f t="shared" si="41"/>
        <v>1</v>
      </c>
      <c r="O374" s="19">
        <f t="shared" si="42"/>
        <v>1</v>
      </c>
      <c r="P374" s="19">
        <f t="shared" si="43"/>
        <v>1</v>
      </c>
      <c r="Q374" s="82">
        <v>0</v>
      </c>
      <c r="R374" s="82">
        <v>100</v>
      </c>
      <c r="S374" s="82">
        <v>100</v>
      </c>
      <c r="T374" s="134">
        <v>0</v>
      </c>
      <c r="U374" s="134">
        <v>0</v>
      </c>
      <c r="V374" s="4">
        <v>60</v>
      </c>
      <c r="W374" s="82">
        <v>0</v>
      </c>
      <c r="X374" s="82">
        <v>2</v>
      </c>
      <c r="Y374" s="82">
        <v>0.35</v>
      </c>
      <c r="Z374" s="82">
        <v>2.5</v>
      </c>
      <c r="AA374" s="82">
        <v>0.35</v>
      </c>
      <c r="AB374" s="82">
        <v>3.5</v>
      </c>
      <c r="AC374" s="82">
        <v>0.35</v>
      </c>
      <c r="AD374" s="82" t="s">
        <v>16</v>
      </c>
      <c r="AE374" s="82">
        <v>60</v>
      </c>
      <c r="AF374" s="120"/>
      <c r="AG374" s="120">
        <v>120</v>
      </c>
      <c r="AI374" s="104">
        <v>1820</v>
      </c>
      <c r="AJ374">
        <v>2197</v>
      </c>
    </row>
    <row r="375" spans="2:36" hidden="1" x14ac:dyDescent="0.25">
      <c r="B375" s="4" t="s">
        <v>38</v>
      </c>
      <c r="C375" s="4">
        <v>3</v>
      </c>
      <c r="D375" s="4" t="s">
        <v>26</v>
      </c>
      <c r="E375" s="13">
        <v>39770</v>
      </c>
      <c r="F375" s="104">
        <f t="shared" si="39"/>
        <v>1946</v>
      </c>
      <c r="G375" s="79">
        <v>41590</v>
      </c>
      <c r="H375" s="79">
        <v>41716</v>
      </c>
      <c r="I375" s="104">
        <f t="shared" si="38"/>
        <v>1820</v>
      </c>
      <c r="J375" s="19">
        <f t="shared" si="44"/>
        <v>126</v>
      </c>
      <c r="K375" t="s">
        <v>69</v>
      </c>
      <c r="L375" s="82">
        <v>5.09</v>
      </c>
      <c r="M375" s="19">
        <f t="shared" si="40"/>
        <v>0</v>
      </c>
      <c r="N375" s="19">
        <f t="shared" si="41"/>
        <v>0</v>
      </c>
      <c r="O375" s="19">
        <f t="shared" si="42"/>
        <v>0</v>
      </c>
      <c r="P375" s="19">
        <f t="shared" si="43"/>
        <v>1</v>
      </c>
      <c r="Q375" s="82">
        <v>1</v>
      </c>
      <c r="R375" s="82">
        <v>99</v>
      </c>
      <c r="S375" s="82">
        <v>99</v>
      </c>
      <c r="T375" s="134">
        <v>0</v>
      </c>
      <c r="U375" s="134">
        <v>0</v>
      </c>
      <c r="V375" s="4">
        <v>60</v>
      </c>
      <c r="W375" s="82">
        <v>0</v>
      </c>
      <c r="X375" s="82">
        <v>2</v>
      </c>
      <c r="Y375" s="82">
        <v>0.35</v>
      </c>
      <c r="Z375" s="82">
        <v>2.5</v>
      </c>
      <c r="AA375" s="82">
        <v>0.35</v>
      </c>
      <c r="AB375" s="82">
        <v>3.5</v>
      </c>
      <c r="AC375" s="82">
        <v>0.35</v>
      </c>
      <c r="AD375" s="82" t="s">
        <v>16</v>
      </c>
      <c r="AE375" s="82">
        <v>60</v>
      </c>
      <c r="AF375" s="120"/>
      <c r="AG375" s="120">
        <v>120</v>
      </c>
      <c r="AI375" s="104">
        <v>1946</v>
      </c>
      <c r="AJ375">
        <v>2197</v>
      </c>
    </row>
    <row r="376" spans="2:36" hidden="1" x14ac:dyDescent="0.25">
      <c r="B376" s="4" t="s">
        <v>38</v>
      </c>
      <c r="C376" s="4">
        <v>3</v>
      </c>
      <c r="D376" s="4" t="s">
        <v>26</v>
      </c>
      <c r="E376" s="13">
        <v>39770</v>
      </c>
      <c r="F376" s="104">
        <f t="shared" si="39"/>
        <v>1946</v>
      </c>
      <c r="G376" s="79">
        <v>41716</v>
      </c>
      <c r="H376" s="79">
        <v>41716</v>
      </c>
      <c r="I376" s="104">
        <f t="shared" si="38"/>
        <v>1946</v>
      </c>
      <c r="J376" s="19">
        <f t="shared" si="44"/>
        <v>0</v>
      </c>
      <c r="K376" t="s">
        <v>69</v>
      </c>
      <c r="L376" s="82">
        <v>5.01</v>
      </c>
      <c r="M376" s="19">
        <f t="shared" si="40"/>
        <v>0</v>
      </c>
      <c r="N376" s="19">
        <f t="shared" si="41"/>
        <v>0</v>
      </c>
      <c r="O376" s="19">
        <f t="shared" si="42"/>
        <v>0</v>
      </c>
      <c r="P376" s="19">
        <f t="shared" si="43"/>
        <v>0</v>
      </c>
      <c r="Q376" s="82">
        <v>2</v>
      </c>
      <c r="R376" s="82">
        <v>98</v>
      </c>
      <c r="S376" s="82">
        <v>98</v>
      </c>
      <c r="T376" s="134">
        <v>0</v>
      </c>
      <c r="U376" s="134">
        <v>0</v>
      </c>
      <c r="V376" s="4">
        <v>60</v>
      </c>
      <c r="W376" s="82">
        <v>0</v>
      </c>
      <c r="X376" s="82">
        <v>2</v>
      </c>
      <c r="Y376" s="82">
        <v>0.35</v>
      </c>
      <c r="Z376" s="82">
        <v>2</v>
      </c>
      <c r="AA376" s="82">
        <v>0.35</v>
      </c>
      <c r="AB376" s="82">
        <v>2.5</v>
      </c>
      <c r="AC376" s="82">
        <v>0.35</v>
      </c>
      <c r="AD376" s="82" t="s">
        <v>16</v>
      </c>
      <c r="AE376" s="82">
        <v>60</v>
      </c>
      <c r="AF376" s="120"/>
      <c r="AG376" s="120">
        <v>120</v>
      </c>
      <c r="AI376" s="104">
        <v>0</v>
      </c>
      <c r="AJ376">
        <v>2198</v>
      </c>
    </row>
    <row r="377" spans="2:36" x14ac:dyDescent="0.25">
      <c r="B377" s="4" t="s">
        <v>39</v>
      </c>
      <c r="C377" s="4">
        <v>3</v>
      </c>
      <c r="D377" s="4" t="s">
        <v>26</v>
      </c>
      <c r="E377" s="13">
        <v>39763</v>
      </c>
      <c r="F377" s="104">
        <f t="shared" si="39"/>
        <v>1813</v>
      </c>
      <c r="G377" s="81">
        <v>39763</v>
      </c>
      <c r="H377" s="79">
        <v>41576</v>
      </c>
      <c r="I377" s="104">
        <f t="shared" si="38"/>
        <v>0</v>
      </c>
      <c r="J377" s="19">
        <f t="shared" si="44"/>
        <v>1813</v>
      </c>
      <c r="K377" s="83" t="s">
        <v>65</v>
      </c>
      <c r="L377" s="83">
        <v>6.46</v>
      </c>
      <c r="M377" s="19">
        <f t="shared" si="40"/>
        <v>1</v>
      </c>
      <c r="N377" s="19">
        <f t="shared" si="41"/>
        <v>1</v>
      </c>
      <c r="O377" s="19">
        <f t="shared" si="42"/>
        <v>1</v>
      </c>
      <c r="P377" s="19">
        <f t="shared" si="43"/>
        <v>1</v>
      </c>
      <c r="Q377" s="83">
        <v>0</v>
      </c>
      <c r="R377" s="83">
        <v>100</v>
      </c>
      <c r="S377" s="83">
        <v>100</v>
      </c>
      <c r="T377" s="133">
        <v>0</v>
      </c>
      <c r="U377" s="133">
        <v>0</v>
      </c>
      <c r="V377" s="4">
        <v>60</v>
      </c>
      <c r="W377" s="83">
        <v>0</v>
      </c>
      <c r="X377" s="83">
        <v>3.5</v>
      </c>
      <c r="Y377" s="83">
        <v>0.35</v>
      </c>
      <c r="Z377" s="83">
        <v>3.5</v>
      </c>
      <c r="AA377" s="83">
        <v>0.35</v>
      </c>
      <c r="AB377" s="83">
        <v>3.5</v>
      </c>
      <c r="AC377" s="83">
        <v>0.35</v>
      </c>
      <c r="AD377" s="83" t="s">
        <v>16</v>
      </c>
      <c r="AE377" s="83">
        <v>60</v>
      </c>
      <c r="AF377" s="116"/>
      <c r="AG377" s="116">
        <v>120</v>
      </c>
      <c r="AI377" s="104">
        <v>219</v>
      </c>
      <c r="AJ377">
        <v>2198</v>
      </c>
    </row>
    <row r="378" spans="2:36" x14ac:dyDescent="0.25">
      <c r="B378" s="4" t="s">
        <v>39</v>
      </c>
      <c r="C378" s="4">
        <v>3</v>
      </c>
      <c r="D378" s="4" t="s">
        <v>26</v>
      </c>
      <c r="E378" s="13">
        <v>39763</v>
      </c>
      <c r="F378" s="104">
        <f t="shared" si="39"/>
        <v>1813</v>
      </c>
      <c r="G378" s="79">
        <v>39982</v>
      </c>
      <c r="H378" s="79">
        <v>41576</v>
      </c>
      <c r="I378" s="104">
        <f t="shared" si="38"/>
        <v>219</v>
      </c>
      <c r="J378" s="19">
        <f t="shared" si="44"/>
        <v>1594</v>
      </c>
      <c r="K378" s="83" t="s">
        <v>65</v>
      </c>
      <c r="L378" s="82">
        <v>6.44</v>
      </c>
      <c r="M378" s="19">
        <f t="shared" si="40"/>
        <v>1</v>
      </c>
      <c r="N378" s="19">
        <f t="shared" si="41"/>
        <v>1</v>
      </c>
      <c r="O378" s="19">
        <f t="shared" si="42"/>
        <v>1</v>
      </c>
      <c r="P378" s="19">
        <f t="shared" si="43"/>
        <v>1</v>
      </c>
      <c r="Q378" s="82">
        <v>27</v>
      </c>
      <c r="R378" s="82">
        <v>94</v>
      </c>
      <c r="S378" s="82">
        <v>94</v>
      </c>
      <c r="T378" s="134">
        <v>0</v>
      </c>
      <c r="U378" s="134">
        <v>0</v>
      </c>
      <c r="V378" s="4">
        <v>60</v>
      </c>
      <c r="W378" s="82">
        <v>0</v>
      </c>
      <c r="X378" s="82">
        <v>3.5</v>
      </c>
      <c r="Y378" s="82">
        <v>0.35</v>
      </c>
      <c r="Z378" s="82">
        <v>3.5</v>
      </c>
      <c r="AA378" s="82">
        <v>0.35</v>
      </c>
      <c r="AB378" s="82">
        <v>3.5</v>
      </c>
      <c r="AC378" s="82">
        <v>0.35</v>
      </c>
      <c r="AD378" s="82" t="s">
        <v>16</v>
      </c>
      <c r="AE378" s="82">
        <v>60</v>
      </c>
      <c r="AF378" s="120"/>
      <c r="AG378" s="120">
        <v>120</v>
      </c>
      <c r="AI378" s="104">
        <v>427</v>
      </c>
      <c r="AJ378">
        <v>2205</v>
      </c>
    </row>
    <row r="379" spans="2:36" x14ac:dyDescent="0.25">
      <c r="B379" s="4" t="s">
        <v>39</v>
      </c>
      <c r="C379" s="4">
        <v>3</v>
      </c>
      <c r="D379" s="4" t="s">
        <v>26</v>
      </c>
      <c r="E379" s="13">
        <v>39763</v>
      </c>
      <c r="F379" s="104">
        <f t="shared" si="39"/>
        <v>1813</v>
      </c>
      <c r="G379" s="79">
        <v>40190</v>
      </c>
      <c r="H379" s="79">
        <v>41576</v>
      </c>
      <c r="I379" s="104">
        <f t="shared" si="38"/>
        <v>427</v>
      </c>
      <c r="J379" s="19">
        <f t="shared" si="44"/>
        <v>1386</v>
      </c>
      <c r="K379" s="83" t="s">
        <v>65</v>
      </c>
      <c r="L379" s="82">
        <v>6.37</v>
      </c>
      <c r="M379" s="19">
        <f t="shared" si="40"/>
        <v>1</v>
      </c>
      <c r="N379" s="19">
        <f t="shared" si="41"/>
        <v>1</v>
      </c>
      <c r="O379" s="19">
        <f t="shared" si="42"/>
        <v>1</v>
      </c>
      <c r="P379" s="19">
        <f t="shared" si="43"/>
        <v>1</v>
      </c>
      <c r="Q379" s="82">
        <v>18</v>
      </c>
      <c r="R379" s="82">
        <v>95</v>
      </c>
      <c r="S379" s="82">
        <v>95</v>
      </c>
      <c r="T379" s="134">
        <v>0</v>
      </c>
      <c r="U379" s="134">
        <v>0</v>
      </c>
      <c r="V379" s="4">
        <v>60</v>
      </c>
      <c r="W379" s="82">
        <v>0</v>
      </c>
      <c r="X379" s="82">
        <v>3.5</v>
      </c>
      <c r="Y379" s="82">
        <v>0.35</v>
      </c>
      <c r="Z379" s="82">
        <v>3.5</v>
      </c>
      <c r="AA379" s="82">
        <v>0.35</v>
      </c>
      <c r="AB379" s="82">
        <v>3.5</v>
      </c>
      <c r="AC379" s="82">
        <v>0.35</v>
      </c>
      <c r="AD379" s="82" t="s">
        <v>16</v>
      </c>
      <c r="AE379" s="82">
        <v>60</v>
      </c>
      <c r="AF379" s="120"/>
      <c r="AG379" s="120">
        <v>120</v>
      </c>
      <c r="AI379" s="104">
        <v>581</v>
      </c>
      <c r="AJ379">
        <v>2205</v>
      </c>
    </row>
    <row r="380" spans="2:36" x14ac:dyDescent="0.25">
      <c r="B380" s="4" t="s">
        <v>39</v>
      </c>
      <c r="C380" s="4">
        <v>3</v>
      </c>
      <c r="D380" s="4" t="s">
        <v>26</v>
      </c>
      <c r="E380" s="13">
        <v>39763</v>
      </c>
      <c r="F380" s="104">
        <f t="shared" si="39"/>
        <v>1813</v>
      </c>
      <c r="G380" s="79">
        <v>40344</v>
      </c>
      <c r="H380" s="79">
        <v>41576</v>
      </c>
      <c r="I380" s="104">
        <f t="shared" si="38"/>
        <v>581</v>
      </c>
      <c r="J380" s="19">
        <f t="shared" si="44"/>
        <v>1232</v>
      </c>
      <c r="K380" s="83" t="s">
        <v>65</v>
      </c>
      <c r="L380" s="82">
        <v>6.24</v>
      </c>
      <c r="M380" s="19">
        <f t="shared" si="40"/>
        <v>1</v>
      </c>
      <c r="N380" s="19">
        <f t="shared" si="41"/>
        <v>1</v>
      </c>
      <c r="O380" s="19">
        <f t="shared" si="42"/>
        <v>1</v>
      </c>
      <c r="P380" s="19">
        <f t="shared" si="43"/>
        <v>1</v>
      </c>
      <c r="Q380" s="82">
        <v>13</v>
      </c>
      <c r="R380" s="82">
        <v>89</v>
      </c>
      <c r="S380" s="82">
        <v>89</v>
      </c>
      <c r="T380" s="134">
        <v>0</v>
      </c>
      <c r="U380" s="134">
        <v>0</v>
      </c>
      <c r="V380" s="4">
        <v>60</v>
      </c>
      <c r="W380" s="82">
        <v>0</v>
      </c>
      <c r="X380" s="82">
        <v>3.5</v>
      </c>
      <c r="Y380" s="82">
        <v>0.35</v>
      </c>
      <c r="Z380" s="82">
        <v>2.5</v>
      </c>
      <c r="AA380" s="82">
        <v>0.35</v>
      </c>
      <c r="AB380" s="82">
        <v>4.5</v>
      </c>
      <c r="AC380" s="82">
        <v>1</v>
      </c>
      <c r="AD380" s="82" t="s">
        <v>16</v>
      </c>
      <c r="AE380" s="82">
        <v>60</v>
      </c>
      <c r="AF380" s="120"/>
      <c r="AG380" s="120">
        <v>120</v>
      </c>
      <c r="AI380" s="104">
        <v>1057</v>
      </c>
      <c r="AJ380">
        <v>2211</v>
      </c>
    </row>
    <row r="381" spans="2:36" x14ac:dyDescent="0.25">
      <c r="B381" s="4" t="s">
        <v>39</v>
      </c>
      <c r="C381" s="4">
        <v>3</v>
      </c>
      <c r="D381" s="4" t="s">
        <v>26</v>
      </c>
      <c r="E381" s="13">
        <v>39763</v>
      </c>
      <c r="F381" s="104">
        <f t="shared" si="39"/>
        <v>1813</v>
      </c>
      <c r="G381" s="79">
        <v>40820</v>
      </c>
      <c r="H381" s="79">
        <v>41576</v>
      </c>
      <c r="I381" s="104">
        <f t="shared" si="38"/>
        <v>1057</v>
      </c>
      <c r="J381" s="19">
        <f t="shared" si="44"/>
        <v>756</v>
      </c>
      <c r="K381" s="83" t="s">
        <v>65</v>
      </c>
      <c r="L381" s="82">
        <v>5.23</v>
      </c>
      <c r="M381" s="19">
        <f t="shared" si="40"/>
        <v>1</v>
      </c>
      <c r="N381" s="19">
        <f t="shared" si="41"/>
        <v>1</v>
      </c>
      <c r="O381" s="19">
        <f t="shared" si="42"/>
        <v>1</v>
      </c>
      <c r="P381" s="19">
        <f t="shared" si="43"/>
        <v>1</v>
      </c>
      <c r="Q381" s="82">
        <v>39</v>
      </c>
      <c r="R381" s="82">
        <v>92</v>
      </c>
      <c r="S381" s="82">
        <v>92</v>
      </c>
      <c r="T381" s="134">
        <v>0</v>
      </c>
      <c r="U381" s="134">
        <v>0</v>
      </c>
      <c r="V381" s="4">
        <v>60</v>
      </c>
      <c r="W381" s="82">
        <v>0</v>
      </c>
      <c r="X381" s="82">
        <v>3.5</v>
      </c>
      <c r="Y381" s="82">
        <v>0.35</v>
      </c>
      <c r="Z381" s="82">
        <v>3</v>
      </c>
      <c r="AA381" s="82">
        <v>0.35</v>
      </c>
      <c r="AB381" s="82">
        <v>4.5</v>
      </c>
      <c r="AC381" s="82">
        <v>1</v>
      </c>
      <c r="AD381" s="82" t="s">
        <v>16</v>
      </c>
      <c r="AE381" s="82">
        <v>60</v>
      </c>
      <c r="AF381" s="120"/>
      <c r="AG381" s="120">
        <v>120</v>
      </c>
      <c r="AI381" s="104">
        <v>1246</v>
      </c>
      <c r="AJ381">
        <v>2212</v>
      </c>
    </row>
    <row r="382" spans="2:36" x14ac:dyDescent="0.25">
      <c r="B382" s="4" t="s">
        <v>39</v>
      </c>
      <c r="C382" s="4">
        <v>3</v>
      </c>
      <c r="D382" s="4" t="s">
        <v>26</v>
      </c>
      <c r="E382" s="13">
        <v>39763</v>
      </c>
      <c r="F382" s="104">
        <f t="shared" si="39"/>
        <v>1813</v>
      </c>
      <c r="G382" s="79">
        <v>41009</v>
      </c>
      <c r="H382" s="79">
        <v>41576</v>
      </c>
      <c r="I382" s="104">
        <f t="shared" si="38"/>
        <v>1246</v>
      </c>
      <c r="J382" s="19">
        <f t="shared" si="44"/>
        <v>567</v>
      </c>
      <c r="K382" s="83" t="s">
        <v>65</v>
      </c>
      <c r="L382" s="82">
        <v>5.14</v>
      </c>
      <c r="M382" s="19">
        <f t="shared" si="40"/>
        <v>1</v>
      </c>
      <c r="N382" s="19">
        <f t="shared" si="41"/>
        <v>1</v>
      </c>
      <c r="O382" s="19">
        <f t="shared" si="42"/>
        <v>1</v>
      </c>
      <c r="P382" s="19">
        <f t="shared" si="43"/>
        <v>1</v>
      </c>
      <c r="Q382" s="82">
        <v>31</v>
      </c>
      <c r="R382" s="82">
        <v>91</v>
      </c>
      <c r="S382" s="82">
        <v>91</v>
      </c>
      <c r="T382" s="134">
        <v>0</v>
      </c>
      <c r="U382" s="134">
        <v>0</v>
      </c>
      <c r="V382" s="4">
        <v>60</v>
      </c>
      <c r="W382" s="82">
        <v>0</v>
      </c>
      <c r="X382" s="82">
        <v>3.5</v>
      </c>
      <c r="Y382" s="82">
        <v>0.35</v>
      </c>
      <c r="Z382" s="82">
        <v>3</v>
      </c>
      <c r="AA382" s="82">
        <v>0.35</v>
      </c>
      <c r="AB382" s="82">
        <v>4.5</v>
      </c>
      <c r="AC382" s="82">
        <v>1</v>
      </c>
      <c r="AD382" s="82" t="s">
        <v>16</v>
      </c>
      <c r="AE382" s="82">
        <v>60</v>
      </c>
      <c r="AF382" s="120"/>
      <c r="AG382" s="120">
        <v>120</v>
      </c>
      <c r="AI382" s="104">
        <v>1351</v>
      </c>
      <c r="AJ382">
        <v>2213</v>
      </c>
    </row>
    <row r="383" spans="2:36" x14ac:dyDescent="0.25">
      <c r="B383" s="4" t="s">
        <v>39</v>
      </c>
      <c r="C383" s="4">
        <v>3</v>
      </c>
      <c r="D383" s="4" t="s">
        <v>26</v>
      </c>
      <c r="E383" s="13">
        <v>39763</v>
      </c>
      <c r="F383" s="104">
        <f t="shared" si="39"/>
        <v>1813</v>
      </c>
      <c r="G383" s="79">
        <v>41114</v>
      </c>
      <c r="H383" s="79">
        <v>41576</v>
      </c>
      <c r="I383" s="104">
        <f t="shared" si="38"/>
        <v>1351</v>
      </c>
      <c r="J383" s="19">
        <f t="shared" si="44"/>
        <v>462</v>
      </c>
      <c r="K383" s="83" t="s">
        <v>65</v>
      </c>
      <c r="L383" s="82">
        <v>5.13</v>
      </c>
      <c r="M383" s="19">
        <f t="shared" si="40"/>
        <v>0</v>
      </c>
      <c r="N383" s="19">
        <f t="shared" si="41"/>
        <v>1</v>
      </c>
      <c r="O383" s="19">
        <f t="shared" si="42"/>
        <v>1</v>
      </c>
      <c r="P383" s="19">
        <f t="shared" si="43"/>
        <v>1</v>
      </c>
      <c r="Q383" s="82">
        <v>27</v>
      </c>
      <c r="R383" s="82">
        <v>93</v>
      </c>
      <c r="S383" s="82">
        <v>93</v>
      </c>
      <c r="T383" s="134">
        <v>0</v>
      </c>
      <c r="U383" s="134">
        <v>0</v>
      </c>
      <c r="V383" s="4">
        <v>60</v>
      </c>
      <c r="W383" s="82">
        <v>0</v>
      </c>
      <c r="X383" s="82">
        <v>3.5</v>
      </c>
      <c r="Y383" s="82">
        <v>0.35</v>
      </c>
      <c r="Z383" s="82">
        <v>3</v>
      </c>
      <c r="AA383" s="82">
        <v>0.35</v>
      </c>
      <c r="AB383" s="82">
        <v>4.5</v>
      </c>
      <c r="AC383" s="82">
        <v>1</v>
      </c>
      <c r="AD383" s="82" t="s">
        <v>16</v>
      </c>
      <c r="AE383" s="82">
        <v>60</v>
      </c>
      <c r="AF383" s="120"/>
      <c r="AG383" s="120">
        <v>120</v>
      </c>
      <c r="AI383" s="104">
        <v>1456</v>
      </c>
      <c r="AJ383">
        <v>2213</v>
      </c>
    </row>
    <row r="384" spans="2:36" x14ac:dyDescent="0.25">
      <c r="B384" s="4" t="s">
        <v>39</v>
      </c>
      <c r="C384" s="4">
        <v>3</v>
      </c>
      <c r="D384" s="4" t="s">
        <v>26</v>
      </c>
      <c r="E384" s="13">
        <v>39763</v>
      </c>
      <c r="F384" s="104">
        <f t="shared" si="39"/>
        <v>1813</v>
      </c>
      <c r="G384" s="79">
        <v>41219</v>
      </c>
      <c r="H384" s="79">
        <v>41576</v>
      </c>
      <c r="I384" s="104">
        <f t="shared" si="38"/>
        <v>1456</v>
      </c>
      <c r="J384" s="19">
        <f t="shared" si="44"/>
        <v>357</v>
      </c>
      <c r="K384" s="83" t="s">
        <v>65</v>
      </c>
      <c r="L384" s="82">
        <v>5.1100000000000003</v>
      </c>
      <c r="M384" s="19">
        <f t="shared" si="40"/>
        <v>0</v>
      </c>
      <c r="N384" s="19">
        <f t="shared" si="41"/>
        <v>0</v>
      </c>
      <c r="O384" s="19">
        <f t="shared" si="42"/>
        <v>1</v>
      </c>
      <c r="P384" s="19">
        <f t="shared" si="43"/>
        <v>1</v>
      </c>
      <c r="Q384" s="82">
        <v>29</v>
      </c>
      <c r="R384" s="82">
        <v>92</v>
      </c>
      <c r="S384" s="82">
        <v>92</v>
      </c>
      <c r="T384" s="134">
        <v>0</v>
      </c>
      <c r="U384" s="134">
        <v>0</v>
      </c>
      <c r="V384" s="4">
        <v>60</v>
      </c>
      <c r="W384" s="82">
        <v>0</v>
      </c>
      <c r="X384" s="82">
        <v>3.5</v>
      </c>
      <c r="Y384" s="82">
        <v>0.35</v>
      </c>
      <c r="Z384" s="82">
        <v>3</v>
      </c>
      <c r="AA384" s="82">
        <v>0.35</v>
      </c>
      <c r="AB384" s="82">
        <v>4.5</v>
      </c>
      <c r="AC384" s="82">
        <v>1</v>
      </c>
      <c r="AD384" s="82" t="s">
        <v>16</v>
      </c>
      <c r="AE384" s="82">
        <v>60</v>
      </c>
      <c r="AF384" s="120"/>
      <c r="AG384" s="120">
        <v>120</v>
      </c>
      <c r="AI384" s="104">
        <v>1638</v>
      </c>
      <c r="AJ384">
        <v>2216</v>
      </c>
    </row>
    <row r="385" spans="2:36" x14ac:dyDescent="0.25">
      <c r="B385" s="4" t="s">
        <v>39</v>
      </c>
      <c r="C385" s="4">
        <v>3</v>
      </c>
      <c r="D385" s="4" t="s">
        <v>26</v>
      </c>
      <c r="E385" s="13">
        <v>39763</v>
      </c>
      <c r="F385" s="104">
        <f t="shared" si="39"/>
        <v>1813</v>
      </c>
      <c r="G385" s="79">
        <v>41401</v>
      </c>
      <c r="H385" s="79">
        <v>41576</v>
      </c>
      <c r="I385" s="104">
        <f t="shared" ref="I385:I448" si="45">G385-E385</f>
        <v>1638</v>
      </c>
      <c r="J385" s="19">
        <f t="shared" si="44"/>
        <v>175</v>
      </c>
      <c r="K385" s="83" t="s">
        <v>65</v>
      </c>
      <c r="L385" s="82">
        <v>5.0599999999999996</v>
      </c>
      <c r="M385" s="19">
        <f t="shared" si="40"/>
        <v>0</v>
      </c>
      <c r="N385" s="19">
        <f t="shared" si="41"/>
        <v>0</v>
      </c>
      <c r="O385" s="19">
        <f t="shared" si="42"/>
        <v>0</v>
      </c>
      <c r="P385" s="19">
        <f t="shared" si="43"/>
        <v>1</v>
      </c>
      <c r="Q385" s="82">
        <v>0</v>
      </c>
      <c r="R385" s="82">
        <v>58</v>
      </c>
      <c r="S385" s="82">
        <v>58</v>
      </c>
      <c r="T385" s="134">
        <v>0</v>
      </c>
      <c r="U385" s="134">
        <v>0</v>
      </c>
      <c r="V385" s="4">
        <v>60</v>
      </c>
      <c r="W385" s="82">
        <v>0</v>
      </c>
      <c r="X385" s="82">
        <v>3.5</v>
      </c>
      <c r="Y385" s="82">
        <v>0.35</v>
      </c>
      <c r="Z385" s="82">
        <v>3</v>
      </c>
      <c r="AA385" s="82">
        <v>0.35</v>
      </c>
      <c r="AB385" s="82">
        <v>4.5</v>
      </c>
      <c r="AC385" s="82">
        <v>1</v>
      </c>
      <c r="AD385" s="82" t="s">
        <v>16</v>
      </c>
      <c r="AE385" s="82">
        <v>60</v>
      </c>
      <c r="AF385" s="120"/>
      <c r="AG385" s="120">
        <v>120</v>
      </c>
      <c r="AI385" s="104">
        <v>1736</v>
      </c>
      <c r="AJ385">
        <v>2219</v>
      </c>
    </row>
    <row r="386" spans="2:36" x14ac:dyDescent="0.25">
      <c r="B386" s="4" t="s">
        <v>39</v>
      </c>
      <c r="C386" s="4">
        <v>3</v>
      </c>
      <c r="D386" s="4" t="s">
        <v>26</v>
      </c>
      <c r="E386" s="13">
        <v>39763</v>
      </c>
      <c r="F386" s="104">
        <f t="shared" si="39"/>
        <v>1813</v>
      </c>
      <c r="G386" s="79">
        <v>41499</v>
      </c>
      <c r="H386" s="79">
        <v>41576</v>
      </c>
      <c r="I386" s="104">
        <f t="shared" si="45"/>
        <v>1736</v>
      </c>
      <c r="J386" s="19">
        <f t="shared" si="44"/>
        <v>77</v>
      </c>
      <c r="K386" s="83" t="s">
        <v>65</v>
      </c>
      <c r="L386" s="82">
        <v>4.8899999999999997</v>
      </c>
      <c r="M386" s="19">
        <f t="shared" si="40"/>
        <v>0</v>
      </c>
      <c r="N386" s="19">
        <f t="shared" si="41"/>
        <v>0</v>
      </c>
      <c r="O386" s="19">
        <f t="shared" si="42"/>
        <v>0</v>
      </c>
      <c r="P386" s="19">
        <f t="shared" si="43"/>
        <v>0</v>
      </c>
      <c r="Q386" s="82">
        <v>0</v>
      </c>
      <c r="R386" s="82">
        <v>70</v>
      </c>
      <c r="S386" s="82">
        <v>70</v>
      </c>
      <c r="T386" s="134">
        <v>0</v>
      </c>
      <c r="U386" s="134">
        <v>0</v>
      </c>
      <c r="V386" s="82">
        <v>70</v>
      </c>
      <c r="W386" s="82">
        <v>0</v>
      </c>
      <c r="X386" s="82">
        <v>0</v>
      </c>
      <c r="Y386" s="82">
        <v>0</v>
      </c>
      <c r="Z386" s="82">
        <v>2</v>
      </c>
      <c r="AA386" s="82">
        <v>0.35</v>
      </c>
      <c r="AB386" s="82">
        <v>4.5</v>
      </c>
      <c r="AC386" s="82">
        <v>1</v>
      </c>
      <c r="AD386" s="82" t="s">
        <v>35</v>
      </c>
      <c r="AE386" s="82">
        <v>70</v>
      </c>
      <c r="AF386" s="120"/>
      <c r="AG386" s="120">
        <v>110</v>
      </c>
      <c r="AI386" s="104">
        <v>1813</v>
      </c>
      <c r="AJ386">
        <v>2232</v>
      </c>
    </row>
    <row r="387" spans="2:36" x14ac:dyDescent="0.25">
      <c r="B387" s="4" t="s">
        <v>39</v>
      </c>
      <c r="C387" s="4">
        <v>3</v>
      </c>
      <c r="D387" s="4" t="s">
        <v>26</v>
      </c>
      <c r="E387" s="13">
        <v>39763</v>
      </c>
      <c r="F387" s="104">
        <f t="shared" ref="F387:F450" si="46">H387-E387</f>
        <v>1813</v>
      </c>
      <c r="G387" s="79">
        <v>41576</v>
      </c>
      <c r="H387" s="79">
        <v>41576</v>
      </c>
      <c r="I387" s="104">
        <f t="shared" si="45"/>
        <v>1813</v>
      </c>
      <c r="J387" s="19">
        <f t="shared" si="44"/>
        <v>0</v>
      </c>
      <c r="K387" s="83" t="s">
        <v>65</v>
      </c>
      <c r="L387" s="82">
        <v>4.6399999999999997</v>
      </c>
      <c r="M387" s="19">
        <f t="shared" ref="M387:M450" si="47">IF($J387&gt;540,1,0)</f>
        <v>0</v>
      </c>
      <c r="N387" s="19">
        <f t="shared" ref="N387:N450" si="48">IF($J387&gt;360,1,0)</f>
        <v>0</v>
      </c>
      <c r="O387" s="19">
        <f t="shared" ref="O387:O450" si="49">IF($J387&gt;180,1,0)</f>
        <v>0</v>
      </c>
      <c r="P387" s="19">
        <f t="shared" ref="P387:P450" si="50">IF($J387&gt;90,1,0)</f>
        <v>0</v>
      </c>
      <c r="Q387" s="82">
        <v>0</v>
      </c>
      <c r="R387" s="82">
        <v>91</v>
      </c>
      <c r="S387" s="82">
        <v>91</v>
      </c>
      <c r="T387" s="134">
        <v>0</v>
      </c>
      <c r="U387" s="134">
        <v>0</v>
      </c>
      <c r="V387" s="82">
        <v>70</v>
      </c>
      <c r="W387" s="82">
        <v>0</v>
      </c>
      <c r="X387" s="82">
        <v>0</v>
      </c>
      <c r="Y387" s="82">
        <v>0</v>
      </c>
      <c r="Z387" s="82">
        <v>2</v>
      </c>
      <c r="AA387" s="82">
        <v>0.35</v>
      </c>
      <c r="AB387" s="82">
        <v>4.5</v>
      </c>
      <c r="AC387" s="82">
        <v>1</v>
      </c>
      <c r="AD387" s="82" t="s">
        <v>35</v>
      </c>
      <c r="AE387" s="82">
        <v>70</v>
      </c>
      <c r="AF387" s="120"/>
      <c r="AG387" s="120">
        <v>110</v>
      </c>
      <c r="AI387" s="104">
        <v>257</v>
      </c>
      <c r="AJ387">
        <v>2233</v>
      </c>
    </row>
    <row r="388" spans="2:36" hidden="1" x14ac:dyDescent="0.25">
      <c r="B388" s="24" t="s">
        <v>239</v>
      </c>
      <c r="C388" s="24">
        <v>2</v>
      </c>
      <c r="E388" s="27">
        <v>39835</v>
      </c>
      <c r="F388" s="104">
        <f t="shared" si="46"/>
        <v>2049</v>
      </c>
      <c r="G388" s="25">
        <v>40092</v>
      </c>
      <c r="H388" s="89">
        <v>41884</v>
      </c>
      <c r="I388" s="104">
        <f t="shared" si="45"/>
        <v>257</v>
      </c>
      <c r="J388" s="19">
        <f t="shared" si="44"/>
        <v>1792</v>
      </c>
      <c r="K388" t="s">
        <v>69</v>
      </c>
      <c r="L388" s="24">
        <v>6.47</v>
      </c>
      <c r="M388" s="19">
        <f t="shared" si="47"/>
        <v>1</v>
      </c>
      <c r="N388" s="19">
        <f t="shared" si="48"/>
        <v>1</v>
      </c>
      <c r="O388" s="19">
        <f t="shared" si="49"/>
        <v>1</v>
      </c>
      <c r="P388" s="19">
        <f t="shared" si="50"/>
        <v>1</v>
      </c>
      <c r="Q388" s="24">
        <v>7</v>
      </c>
      <c r="R388" s="24">
        <v>0</v>
      </c>
      <c r="S388" s="24">
        <v>0</v>
      </c>
      <c r="T388" s="127">
        <v>2</v>
      </c>
      <c r="U388" s="127">
        <v>11</v>
      </c>
      <c r="V388" s="24">
        <v>50</v>
      </c>
      <c r="W388" s="24">
        <v>0</v>
      </c>
      <c r="X388" s="24">
        <v>3.5</v>
      </c>
      <c r="Y388" s="24">
        <v>0.35</v>
      </c>
      <c r="Z388" s="24">
        <v>3.5</v>
      </c>
      <c r="AA388" s="24">
        <v>0.35</v>
      </c>
      <c r="AB388" s="24">
        <v>0</v>
      </c>
      <c r="AC388" s="24">
        <v>0</v>
      </c>
      <c r="AD388" s="24">
        <v>0</v>
      </c>
      <c r="AE388" s="24" t="s">
        <v>67</v>
      </c>
      <c r="AF388" s="138" t="s">
        <v>243</v>
      </c>
      <c r="AG388" s="114" t="s">
        <v>43</v>
      </c>
      <c r="AI388" s="104">
        <v>407</v>
      </c>
      <c r="AJ388">
        <v>2247</v>
      </c>
    </row>
    <row r="389" spans="2:36" hidden="1" x14ac:dyDescent="0.25">
      <c r="B389" s="24" t="s">
        <v>239</v>
      </c>
      <c r="C389" s="24">
        <v>2</v>
      </c>
      <c r="E389" s="27">
        <v>39835</v>
      </c>
      <c r="F389" s="104">
        <f t="shared" si="46"/>
        <v>2049</v>
      </c>
      <c r="G389" s="25">
        <v>40242</v>
      </c>
      <c r="H389" s="25">
        <v>41884</v>
      </c>
      <c r="I389" s="104">
        <f t="shared" si="45"/>
        <v>407</v>
      </c>
      <c r="J389" s="19">
        <f t="shared" si="44"/>
        <v>1642</v>
      </c>
      <c r="K389" t="s">
        <v>69</v>
      </c>
      <c r="L389" s="4">
        <v>6.46</v>
      </c>
      <c r="M389" s="19">
        <f t="shared" si="47"/>
        <v>1</v>
      </c>
      <c r="N389" s="19">
        <f t="shared" si="48"/>
        <v>1</v>
      </c>
      <c r="O389" s="19">
        <f t="shared" si="49"/>
        <v>1</v>
      </c>
      <c r="P389" s="19">
        <f t="shared" si="50"/>
        <v>1</v>
      </c>
      <c r="Q389" s="4">
        <v>6</v>
      </c>
      <c r="R389" s="4">
        <v>0</v>
      </c>
      <c r="S389" s="98">
        <v>0</v>
      </c>
      <c r="T389" s="125">
        <v>11</v>
      </c>
      <c r="U389" s="125">
        <v>56</v>
      </c>
      <c r="V389" s="24">
        <v>50</v>
      </c>
      <c r="W389" s="24">
        <v>0</v>
      </c>
      <c r="X389" s="24">
        <v>3.5</v>
      </c>
      <c r="Y389" s="24">
        <v>0.35</v>
      </c>
      <c r="Z389" s="24">
        <v>3.5</v>
      </c>
      <c r="AA389" s="24">
        <v>0.35</v>
      </c>
      <c r="AB389" s="24">
        <v>0</v>
      </c>
      <c r="AC389" s="24">
        <v>0</v>
      </c>
      <c r="AD389" s="24">
        <v>0</v>
      </c>
      <c r="AE389" s="24" t="s">
        <v>67</v>
      </c>
      <c r="AF389" s="139" t="s">
        <v>244</v>
      </c>
      <c r="AG389" s="114" t="s">
        <v>43</v>
      </c>
      <c r="AI389" s="104">
        <v>411</v>
      </c>
      <c r="AJ389">
        <v>2254</v>
      </c>
    </row>
    <row r="390" spans="2:36" hidden="1" x14ac:dyDescent="0.25">
      <c r="B390" s="24" t="s">
        <v>239</v>
      </c>
      <c r="C390" s="24">
        <v>2</v>
      </c>
      <c r="E390" s="27">
        <v>39835</v>
      </c>
      <c r="F390" s="104">
        <f t="shared" si="46"/>
        <v>2049</v>
      </c>
      <c r="G390" s="25">
        <v>40246</v>
      </c>
      <c r="H390" s="25">
        <v>41884</v>
      </c>
      <c r="I390" s="104">
        <f t="shared" si="45"/>
        <v>411</v>
      </c>
      <c r="J390" s="19">
        <f t="shared" si="44"/>
        <v>1638</v>
      </c>
      <c r="K390" t="s">
        <v>69</v>
      </c>
      <c r="L390" s="4">
        <v>6.37</v>
      </c>
      <c r="M390" s="19">
        <f t="shared" si="47"/>
        <v>1</v>
      </c>
      <c r="N390" s="19">
        <f t="shared" si="48"/>
        <v>1</v>
      </c>
      <c r="O390" s="19">
        <f t="shared" si="49"/>
        <v>1</v>
      </c>
      <c r="P390" s="19">
        <f t="shared" si="50"/>
        <v>1</v>
      </c>
      <c r="Q390" s="4">
        <v>0</v>
      </c>
      <c r="R390" s="4">
        <v>0</v>
      </c>
      <c r="S390" s="98">
        <v>0</v>
      </c>
      <c r="T390" s="125">
        <v>0</v>
      </c>
      <c r="U390" s="125">
        <v>1</v>
      </c>
      <c r="V390" s="24">
        <v>50</v>
      </c>
      <c r="W390" s="24">
        <v>0</v>
      </c>
      <c r="X390" s="24">
        <v>3.5</v>
      </c>
      <c r="Y390" s="24">
        <v>0.35</v>
      </c>
      <c r="Z390" s="24">
        <v>3.5</v>
      </c>
      <c r="AA390" s="24">
        <v>0.35</v>
      </c>
      <c r="AB390" s="24">
        <v>0</v>
      </c>
      <c r="AC390" s="98">
        <v>0</v>
      </c>
      <c r="AD390" s="24">
        <v>0</v>
      </c>
      <c r="AE390" s="24" t="s">
        <v>67</v>
      </c>
      <c r="AF390" s="118" t="s">
        <v>46</v>
      </c>
      <c r="AG390" s="114" t="s">
        <v>43</v>
      </c>
      <c r="AI390" s="104">
        <v>439</v>
      </c>
      <c r="AJ390">
        <v>2261</v>
      </c>
    </row>
    <row r="391" spans="2:36" hidden="1" x14ac:dyDescent="0.25">
      <c r="B391" s="24" t="s">
        <v>239</v>
      </c>
      <c r="C391" s="24">
        <v>2</v>
      </c>
      <c r="E391" s="27">
        <v>39835</v>
      </c>
      <c r="F391" s="104">
        <f t="shared" si="46"/>
        <v>2049</v>
      </c>
      <c r="G391" s="25">
        <v>40274</v>
      </c>
      <c r="H391" s="25">
        <v>41884</v>
      </c>
      <c r="I391" s="104">
        <f t="shared" si="45"/>
        <v>439</v>
      </c>
      <c r="J391" s="19">
        <f t="shared" ref="J391:J454" si="51">H391-G391</f>
        <v>1610</v>
      </c>
      <c r="K391" t="s">
        <v>69</v>
      </c>
      <c r="L391" s="4">
        <v>6.43</v>
      </c>
      <c r="M391" s="19">
        <f t="shared" si="47"/>
        <v>1</v>
      </c>
      <c r="N391" s="19">
        <f t="shared" si="48"/>
        <v>1</v>
      </c>
      <c r="O391" s="19">
        <f t="shared" si="49"/>
        <v>1</v>
      </c>
      <c r="P391" s="19">
        <f t="shared" si="50"/>
        <v>1</v>
      </c>
      <c r="Q391" s="4">
        <v>2</v>
      </c>
      <c r="R391" s="4">
        <v>0</v>
      </c>
      <c r="S391" s="98">
        <v>0</v>
      </c>
      <c r="T391" s="125">
        <v>0</v>
      </c>
      <c r="U391" s="125">
        <v>11</v>
      </c>
      <c r="V391" s="24">
        <v>50</v>
      </c>
      <c r="W391" s="24">
        <v>0</v>
      </c>
      <c r="X391" s="24">
        <v>3.5</v>
      </c>
      <c r="Y391" s="24">
        <v>0.35</v>
      </c>
      <c r="Z391" s="24">
        <v>3.5</v>
      </c>
      <c r="AA391" s="24">
        <v>0.35</v>
      </c>
      <c r="AB391" s="24">
        <v>0</v>
      </c>
      <c r="AC391" s="98">
        <v>0</v>
      </c>
      <c r="AD391" s="24">
        <v>0</v>
      </c>
      <c r="AE391" s="24" t="s">
        <v>67</v>
      </c>
      <c r="AF391" s="118" t="s">
        <v>193</v>
      </c>
      <c r="AG391" s="114" t="s">
        <v>43</v>
      </c>
      <c r="AI391" s="104">
        <v>516</v>
      </c>
      <c r="AJ391">
        <v>2266</v>
      </c>
    </row>
    <row r="392" spans="2:36" hidden="1" x14ac:dyDescent="0.25">
      <c r="B392" s="24" t="s">
        <v>239</v>
      </c>
      <c r="C392" s="24">
        <v>2</v>
      </c>
      <c r="E392" s="27">
        <v>39835</v>
      </c>
      <c r="F392" s="104">
        <f t="shared" si="46"/>
        <v>2049</v>
      </c>
      <c r="G392" s="25">
        <v>40351</v>
      </c>
      <c r="H392" s="25">
        <v>41884</v>
      </c>
      <c r="I392" s="104">
        <f t="shared" si="45"/>
        <v>516</v>
      </c>
      <c r="J392" s="19">
        <f t="shared" si="51"/>
        <v>1533</v>
      </c>
      <c r="K392" t="s">
        <v>69</v>
      </c>
      <c r="L392" s="4">
        <v>6.43</v>
      </c>
      <c r="M392" s="19">
        <f t="shared" si="47"/>
        <v>1</v>
      </c>
      <c r="N392" s="19">
        <f t="shared" si="48"/>
        <v>1</v>
      </c>
      <c r="O392" s="19">
        <f t="shared" si="49"/>
        <v>1</v>
      </c>
      <c r="P392" s="19">
        <f t="shared" si="50"/>
        <v>1</v>
      </c>
      <c r="Q392" s="4">
        <v>63</v>
      </c>
      <c r="R392" s="4">
        <v>0</v>
      </c>
      <c r="S392" s="98">
        <v>0</v>
      </c>
      <c r="T392" s="125">
        <v>0</v>
      </c>
      <c r="U392" s="125">
        <v>9</v>
      </c>
      <c r="V392" s="24">
        <v>50</v>
      </c>
      <c r="W392" s="24">
        <v>0</v>
      </c>
      <c r="X392" s="24">
        <v>3.5</v>
      </c>
      <c r="Y392" s="24">
        <v>0.35</v>
      </c>
      <c r="Z392" s="24">
        <v>3.5</v>
      </c>
      <c r="AA392" s="24">
        <v>0.35</v>
      </c>
      <c r="AB392" s="24">
        <v>0</v>
      </c>
      <c r="AC392" s="98">
        <v>0</v>
      </c>
      <c r="AD392" s="24">
        <v>0</v>
      </c>
      <c r="AE392" s="24" t="s">
        <v>67</v>
      </c>
      <c r="AF392" s="118" t="s">
        <v>169</v>
      </c>
      <c r="AG392" s="114" t="s">
        <v>43</v>
      </c>
      <c r="AI392" s="104">
        <v>1027</v>
      </c>
      <c r="AJ392">
        <v>2267</v>
      </c>
    </row>
    <row r="393" spans="2:36" hidden="1" x14ac:dyDescent="0.25">
      <c r="B393" s="24" t="s">
        <v>239</v>
      </c>
      <c r="C393" s="24">
        <v>2</v>
      </c>
      <c r="E393" s="27">
        <v>39835</v>
      </c>
      <c r="F393" s="104">
        <f t="shared" si="46"/>
        <v>2049</v>
      </c>
      <c r="G393" s="25">
        <v>40862</v>
      </c>
      <c r="H393" s="25">
        <v>41884</v>
      </c>
      <c r="I393" s="104">
        <f t="shared" si="45"/>
        <v>1027</v>
      </c>
      <c r="J393" s="19">
        <f t="shared" si="51"/>
        <v>1022</v>
      </c>
      <c r="K393" t="s">
        <v>69</v>
      </c>
      <c r="L393" s="4">
        <v>6.14</v>
      </c>
      <c r="M393" s="19">
        <f t="shared" si="47"/>
        <v>1</v>
      </c>
      <c r="N393" s="19">
        <f t="shared" si="48"/>
        <v>1</v>
      </c>
      <c r="O393" s="19">
        <f t="shared" si="49"/>
        <v>1</v>
      </c>
      <c r="P393" s="19">
        <f t="shared" si="50"/>
        <v>1</v>
      </c>
      <c r="Q393" s="4">
        <v>47</v>
      </c>
      <c r="R393" s="4">
        <v>0</v>
      </c>
      <c r="S393" s="98">
        <v>0</v>
      </c>
      <c r="T393" s="125">
        <v>0</v>
      </c>
      <c r="U393" s="125">
        <v>0</v>
      </c>
      <c r="V393" s="24">
        <v>50</v>
      </c>
      <c r="W393" s="24">
        <v>0</v>
      </c>
      <c r="X393" s="24">
        <v>3</v>
      </c>
      <c r="Y393" s="24">
        <v>0.35</v>
      </c>
      <c r="Z393" s="24">
        <v>2.5</v>
      </c>
      <c r="AA393" s="24">
        <v>0.35</v>
      </c>
      <c r="AB393" s="24">
        <v>0</v>
      </c>
      <c r="AC393" s="98">
        <v>0</v>
      </c>
      <c r="AD393" s="24">
        <v>0</v>
      </c>
      <c r="AE393" s="24" t="s">
        <v>67</v>
      </c>
      <c r="AF393" s="118" t="s">
        <v>42</v>
      </c>
      <c r="AG393" s="114" t="s">
        <v>43</v>
      </c>
      <c r="AI393" s="104">
        <v>1216</v>
      </c>
      <c r="AJ393">
        <v>2268</v>
      </c>
    </row>
    <row r="394" spans="2:36" hidden="1" x14ac:dyDescent="0.25">
      <c r="B394" s="24" t="s">
        <v>239</v>
      </c>
      <c r="C394" s="24">
        <v>2</v>
      </c>
      <c r="E394" s="27">
        <v>39835</v>
      </c>
      <c r="F394" s="104">
        <f t="shared" si="46"/>
        <v>2049</v>
      </c>
      <c r="G394" s="25">
        <v>41051</v>
      </c>
      <c r="H394" s="25">
        <v>41884</v>
      </c>
      <c r="I394" s="104">
        <f t="shared" si="45"/>
        <v>1216</v>
      </c>
      <c r="J394" s="19">
        <f t="shared" si="51"/>
        <v>833</v>
      </c>
      <c r="K394" t="s">
        <v>69</v>
      </c>
      <c r="L394" s="4">
        <v>5.91</v>
      </c>
      <c r="M394" s="19">
        <f t="shared" si="47"/>
        <v>1</v>
      </c>
      <c r="N394" s="19">
        <f t="shared" si="48"/>
        <v>1</v>
      </c>
      <c r="O394" s="19">
        <f t="shared" si="49"/>
        <v>1</v>
      </c>
      <c r="P394" s="19">
        <f t="shared" si="50"/>
        <v>1</v>
      </c>
      <c r="Q394" s="4">
        <v>4</v>
      </c>
      <c r="R394" s="4">
        <v>0</v>
      </c>
      <c r="S394" s="98">
        <v>0</v>
      </c>
      <c r="T394" s="135">
        <v>0</v>
      </c>
      <c r="U394" s="135">
        <f>1412+265</f>
        <v>1677</v>
      </c>
      <c r="V394" s="24">
        <v>50</v>
      </c>
      <c r="W394" s="24">
        <v>0</v>
      </c>
      <c r="X394" s="24">
        <v>3</v>
      </c>
      <c r="Y394" s="24">
        <v>0.35</v>
      </c>
      <c r="Z394" s="24">
        <v>2.5</v>
      </c>
      <c r="AA394" s="24">
        <v>0.35</v>
      </c>
      <c r="AB394" s="24">
        <v>0</v>
      </c>
      <c r="AC394" s="98">
        <v>0</v>
      </c>
      <c r="AD394" s="24">
        <v>0</v>
      </c>
      <c r="AE394" s="24" t="s">
        <v>67</v>
      </c>
      <c r="AF394" s="147" t="s">
        <v>245</v>
      </c>
      <c r="AG394" s="114" t="s">
        <v>43</v>
      </c>
      <c r="AI394" s="104">
        <v>1356</v>
      </c>
      <c r="AJ394">
        <v>2268</v>
      </c>
    </row>
    <row r="395" spans="2:36" hidden="1" x14ac:dyDescent="0.25">
      <c r="B395" s="24" t="s">
        <v>239</v>
      </c>
      <c r="C395" s="24">
        <v>2</v>
      </c>
      <c r="E395" s="27">
        <v>39835</v>
      </c>
      <c r="F395" s="104">
        <f t="shared" si="46"/>
        <v>2049</v>
      </c>
      <c r="G395" s="27">
        <v>41191</v>
      </c>
      <c r="H395" s="25">
        <v>41884</v>
      </c>
      <c r="I395" s="104">
        <f t="shared" si="45"/>
        <v>1356</v>
      </c>
      <c r="J395" s="19">
        <f t="shared" si="51"/>
        <v>693</v>
      </c>
      <c r="K395" t="s">
        <v>69</v>
      </c>
      <c r="L395" s="24">
        <v>5.74</v>
      </c>
      <c r="M395" s="19">
        <f t="shared" si="47"/>
        <v>1</v>
      </c>
      <c r="N395" s="19">
        <f t="shared" si="48"/>
        <v>1</v>
      </c>
      <c r="O395" s="19">
        <f t="shared" si="49"/>
        <v>1</v>
      </c>
      <c r="P395" s="19">
        <f t="shared" si="50"/>
        <v>1</v>
      </c>
      <c r="Q395" s="24">
        <v>0</v>
      </c>
      <c r="R395" s="4">
        <v>0</v>
      </c>
      <c r="S395" s="98">
        <v>0</v>
      </c>
      <c r="T395" s="129">
        <v>0</v>
      </c>
      <c r="U395" s="129">
        <v>0</v>
      </c>
      <c r="V395" s="24">
        <v>50</v>
      </c>
      <c r="W395" s="24">
        <v>0</v>
      </c>
      <c r="X395" s="24">
        <v>3</v>
      </c>
      <c r="Y395" s="24">
        <v>0.35</v>
      </c>
      <c r="Z395" s="24">
        <v>2.5</v>
      </c>
      <c r="AA395" s="24">
        <v>0.35</v>
      </c>
      <c r="AB395" s="4">
        <v>0</v>
      </c>
      <c r="AC395" s="98">
        <v>0</v>
      </c>
      <c r="AD395" s="24">
        <v>0</v>
      </c>
      <c r="AE395" s="24" t="s">
        <v>67</v>
      </c>
      <c r="AF395" s="114" t="s">
        <v>42</v>
      </c>
      <c r="AG395" s="114" t="s">
        <v>43</v>
      </c>
      <c r="AI395" s="104">
        <v>1366</v>
      </c>
      <c r="AJ395">
        <v>2274</v>
      </c>
    </row>
    <row r="396" spans="2:36" hidden="1" x14ac:dyDescent="0.25">
      <c r="B396" s="24" t="s">
        <v>239</v>
      </c>
      <c r="C396" s="24">
        <v>2</v>
      </c>
      <c r="E396" s="27">
        <v>39835</v>
      </c>
      <c r="F396" s="104">
        <f t="shared" si="46"/>
        <v>2049</v>
      </c>
      <c r="G396" s="29">
        <v>41201</v>
      </c>
      <c r="H396" s="25">
        <v>41884</v>
      </c>
      <c r="I396" s="104">
        <f t="shared" si="45"/>
        <v>1366</v>
      </c>
      <c r="J396" s="19">
        <f t="shared" si="51"/>
        <v>683</v>
      </c>
      <c r="K396" t="s">
        <v>69</v>
      </c>
      <c r="L396" s="4">
        <v>5.64</v>
      </c>
      <c r="M396" s="19">
        <f t="shared" si="47"/>
        <v>1</v>
      </c>
      <c r="N396" s="19">
        <f t="shared" si="48"/>
        <v>1</v>
      </c>
      <c r="O396" s="19">
        <f t="shared" si="49"/>
        <v>1</v>
      </c>
      <c r="P396" s="19">
        <f t="shared" si="50"/>
        <v>1</v>
      </c>
      <c r="Q396" s="4">
        <v>0</v>
      </c>
      <c r="R396" s="4">
        <v>0</v>
      </c>
      <c r="S396" s="98">
        <v>0</v>
      </c>
      <c r="T396" s="125">
        <v>0</v>
      </c>
      <c r="U396" s="125">
        <v>2</v>
      </c>
      <c r="V396" s="24">
        <v>50</v>
      </c>
      <c r="W396" s="24">
        <v>1</v>
      </c>
      <c r="X396" s="24">
        <v>3</v>
      </c>
      <c r="Y396" s="24">
        <v>0.35</v>
      </c>
      <c r="Z396" s="24">
        <v>2.5</v>
      </c>
      <c r="AA396" s="24">
        <v>0.35</v>
      </c>
      <c r="AB396" s="24">
        <v>0</v>
      </c>
      <c r="AC396" s="98">
        <v>0</v>
      </c>
      <c r="AD396" s="24">
        <v>0</v>
      </c>
      <c r="AE396" s="24" t="s">
        <v>67</v>
      </c>
      <c r="AF396" s="118" t="s">
        <v>77</v>
      </c>
      <c r="AG396" s="114" t="s">
        <v>65</v>
      </c>
      <c r="AI396" s="104">
        <v>1488</v>
      </c>
      <c r="AJ396">
        <v>2274</v>
      </c>
    </row>
    <row r="397" spans="2:36" hidden="1" x14ac:dyDescent="0.25">
      <c r="B397" s="24" t="s">
        <v>239</v>
      </c>
      <c r="C397" s="24">
        <v>2</v>
      </c>
      <c r="E397" s="27">
        <v>39835</v>
      </c>
      <c r="F397" s="104">
        <f t="shared" si="46"/>
        <v>2049</v>
      </c>
      <c r="G397" s="25">
        <v>41323</v>
      </c>
      <c r="H397" s="25">
        <v>41884</v>
      </c>
      <c r="I397" s="104">
        <f t="shared" si="45"/>
        <v>1488</v>
      </c>
      <c r="J397" s="19">
        <f t="shared" si="51"/>
        <v>561</v>
      </c>
      <c r="K397" t="s">
        <v>69</v>
      </c>
      <c r="L397" s="4">
        <v>5.34</v>
      </c>
      <c r="M397" s="19">
        <f t="shared" si="47"/>
        <v>1</v>
      </c>
      <c r="N397" s="19">
        <f t="shared" si="48"/>
        <v>1</v>
      </c>
      <c r="O397" s="19">
        <f t="shared" si="49"/>
        <v>1</v>
      </c>
      <c r="P397" s="19">
        <f t="shared" si="50"/>
        <v>1</v>
      </c>
      <c r="Q397" s="4">
        <f>48+50</f>
        <v>98</v>
      </c>
      <c r="R397" s="4">
        <v>0</v>
      </c>
      <c r="S397" s="98">
        <v>0</v>
      </c>
      <c r="T397" s="125">
        <v>0</v>
      </c>
      <c r="U397" s="125">
        <v>0</v>
      </c>
      <c r="V397" s="24">
        <v>60</v>
      </c>
      <c r="W397" s="24">
        <v>1</v>
      </c>
      <c r="X397" s="24">
        <v>3</v>
      </c>
      <c r="Y397" s="24">
        <v>0.35</v>
      </c>
      <c r="Z397" s="24">
        <v>2.5</v>
      </c>
      <c r="AA397" s="24">
        <v>0.35</v>
      </c>
      <c r="AB397" s="1">
        <v>0</v>
      </c>
      <c r="AC397" s="1">
        <v>0</v>
      </c>
      <c r="AD397" s="24">
        <v>0</v>
      </c>
      <c r="AE397" s="24" t="s">
        <v>47</v>
      </c>
      <c r="AF397" s="118" t="s">
        <v>42</v>
      </c>
      <c r="AG397" s="114" t="s">
        <v>65</v>
      </c>
      <c r="AI397" s="104">
        <v>1636</v>
      </c>
      <c r="AJ397">
        <v>2275</v>
      </c>
    </row>
    <row r="398" spans="2:36" hidden="1" x14ac:dyDescent="0.25">
      <c r="B398" s="24" t="s">
        <v>239</v>
      </c>
      <c r="C398" s="24">
        <v>2</v>
      </c>
      <c r="E398" s="27">
        <v>39835</v>
      </c>
      <c r="F398" s="104">
        <f t="shared" si="46"/>
        <v>2049</v>
      </c>
      <c r="G398" s="25">
        <v>41471</v>
      </c>
      <c r="H398" s="25">
        <v>41884</v>
      </c>
      <c r="I398" s="104">
        <f t="shared" si="45"/>
        <v>1636</v>
      </c>
      <c r="J398" s="19">
        <f t="shared" si="51"/>
        <v>413</v>
      </c>
      <c r="K398" t="s">
        <v>69</v>
      </c>
      <c r="L398" s="4">
        <v>5.24</v>
      </c>
      <c r="M398" s="19">
        <f t="shared" si="47"/>
        <v>0</v>
      </c>
      <c r="N398" s="19">
        <f t="shared" si="48"/>
        <v>1</v>
      </c>
      <c r="O398" s="19">
        <f t="shared" si="49"/>
        <v>1</v>
      </c>
      <c r="P398" s="19">
        <f t="shared" si="50"/>
        <v>1</v>
      </c>
      <c r="Q398" s="4">
        <f>58+41</f>
        <v>99</v>
      </c>
      <c r="R398" s="4">
        <v>0</v>
      </c>
      <c r="S398" s="98">
        <v>0</v>
      </c>
      <c r="T398" s="125">
        <v>0</v>
      </c>
      <c r="U398" s="125">
        <v>0</v>
      </c>
      <c r="V398" s="24">
        <v>60</v>
      </c>
      <c r="W398" s="24">
        <v>1</v>
      </c>
      <c r="X398" s="24">
        <v>2</v>
      </c>
      <c r="Y398" s="24">
        <v>0.35</v>
      </c>
      <c r="Z398" s="24">
        <v>2.5</v>
      </c>
      <c r="AA398" s="24">
        <v>0.35</v>
      </c>
      <c r="AB398" s="1">
        <v>0</v>
      </c>
      <c r="AC398" s="1">
        <v>0</v>
      </c>
      <c r="AD398" s="24">
        <v>0</v>
      </c>
      <c r="AE398" s="24" t="s">
        <v>190</v>
      </c>
      <c r="AF398" s="118" t="s">
        <v>42</v>
      </c>
      <c r="AG398" s="114" t="s">
        <v>65</v>
      </c>
      <c r="AI398" s="104">
        <v>1839</v>
      </c>
      <c r="AJ398">
        <v>2282</v>
      </c>
    </row>
    <row r="399" spans="2:36" hidden="1" x14ac:dyDescent="0.25">
      <c r="B399" s="24" t="s">
        <v>239</v>
      </c>
      <c r="C399" s="24">
        <v>2</v>
      </c>
      <c r="E399" s="27">
        <v>39835</v>
      </c>
      <c r="F399" s="104">
        <f t="shared" si="46"/>
        <v>2049</v>
      </c>
      <c r="G399" s="25">
        <v>41674</v>
      </c>
      <c r="H399" s="25">
        <v>41884</v>
      </c>
      <c r="I399" s="104">
        <f t="shared" si="45"/>
        <v>1839</v>
      </c>
      <c r="J399" s="19">
        <f t="shared" si="51"/>
        <v>210</v>
      </c>
      <c r="K399" t="s">
        <v>69</v>
      </c>
      <c r="L399" s="4">
        <v>5.17</v>
      </c>
      <c r="M399" s="19">
        <f t="shared" si="47"/>
        <v>0</v>
      </c>
      <c r="N399" s="19">
        <f t="shared" si="48"/>
        <v>0</v>
      </c>
      <c r="O399" s="19">
        <f t="shared" si="49"/>
        <v>1</v>
      </c>
      <c r="P399" s="19">
        <f t="shared" si="50"/>
        <v>1</v>
      </c>
      <c r="Q399" s="4">
        <f>57+41</f>
        <v>98</v>
      </c>
      <c r="R399" s="4">
        <v>0</v>
      </c>
      <c r="S399" s="98">
        <v>0</v>
      </c>
      <c r="T399" s="125">
        <v>0</v>
      </c>
      <c r="U399" s="125">
        <v>0</v>
      </c>
      <c r="V399" s="24">
        <v>60</v>
      </c>
      <c r="W399" s="24">
        <v>1</v>
      </c>
      <c r="X399" s="24">
        <v>2</v>
      </c>
      <c r="Y399" s="24">
        <v>0.35</v>
      </c>
      <c r="Z399" s="24">
        <v>2.5</v>
      </c>
      <c r="AA399" s="24">
        <v>0.35</v>
      </c>
      <c r="AB399" s="1">
        <v>0</v>
      </c>
      <c r="AC399" s="1">
        <v>0</v>
      </c>
      <c r="AD399" s="24">
        <v>0</v>
      </c>
      <c r="AE399" s="24" t="s">
        <v>190</v>
      </c>
      <c r="AF399" s="118" t="s">
        <v>42</v>
      </c>
      <c r="AG399" s="114" t="s">
        <v>65</v>
      </c>
      <c r="AI399" s="104">
        <v>2049</v>
      </c>
      <c r="AJ399">
        <v>2284</v>
      </c>
    </row>
    <row r="400" spans="2:36" hidden="1" x14ac:dyDescent="0.25">
      <c r="B400" s="24" t="s">
        <v>239</v>
      </c>
      <c r="C400" s="24">
        <v>2</v>
      </c>
      <c r="E400" s="27">
        <v>39835</v>
      </c>
      <c r="F400" s="104">
        <f t="shared" si="46"/>
        <v>2049</v>
      </c>
      <c r="G400" s="25">
        <v>41884</v>
      </c>
      <c r="H400" s="25">
        <v>41884</v>
      </c>
      <c r="I400" s="104">
        <f t="shared" si="45"/>
        <v>2049</v>
      </c>
      <c r="J400" s="19">
        <f t="shared" si="51"/>
        <v>0</v>
      </c>
      <c r="K400" t="s">
        <v>69</v>
      </c>
      <c r="L400" s="4">
        <v>5.16</v>
      </c>
      <c r="M400" s="19">
        <f t="shared" si="47"/>
        <v>0</v>
      </c>
      <c r="N400" s="19">
        <f t="shared" si="48"/>
        <v>0</v>
      </c>
      <c r="O400" s="19">
        <f t="shared" si="49"/>
        <v>0</v>
      </c>
      <c r="P400" s="19">
        <f t="shared" si="50"/>
        <v>0</v>
      </c>
      <c r="Q400" s="4">
        <f>55+42</f>
        <v>97</v>
      </c>
      <c r="R400" s="4">
        <v>0</v>
      </c>
      <c r="S400" s="98">
        <v>0</v>
      </c>
      <c r="T400" s="125">
        <v>0</v>
      </c>
      <c r="U400" s="125">
        <v>0</v>
      </c>
      <c r="V400" s="24">
        <v>60</v>
      </c>
      <c r="W400" s="24">
        <v>1</v>
      </c>
      <c r="X400" s="24">
        <v>2</v>
      </c>
      <c r="Y400" s="24">
        <v>0.35</v>
      </c>
      <c r="Z400" s="24">
        <v>2.5</v>
      </c>
      <c r="AA400" s="24">
        <v>0.35</v>
      </c>
      <c r="AB400" s="1">
        <v>0</v>
      </c>
      <c r="AC400" s="1">
        <v>0</v>
      </c>
      <c r="AD400" s="24">
        <v>0</v>
      </c>
      <c r="AE400" s="24" t="s">
        <v>190</v>
      </c>
      <c r="AF400" s="118" t="s">
        <v>42</v>
      </c>
      <c r="AG400" s="114" t="s">
        <v>65</v>
      </c>
      <c r="AI400" s="104">
        <v>1030</v>
      </c>
      <c r="AJ400">
        <v>2284</v>
      </c>
    </row>
    <row r="401" spans="2:36" hidden="1" x14ac:dyDescent="0.25">
      <c r="B401" s="24" t="s">
        <v>194</v>
      </c>
      <c r="C401" s="24">
        <v>2</v>
      </c>
      <c r="D401" s="24"/>
      <c r="E401" s="42">
        <v>39848</v>
      </c>
      <c r="F401" s="104">
        <f t="shared" si="46"/>
        <v>1937</v>
      </c>
      <c r="G401" s="23">
        <v>40878</v>
      </c>
      <c r="H401" s="25">
        <v>41785</v>
      </c>
      <c r="I401" s="104">
        <f t="shared" si="45"/>
        <v>1030</v>
      </c>
      <c r="J401" s="19">
        <f t="shared" si="51"/>
        <v>907</v>
      </c>
      <c r="K401" t="s">
        <v>69</v>
      </c>
      <c r="L401" s="24">
        <v>6.13</v>
      </c>
      <c r="M401" s="19">
        <f t="shared" si="47"/>
        <v>1</v>
      </c>
      <c r="N401" s="19">
        <f t="shared" si="48"/>
        <v>1</v>
      </c>
      <c r="O401" s="19">
        <f t="shared" si="49"/>
        <v>1</v>
      </c>
      <c r="P401" s="19">
        <f t="shared" si="50"/>
        <v>1</v>
      </c>
      <c r="Q401" s="24">
        <v>56</v>
      </c>
      <c r="R401" s="24">
        <v>2</v>
      </c>
      <c r="S401" s="24">
        <v>0</v>
      </c>
      <c r="T401" s="129">
        <v>0</v>
      </c>
      <c r="U401" s="129">
        <v>0</v>
      </c>
      <c r="V401" s="24">
        <v>60</v>
      </c>
      <c r="W401" s="24">
        <v>0</v>
      </c>
      <c r="X401" s="24">
        <v>2</v>
      </c>
      <c r="Y401" s="24">
        <v>0.35</v>
      </c>
      <c r="Z401" s="24">
        <v>4</v>
      </c>
      <c r="AA401" s="24">
        <v>0.35</v>
      </c>
      <c r="AB401" s="24">
        <v>0</v>
      </c>
      <c r="AC401" s="24">
        <v>0</v>
      </c>
      <c r="AD401" s="24">
        <v>0</v>
      </c>
      <c r="AE401" s="24" t="s">
        <v>47</v>
      </c>
      <c r="AF401" s="114" t="s">
        <v>42</v>
      </c>
      <c r="AG401" s="114" t="s">
        <v>43</v>
      </c>
      <c r="AI401" s="104">
        <v>1217</v>
      </c>
      <c r="AJ401">
        <v>2287</v>
      </c>
    </row>
    <row r="402" spans="2:36" hidden="1" x14ac:dyDescent="0.25">
      <c r="B402" s="24" t="s">
        <v>194</v>
      </c>
      <c r="C402" s="24">
        <v>2</v>
      </c>
      <c r="D402" s="24"/>
      <c r="E402" s="42">
        <v>39848</v>
      </c>
      <c r="F402" s="104">
        <f t="shared" si="46"/>
        <v>1937</v>
      </c>
      <c r="G402" s="23">
        <v>41065</v>
      </c>
      <c r="H402" s="25">
        <v>41785</v>
      </c>
      <c r="I402" s="104">
        <f t="shared" si="45"/>
        <v>1217</v>
      </c>
      <c r="J402" s="19">
        <f t="shared" si="51"/>
        <v>720</v>
      </c>
      <c r="K402" t="s">
        <v>69</v>
      </c>
      <c r="L402" s="40">
        <v>5.92</v>
      </c>
      <c r="M402" s="19">
        <f t="shared" si="47"/>
        <v>1</v>
      </c>
      <c r="N402" s="19">
        <f t="shared" si="48"/>
        <v>1</v>
      </c>
      <c r="O402" s="19">
        <f t="shared" si="49"/>
        <v>1</v>
      </c>
      <c r="P402" s="19">
        <f t="shared" si="50"/>
        <v>1</v>
      </c>
      <c r="Q402" s="24">
        <v>28</v>
      </c>
      <c r="R402" s="24">
        <v>9</v>
      </c>
      <c r="S402" s="24">
        <v>0</v>
      </c>
      <c r="T402" s="129">
        <v>0</v>
      </c>
      <c r="U402" s="129">
        <v>0</v>
      </c>
      <c r="V402" s="24">
        <v>60</v>
      </c>
      <c r="W402" s="24">
        <v>0</v>
      </c>
      <c r="X402" s="24">
        <v>2</v>
      </c>
      <c r="Y402" s="24">
        <v>0.35</v>
      </c>
      <c r="Z402" s="24">
        <v>4</v>
      </c>
      <c r="AA402" s="24">
        <v>0.35</v>
      </c>
      <c r="AB402" s="24">
        <v>0</v>
      </c>
      <c r="AC402" s="24">
        <v>0</v>
      </c>
      <c r="AD402" s="24">
        <v>0</v>
      </c>
      <c r="AE402" s="24" t="s">
        <v>47</v>
      </c>
      <c r="AF402" s="114" t="s">
        <v>42</v>
      </c>
      <c r="AG402" s="114" t="s">
        <v>43</v>
      </c>
      <c r="AI402" s="104">
        <v>1448</v>
      </c>
      <c r="AJ402">
        <v>2289</v>
      </c>
    </row>
    <row r="403" spans="2:36" hidden="1" x14ac:dyDescent="0.25">
      <c r="B403" s="24" t="s">
        <v>194</v>
      </c>
      <c r="C403" s="24">
        <v>2</v>
      </c>
      <c r="D403" s="24"/>
      <c r="E403" s="42">
        <v>39848</v>
      </c>
      <c r="F403" s="104">
        <f t="shared" si="46"/>
        <v>1937</v>
      </c>
      <c r="G403" s="25">
        <v>41296</v>
      </c>
      <c r="H403" s="25">
        <v>41785</v>
      </c>
      <c r="I403" s="104">
        <f t="shared" si="45"/>
        <v>1448</v>
      </c>
      <c r="J403" s="19">
        <f t="shared" si="51"/>
        <v>489</v>
      </c>
      <c r="K403" t="s">
        <v>69</v>
      </c>
      <c r="L403" s="4">
        <v>5.34</v>
      </c>
      <c r="M403" s="19">
        <f t="shared" si="47"/>
        <v>0</v>
      </c>
      <c r="N403" s="19">
        <f t="shared" si="48"/>
        <v>1</v>
      </c>
      <c r="O403" s="19">
        <f t="shared" si="49"/>
        <v>1</v>
      </c>
      <c r="P403" s="19">
        <f t="shared" si="50"/>
        <v>1</v>
      </c>
      <c r="Q403" s="1">
        <v>0</v>
      </c>
      <c r="R403" s="4">
        <v>14</v>
      </c>
      <c r="S403" s="98">
        <v>0</v>
      </c>
      <c r="T403" s="129">
        <v>0</v>
      </c>
      <c r="U403" s="129">
        <v>0</v>
      </c>
      <c r="V403" s="24">
        <v>60</v>
      </c>
      <c r="W403" s="4">
        <v>1</v>
      </c>
      <c r="X403" s="24">
        <v>0</v>
      </c>
      <c r="Y403" s="24">
        <v>0</v>
      </c>
      <c r="Z403" s="24">
        <v>4</v>
      </c>
      <c r="AA403" s="24">
        <v>0.35</v>
      </c>
      <c r="AB403" s="1">
        <v>0</v>
      </c>
      <c r="AC403" s="1">
        <v>0</v>
      </c>
      <c r="AD403" s="24">
        <v>0</v>
      </c>
      <c r="AE403" s="4" t="s">
        <v>47</v>
      </c>
      <c r="AF403" s="114" t="s">
        <v>42</v>
      </c>
      <c r="AG403" s="118">
        <v>1</v>
      </c>
      <c r="AI403" s="104">
        <v>1637</v>
      </c>
      <c r="AJ403">
        <v>2289</v>
      </c>
    </row>
    <row r="404" spans="2:36" hidden="1" x14ac:dyDescent="0.25">
      <c r="B404" s="24" t="s">
        <v>194</v>
      </c>
      <c r="C404" s="24">
        <v>2</v>
      </c>
      <c r="D404" s="24"/>
      <c r="E404" s="42">
        <v>39848</v>
      </c>
      <c r="F404" s="104">
        <f t="shared" si="46"/>
        <v>1937</v>
      </c>
      <c r="G404" s="25">
        <v>41485</v>
      </c>
      <c r="H404" s="25">
        <v>41785</v>
      </c>
      <c r="I404" s="104">
        <f t="shared" si="45"/>
        <v>1637</v>
      </c>
      <c r="J404" s="19">
        <f t="shared" si="51"/>
        <v>300</v>
      </c>
      <c r="K404" t="s">
        <v>69</v>
      </c>
      <c r="L404" s="4">
        <v>5.21</v>
      </c>
      <c r="M404" s="19">
        <f t="shared" si="47"/>
        <v>0</v>
      </c>
      <c r="N404" s="19">
        <f t="shared" si="48"/>
        <v>0</v>
      </c>
      <c r="O404" s="19">
        <f t="shared" si="49"/>
        <v>1</v>
      </c>
      <c r="P404" s="19">
        <f t="shared" si="50"/>
        <v>1</v>
      </c>
      <c r="Q404" s="1">
        <v>0</v>
      </c>
      <c r="R404" s="4">
        <f>10+6</f>
        <v>16</v>
      </c>
      <c r="S404" s="98">
        <v>0</v>
      </c>
      <c r="T404" s="129">
        <v>0</v>
      </c>
      <c r="U404" s="129">
        <v>0</v>
      </c>
      <c r="V404" s="24">
        <v>60</v>
      </c>
      <c r="W404" s="4">
        <v>1</v>
      </c>
      <c r="X404" s="24">
        <v>0</v>
      </c>
      <c r="Y404" s="24">
        <v>0</v>
      </c>
      <c r="Z404" s="24">
        <v>4</v>
      </c>
      <c r="AA404" s="24">
        <v>0.35</v>
      </c>
      <c r="AB404" s="1">
        <v>0</v>
      </c>
      <c r="AC404" s="1">
        <v>0</v>
      </c>
      <c r="AD404" s="24">
        <v>0</v>
      </c>
      <c r="AE404" s="4" t="s">
        <v>47</v>
      </c>
      <c r="AF404" s="114" t="s">
        <v>42</v>
      </c>
      <c r="AG404" s="118">
        <v>1</v>
      </c>
      <c r="AI404" s="104">
        <v>1937</v>
      </c>
      <c r="AJ404">
        <v>2289</v>
      </c>
    </row>
    <row r="405" spans="2:36" hidden="1" x14ac:dyDescent="0.25">
      <c r="B405" s="24" t="s">
        <v>194</v>
      </c>
      <c r="C405" s="24">
        <v>2</v>
      </c>
      <c r="D405" s="24"/>
      <c r="E405" s="42">
        <v>39848</v>
      </c>
      <c r="F405" s="104">
        <f t="shared" si="46"/>
        <v>1937</v>
      </c>
      <c r="G405" s="25">
        <v>41785</v>
      </c>
      <c r="H405" s="25">
        <v>41785</v>
      </c>
      <c r="I405" s="104">
        <f t="shared" si="45"/>
        <v>1937</v>
      </c>
      <c r="J405" s="19">
        <f t="shared" si="51"/>
        <v>0</v>
      </c>
      <c r="K405" t="s">
        <v>69</v>
      </c>
      <c r="L405" s="4">
        <v>5.17</v>
      </c>
      <c r="M405" s="19">
        <f t="shared" si="47"/>
        <v>0</v>
      </c>
      <c r="N405" s="19">
        <f t="shared" si="48"/>
        <v>0</v>
      </c>
      <c r="O405" s="19">
        <f t="shared" si="49"/>
        <v>0</v>
      </c>
      <c r="P405" s="19">
        <f t="shared" si="50"/>
        <v>0</v>
      </c>
      <c r="Q405" s="1">
        <v>0</v>
      </c>
      <c r="R405" s="4">
        <f>10+6</f>
        <v>16</v>
      </c>
      <c r="S405" s="98">
        <v>0</v>
      </c>
      <c r="T405" s="125">
        <v>2</v>
      </c>
      <c r="U405" s="125">
        <v>21</v>
      </c>
      <c r="V405" s="4">
        <v>40</v>
      </c>
      <c r="W405" s="4">
        <v>0</v>
      </c>
      <c r="X405" s="24">
        <v>0</v>
      </c>
      <c r="Y405" s="24">
        <v>0</v>
      </c>
      <c r="Z405" s="4">
        <v>3</v>
      </c>
      <c r="AA405" s="4">
        <v>0.35</v>
      </c>
      <c r="AB405" s="1">
        <v>0</v>
      </c>
      <c r="AC405" s="1">
        <v>0</v>
      </c>
      <c r="AD405" s="24">
        <v>0</v>
      </c>
      <c r="AE405" s="4">
        <v>40</v>
      </c>
      <c r="AF405" s="139" t="s">
        <v>196</v>
      </c>
      <c r="AG405" s="118" t="s">
        <v>198</v>
      </c>
      <c r="AI405" s="104">
        <v>151</v>
      </c>
      <c r="AJ405">
        <v>2296</v>
      </c>
    </row>
    <row r="406" spans="2:36" hidden="1" x14ac:dyDescent="0.25">
      <c r="B406" s="24" t="s">
        <v>112</v>
      </c>
      <c r="C406" s="24">
        <v>2</v>
      </c>
      <c r="E406" s="88">
        <v>39948</v>
      </c>
      <c r="F406" s="104">
        <f t="shared" si="46"/>
        <v>2216</v>
      </c>
      <c r="G406" s="89">
        <v>40099</v>
      </c>
      <c r="H406" s="89">
        <v>42164</v>
      </c>
      <c r="I406" s="104">
        <f t="shared" si="45"/>
        <v>151</v>
      </c>
      <c r="J406" s="19">
        <f t="shared" si="51"/>
        <v>2065</v>
      </c>
      <c r="K406" t="s">
        <v>69</v>
      </c>
      <c r="L406" s="92">
        <v>6.48</v>
      </c>
      <c r="M406" s="19">
        <f t="shared" si="47"/>
        <v>1</v>
      </c>
      <c r="N406" s="19">
        <f t="shared" si="48"/>
        <v>1</v>
      </c>
      <c r="O406" s="19">
        <f t="shared" si="49"/>
        <v>1</v>
      </c>
      <c r="P406" s="19">
        <f t="shared" si="50"/>
        <v>1</v>
      </c>
      <c r="Q406" s="92">
        <v>23</v>
      </c>
      <c r="R406" s="92">
        <v>2</v>
      </c>
      <c r="S406" s="98">
        <v>0</v>
      </c>
      <c r="T406" s="130">
        <v>0</v>
      </c>
      <c r="U406" s="130">
        <v>0</v>
      </c>
      <c r="V406" s="24">
        <v>60</v>
      </c>
      <c r="W406" s="92">
        <v>0</v>
      </c>
      <c r="X406" s="92">
        <v>3.5</v>
      </c>
      <c r="Y406" s="92">
        <v>0.35</v>
      </c>
      <c r="Z406" s="92">
        <v>3.5</v>
      </c>
      <c r="AA406" s="92">
        <v>0.35</v>
      </c>
      <c r="AB406" s="83">
        <v>0</v>
      </c>
      <c r="AC406" s="83">
        <v>0</v>
      </c>
      <c r="AD406" s="83">
        <v>0</v>
      </c>
      <c r="AE406" s="92" t="s">
        <v>47</v>
      </c>
      <c r="AF406" s="142" t="s">
        <v>42</v>
      </c>
      <c r="AG406" s="119" t="s">
        <v>285</v>
      </c>
      <c r="AI406" s="104">
        <v>333</v>
      </c>
      <c r="AJ406">
        <v>2314</v>
      </c>
    </row>
    <row r="407" spans="2:36" hidden="1" x14ac:dyDescent="0.25">
      <c r="B407" s="24" t="s">
        <v>112</v>
      </c>
      <c r="C407" s="24">
        <v>2</v>
      </c>
      <c r="E407" s="27">
        <v>39948</v>
      </c>
      <c r="F407" s="104">
        <f t="shared" si="46"/>
        <v>2216</v>
      </c>
      <c r="G407" s="25">
        <v>40281</v>
      </c>
      <c r="H407" s="25">
        <v>42164</v>
      </c>
      <c r="I407" s="104">
        <f t="shared" si="45"/>
        <v>333</v>
      </c>
      <c r="J407" s="19">
        <f t="shared" si="51"/>
        <v>1883</v>
      </c>
      <c r="K407" t="s">
        <v>69</v>
      </c>
      <c r="L407" s="4">
        <v>6.46</v>
      </c>
      <c r="M407" s="19">
        <f t="shared" si="47"/>
        <v>1</v>
      </c>
      <c r="N407" s="19">
        <f t="shared" si="48"/>
        <v>1</v>
      </c>
      <c r="O407" s="19">
        <f t="shared" si="49"/>
        <v>1</v>
      </c>
      <c r="P407" s="19">
        <f t="shared" si="50"/>
        <v>1</v>
      </c>
      <c r="Q407" s="4">
        <v>20</v>
      </c>
      <c r="R407" s="4">
        <v>5</v>
      </c>
      <c r="S407" s="98">
        <v>0</v>
      </c>
      <c r="T407" s="127">
        <v>0</v>
      </c>
      <c r="U407" s="127">
        <v>0</v>
      </c>
      <c r="V407" s="24">
        <v>60</v>
      </c>
      <c r="W407" s="4">
        <v>0</v>
      </c>
      <c r="X407" s="4">
        <v>3.5</v>
      </c>
      <c r="Y407" s="4">
        <v>0.35</v>
      </c>
      <c r="Z407" s="4">
        <v>3.5</v>
      </c>
      <c r="AA407" s="4">
        <v>0.35</v>
      </c>
      <c r="AB407" s="1">
        <v>0</v>
      </c>
      <c r="AC407" s="1">
        <v>0</v>
      </c>
      <c r="AD407" s="90">
        <v>0</v>
      </c>
      <c r="AE407" s="4" t="s">
        <v>47</v>
      </c>
      <c r="AF407" s="138" t="s">
        <v>42</v>
      </c>
      <c r="AG407" s="118" t="s">
        <v>285</v>
      </c>
      <c r="AI407" s="104">
        <v>536</v>
      </c>
      <c r="AJ407">
        <v>2324</v>
      </c>
    </row>
    <row r="408" spans="2:36" hidden="1" x14ac:dyDescent="0.25">
      <c r="B408" s="24" t="s">
        <v>112</v>
      </c>
      <c r="C408" s="24">
        <v>2</v>
      </c>
      <c r="E408" s="27">
        <v>39948</v>
      </c>
      <c r="F408" s="104">
        <f t="shared" si="46"/>
        <v>2216</v>
      </c>
      <c r="G408" s="25">
        <v>40484</v>
      </c>
      <c r="H408" s="25">
        <v>42164</v>
      </c>
      <c r="I408" s="104">
        <f t="shared" si="45"/>
        <v>536</v>
      </c>
      <c r="J408" s="19">
        <f t="shared" si="51"/>
        <v>1680</v>
      </c>
      <c r="K408" t="s">
        <v>69</v>
      </c>
      <c r="L408" s="4">
        <v>6.41</v>
      </c>
      <c r="M408" s="19">
        <f t="shared" si="47"/>
        <v>1</v>
      </c>
      <c r="N408" s="19">
        <f t="shared" si="48"/>
        <v>1</v>
      </c>
      <c r="O408" s="19">
        <f t="shared" si="49"/>
        <v>1</v>
      </c>
      <c r="P408" s="19">
        <f t="shared" si="50"/>
        <v>1</v>
      </c>
      <c r="Q408" s="4">
        <v>29</v>
      </c>
      <c r="R408" s="4">
        <v>34</v>
      </c>
      <c r="S408" s="98">
        <v>0</v>
      </c>
      <c r="T408" s="127">
        <v>0</v>
      </c>
      <c r="U408" s="127">
        <v>0</v>
      </c>
      <c r="V408" s="24">
        <v>60</v>
      </c>
      <c r="W408" s="4">
        <v>0</v>
      </c>
      <c r="X408" s="4">
        <v>3.5</v>
      </c>
      <c r="Y408" s="4">
        <v>0.35</v>
      </c>
      <c r="Z408" s="4">
        <v>3.5</v>
      </c>
      <c r="AA408" s="4">
        <v>0.35</v>
      </c>
      <c r="AB408" s="1">
        <v>0</v>
      </c>
      <c r="AC408" s="1">
        <v>0</v>
      </c>
      <c r="AD408" s="90">
        <v>0</v>
      </c>
      <c r="AE408" s="4" t="s">
        <v>47</v>
      </c>
      <c r="AF408" s="138" t="s">
        <v>42</v>
      </c>
      <c r="AG408" s="118" t="s">
        <v>285</v>
      </c>
      <c r="AI408" s="104">
        <v>718</v>
      </c>
      <c r="AJ408">
        <v>2330</v>
      </c>
    </row>
    <row r="409" spans="2:36" hidden="1" x14ac:dyDescent="0.25">
      <c r="B409" s="24" t="s">
        <v>112</v>
      </c>
      <c r="C409" s="24">
        <v>2</v>
      </c>
      <c r="D409" s="24"/>
      <c r="E409" s="23">
        <v>39948</v>
      </c>
      <c r="F409" s="104">
        <f t="shared" si="46"/>
        <v>2216</v>
      </c>
      <c r="G409" s="23">
        <v>40666</v>
      </c>
      <c r="H409" s="25">
        <v>42164</v>
      </c>
      <c r="I409" s="104">
        <f t="shared" si="45"/>
        <v>718</v>
      </c>
      <c r="J409" s="19">
        <f t="shared" si="51"/>
        <v>1498</v>
      </c>
      <c r="K409" t="s">
        <v>69</v>
      </c>
      <c r="L409" s="24">
        <v>6.36</v>
      </c>
      <c r="M409" s="19">
        <f t="shared" si="47"/>
        <v>1</v>
      </c>
      <c r="N409" s="19">
        <f t="shared" si="48"/>
        <v>1</v>
      </c>
      <c r="O409" s="19">
        <f t="shared" si="49"/>
        <v>1</v>
      </c>
      <c r="P409" s="19">
        <f t="shared" si="50"/>
        <v>1</v>
      </c>
      <c r="Q409" s="24">
        <v>77</v>
      </c>
      <c r="R409" s="24">
        <v>77</v>
      </c>
      <c r="S409" s="24">
        <v>0</v>
      </c>
      <c r="T409" s="129">
        <v>0</v>
      </c>
      <c r="U409" s="129">
        <v>0</v>
      </c>
      <c r="V409" s="24">
        <v>60</v>
      </c>
      <c r="W409" s="24">
        <v>0</v>
      </c>
      <c r="X409" s="24">
        <v>3.5</v>
      </c>
      <c r="Y409" s="24">
        <v>0.35</v>
      </c>
      <c r="Z409" s="24">
        <v>3.5</v>
      </c>
      <c r="AA409" s="24">
        <v>0.35</v>
      </c>
      <c r="AB409" s="24">
        <v>0</v>
      </c>
      <c r="AC409" s="24">
        <v>0</v>
      </c>
      <c r="AD409" s="24">
        <v>0</v>
      </c>
      <c r="AE409" s="24" t="s">
        <v>47</v>
      </c>
      <c r="AF409" s="114" t="s">
        <v>42</v>
      </c>
      <c r="AG409" s="114" t="s">
        <v>43</v>
      </c>
      <c r="AI409" s="104">
        <v>921</v>
      </c>
      <c r="AJ409">
        <v>2330</v>
      </c>
    </row>
    <row r="410" spans="2:36" hidden="1" x14ac:dyDescent="0.25">
      <c r="B410" s="24" t="s">
        <v>112</v>
      </c>
      <c r="C410" s="24">
        <v>2</v>
      </c>
      <c r="D410" s="24"/>
      <c r="E410" s="23">
        <v>39948</v>
      </c>
      <c r="F410" s="104">
        <f t="shared" si="46"/>
        <v>2216</v>
      </c>
      <c r="G410" s="23">
        <v>40869</v>
      </c>
      <c r="H410" s="25">
        <v>42164</v>
      </c>
      <c r="I410" s="104">
        <f t="shared" si="45"/>
        <v>921</v>
      </c>
      <c r="J410" s="19">
        <f t="shared" si="51"/>
        <v>1295</v>
      </c>
      <c r="K410" t="s">
        <v>69</v>
      </c>
      <c r="L410" s="24">
        <v>6.12</v>
      </c>
      <c r="M410" s="19">
        <f t="shared" si="47"/>
        <v>1</v>
      </c>
      <c r="N410" s="19">
        <f t="shared" si="48"/>
        <v>1</v>
      </c>
      <c r="O410" s="19">
        <f t="shared" si="49"/>
        <v>1</v>
      </c>
      <c r="P410" s="19">
        <f t="shared" si="50"/>
        <v>1</v>
      </c>
      <c r="Q410" s="24">
        <v>70</v>
      </c>
      <c r="R410" s="24">
        <v>70</v>
      </c>
      <c r="S410" s="24">
        <v>0</v>
      </c>
      <c r="T410" s="129">
        <v>0</v>
      </c>
      <c r="U410" s="129">
        <v>0</v>
      </c>
      <c r="V410" s="24">
        <v>60</v>
      </c>
      <c r="W410" s="24">
        <v>0</v>
      </c>
      <c r="X410" s="24">
        <v>3.5</v>
      </c>
      <c r="Y410" s="24">
        <v>0.35</v>
      </c>
      <c r="Z410" s="24">
        <v>2.5</v>
      </c>
      <c r="AA410" s="24">
        <v>0.35</v>
      </c>
      <c r="AB410" s="24">
        <v>0</v>
      </c>
      <c r="AC410" s="24">
        <v>0</v>
      </c>
      <c r="AD410" s="24">
        <v>0</v>
      </c>
      <c r="AE410" s="24" t="s">
        <v>47</v>
      </c>
      <c r="AF410" s="114"/>
      <c r="AG410" s="114" t="s">
        <v>43</v>
      </c>
      <c r="AI410" s="104">
        <v>1110</v>
      </c>
      <c r="AJ410">
        <v>2337</v>
      </c>
    </row>
    <row r="411" spans="2:36" hidden="1" x14ac:dyDescent="0.25">
      <c r="B411" s="24" t="s">
        <v>112</v>
      </c>
      <c r="C411" s="24">
        <v>2</v>
      </c>
      <c r="D411" s="24"/>
      <c r="E411" s="23">
        <v>39948</v>
      </c>
      <c r="F411" s="104">
        <f t="shared" si="46"/>
        <v>2216</v>
      </c>
      <c r="G411" s="23">
        <v>41058</v>
      </c>
      <c r="H411" s="25">
        <v>42164</v>
      </c>
      <c r="I411" s="104">
        <f t="shared" si="45"/>
        <v>1110</v>
      </c>
      <c r="J411" s="19">
        <f t="shared" si="51"/>
        <v>1106</v>
      </c>
      <c r="K411" t="s">
        <v>69</v>
      </c>
      <c r="L411" s="24">
        <v>5.89</v>
      </c>
      <c r="M411" s="19">
        <f t="shared" si="47"/>
        <v>1</v>
      </c>
      <c r="N411" s="19">
        <f t="shared" si="48"/>
        <v>1</v>
      </c>
      <c r="O411" s="19">
        <f t="shared" si="49"/>
        <v>1</v>
      </c>
      <c r="P411" s="19">
        <f t="shared" si="50"/>
        <v>1</v>
      </c>
      <c r="Q411" s="24">
        <v>60</v>
      </c>
      <c r="R411" s="24">
        <v>60</v>
      </c>
      <c r="S411" s="24">
        <v>0</v>
      </c>
      <c r="T411" s="129">
        <v>0</v>
      </c>
      <c r="U411" s="129">
        <v>0</v>
      </c>
      <c r="V411" s="24">
        <v>60</v>
      </c>
      <c r="W411" s="24">
        <v>0</v>
      </c>
      <c r="X411" s="24">
        <v>3</v>
      </c>
      <c r="Y411" s="24">
        <v>0.35</v>
      </c>
      <c r="Z411" s="24">
        <v>2.5</v>
      </c>
      <c r="AA411" s="24">
        <v>0.35</v>
      </c>
      <c r="AB411" s="24">
        <v>0</v>
      </c>
      <c r="AC411" s="24">
        <v>0</v>
      </c>
      <c r="AD411" s="24">
        <v>0</v>
      </c>
      <c r="AE411" s="24" t="s">
        <v>47</v>
      </c>
      <c r="AF411" s="114"/>
      <c r="AG411" s="114" t="s">
        <v>43</v>
      </c>
      <c r="AI411" s="104">
        <v>1299</v>
      </c>
      <c r="AJ411">
        <v>2337</v>
      </c>
    </row>
    <row r="412" spans="2:36" hidden="1" x14ac:dyDescent="0.25">
      <c r="B412" s="24" t="s">
        <v>112</v>
      </c>
      <c r="C412" s="24">
        <v>2</v>
      </c>
      <c r="D412" s="24"/>
      <c r="E412" s="23">
        <v>39948</v>
      </c>
      <c r="F412" s="104">
        <f t="shared" si="46"/>
        <v>2216</v>
      </c>
      <c r="G412" s="23">
        <v>41247</v>
      </c>
      <c r="H412" s="25">
        <v>42164</v>
      </c>
      <c r="I412" s="104">
        <f t="shared" si="45"/>
        <v>1299</v>
      </c>
      <c r="J412" s="19">
        <f t="shared" si="51"/>
        <v>917</v>
      </c>
      <c r="K412" t="s">
        <v>69</v>
      </c>
      <c r="L412" s="24">
        <v>5.55</v>
      </c>
      <c r="M412" s="19">
        <f t="shared" si="47"/>
        <v>1</v>
      </c>
      <c r="N412" s="19">
        <f t="shared" si="48"/>
        <v>1</v>
      </c>
      <c r="O412" s="19">
        <f t="shared" si="49"/>
        <v>1</v>
      </c>
      <c r="P412" s="19">
        <f t="shared" si="50"/>
        <v>1</v>
      </c>
      <c r="Q412" s="24">
        <v>56</v>
      </c>
      <c r="R412" s="24">
        <v>56</v>
      </c>
      <c r="S412" s="24">
        <v>0</v>
      </c>
      <c r="T412" s="129">
        <v>0</v>
      </c>
      <c r="U412" s="129">
        <v>0</v>
      </c>
      <c r="V412" s="24">
        <v>60</v>
      </c>
      <c r="W412" s="24">
        <v>0</v>
      </c>
      <c r="X412" s="24">
        <v>3</v>
      </c>
      <c r="Y412" s="24">
        <v>0.35</v>
      </c>
      <c r="Z412" s="24">
        <v>2.5</v>
      </c>
      <c r="AA412" s="24">
        <v>0.35</v>
      </c>
      <c r="AB412" s="24">
        <v>0</v>
      </c>
      <c r="AC412" s="24">
        <v>0</v>
      </c>
      <c r="AD412" s="24">
        <v>0</v>
      </c>
      <c r="AE412" s="24" t="s">
        <v>47</v>
      </c>
      <c r="AF412" s="146"/>
      <c r="AG412" s="114" t="s">
        <v>43</v>
      </c>
      <c r="AI412" s="104">
        <v>1403</v>
      </c>
      <c r="AJ412">
        <v>2341</v>
      </c>
    </row>
    <row r="413" spans="2:36" hidden="1" x14ac:dyDescent="0.25">
      <c r="B413" s="24" t="s">
        <v>112</v>
      </c>
      <c r="C413" s="24">
        <v>2</v>
      </c>
      <c r="D413" s="24"/>
      <c r="E413" s="23">
        <v>39948</v>
      </c>
      <c r="F413" s="104">
        <f t="shared" si="46"/>
        <v>2216</v>
      </c>
      <c r="G413" s="23">
        <v>41351</v>
      </c>
      <c r="H413" s="25">
        <v>42164</v>
      </c>
      <c r="I413" s="104">
        <f t="shared" si="45"/>
        <v>1403</v>
      </c>
      <c r="J413" s="19">
        <f t="shared" si="51"/>
        <v>813</v>
      </c>
      <c r="K413" t="s">
        <v>69</v>
      </c>
      <c r="L413" s="24">
        <v>5.34</v>
      </c>
      <c r="M413" s="19">
        <f t="shared" si="47"/>
        <v>1</v>
      </c>
      <c r="N413" s="19">
        <f t="shared" si="48"/>
        <v>1</v>
      </c>
      <c r="O413" s="19">
        <f t="shared" si="49"/>
        <v>1</v>
      </c>
      <c r="P413" s="19">
        <f t="shared" si="50"/>
        <v>1</v>
      </c>
      <c r="Q413" s="24">
        <v>99</v>
      </c>
      <c r="R413" s="24">
        <v>99</v>
      </c>
      <c r="S413" s="24">
        <v>0</v>
      </c>
      <c r="T413" s="129">
        <v>0</v>
      </c>
      <c r="U413" s="129">
        <v>0</v>
      </c>
      <c r="V413" s="24">
        <v>60</v>
      </c>
      <c r="W413" s="24">
        <v>0</v>
      </c>
      <c r="X413" s="24">
        <v>2.5</v>
      </c>
      <c r="Y413" s="24">
        <v>0.35</v>
      </c>
      <c r="Z413" s="24">
        <v>2</v>
      </c>
      <c r="AA413" s="24">
        <v>0.35</v>
      </c>
      <c r="AB413" s="24">
        <v>0</v>
      </c>
      <c r="AC413" s="24">
        <v>0</v>
      </c>
      <c r="AD413" s="24">
        <v>0</v>
      </c>
      <c r="AE413" s="24" t="s">
        <v>47</v>
      </c>
      <c r="AF413" s="114"/>
      <c r="AG413" s="114" t="s">
        <v>43</v>
      </c>
      <c r="AI413" s="104">
        <v>1488</v>
      </c>
      <c r="AJ413">
        <v>2348</v>
      </c>
    </row>
    <row r="414" spans="2:36" hidden="1" x14ac:dyDescent="0.25">
      <c r="B414" s="24" t="s">
        <v>112</v>
      </c>
      <c r="C414" s="24">
        <v>2</v>
      </c>
      <c r="D414" s="24"/>
      <c r="E414" s="23">
        <v>39948</v>
      </c>
      <c r="F414" s="104">
        <f t="shared" si="46"/>
        <v>2216</v>
      </c>
      <c r="G414" s="27">
        <v>41436</v>
      </c>
      <c r="H414" s="25">
        <v>42164</v>
      </c>
      <c r="I414" s="104">
        <f t="shared" si="45"/>
        <v>1488</v>
      </c>
      <c r="J414" s="19">
        <f t="shared" si="51"/>
        <v>728</v>
      </c>
      <c r="K414" t="s">
        <v>69</v>
      </c>
      <c r="L414" s="24">
        <v>5.28</v>
      </c>
      <c r="M414" s="19">
        <f t="shared" si="47"/>
        <v>1</v>
      </c>
      <c r="N414" s="19">
        <f t="shared" si="48"/>
        <v>1</v>
      </c>
      <c r="O414" s="19">
        <f t="shared" si="49"/>
        <v>1</v>
      </c>
      <c r="P414" s="19">
        <f t="shared" si="50"/>
        <v>1</v>
      </c>
      <c r="Q414" s="24">
        <f>34+13</f>
        <v>47</v>
      </c>
      <c r="R414" s="24">
        <f>60+19</f>
        <v>79</v>
      </c>
      <c r="S414" s="24">
        <v>0</v>
      </c>
      <c r="T414" s="129">
        <v>0</v>
      </c>
      <c r="U414" s="129">
        <v>0</v>
      </c>
      <c r="V414" s="24">
        <v>60</v>
      </c>
      <c r="W414" s="24">
        <v>1</v>
      </c>
      <c r="X414" s="24">
        <v>2.5</v>
      </c>
      <c r="Y414" s="24">
        <v>0.35</v>
      </c>
      <c r="Z414" s="24">
        <v>2</v>
      </c>
      <c r="AA414" s="24">
        <v>0.35</v>
      </c>
      <c r="AB414" s="24">
        <v>0</v>
      </c>
      <c r="AC414" s="24">
        <v>0</v>
      </c>
      <c r="AD414" s="24">
        <v>0</v>
      </c>
      <c r="AE414" s="24" t="s">
        <v>47</v>
      </c>
      <c r="AF414" s="114"/>
      <c r="AG414" s="114" t="s">
        <v>28</v>
      </c>
      <c r="AI414" s="104">
        <v>1606</v>
      </c>
      <c r="AJ414">
        <v>2360</v>
      </c>
    </row>
    <row r="415" spans="2:36" hidden="1" x14ac:dyDescent="0.25">
      <c r="B415" s="24" t="s">
        <v>112</v>
      </c>
      <c r="C415" s="24">
        <v>2</v>
      </c>
      <c r="D415" s="24"/>
      <c r="E415" s="23">
        <v>39948</v>
      </c>
      <c r="F415" s="104">
        <f t="shared" si="46"/>
        <v>2216</v>
      </c>
      <c r="G415" s="27">
        <v>41554</v>
      </c>
      <c r="H415" s="25">
        <v>42164</v>
      </c>
      <c r="I415" s="104">
        <f t="shared" si="45"/>
        <v>1606</v>
      </c>
      <c r="J415" s="19">
        <f t="shared" si="51"/>
        <v>610</v>
      </c>
      <c r="K415" t="s">
        <v>69</v>
      </c>
      <c r="L415" s="24">
        <v>5.21</v>
      </c>
      <c r="M415" s="19">
        <f t="shared" si="47"/>
        <v>1</v>
      </c>
      <c r="N415" s="19">
        <f t="shared" si="48"/>
        <v>1</v>
      </c>
      <c r="O415" s="19">
        <f t="shared" si="49"/>
        <v>1</v>
      </c>
      <c r="P415" s="19">
        <f t="shared" si="50"/>
        <v>1</v>
      </c>
      <c r="Q415" s="24">
        <f>22+19</f>
        <v>41</v>
      </c>
      <c r="R415" s="24">
        <f>57+22</f>
        <v>79</v>
      </c>
      <c r="S415" s="24">
        <v>0</v>
      </c>
      <c r="T415" s="129">
        <v>0</v>
      </c>
      <c r="U415" s="129">
        <v>0</v>
      </c>
      <c r="V415" s="24">
        <v>60</v>
      </c>
      <c r="W415" s="24">
        <v>1</v>
      </c>
      <c r="X415" s="24">
        <v>2.5</v>
      </c>
      <c r="Y415" s="24">
        <v>0.35</v>
      </c>
      <c r="Z415" s="24">
        <v>2</v>
      </c>
      <c r="AA415" s="24">
        <v>0.35</v>
      </c>
      <c r="AB415" s="24">
        <v>0</v>
      </c>
      <c r="AC415" s="24">
        <v>0</v>
      </c>
      <c r="AD415" s="24">
        <v>0</v>
      </c>
      <c r="AE415" s="24" t="s">
        <v>47</v>
      </c>
      <c r="AF415" s="114"/>
      <c r="AG415" s="114" t="s">
        <v>28</v>
      </c>
      <c r="AI415" s="104">
        <v>1788</v>
      </c>
      <c r="AJ415">
        <v>2367</v>
      </c>
    </row>
    <row r="416" spans="2:36" hidden="1" x14ac:dyDescent="0.25">
      <c r="B416" s="24" t="s">
        <v>112</v>
      </c>
      <c r="C416" s="24">
        <v>2</v>
      </c>
      <c r="D416" s="24"/>
      <c r="E416" s="23">
        <v>39948</v>
      </c>
      <c r="F416" s="104">
        <f t="shared" si="46"/>
        <v>2216</v>
      </c>
      <c r="G416" s="27">
        <v>41736</v>
      </c>
      <c r="H416" s="25">
        <v>42164</v>
      </c>
      <c r="I416" s="104">
        <f t="shared" si="45"/>
        <v>1788</v>
      </c>
      <c r="J416" s="19">
        <f t="shared" si="51"/>
        <v>428</v>
      </c>
      <c r="K416" t="s">
        <v>69</v>
      </c>
      <c r="L416" s="24">
        <v>5.18</v>
      </c>
      <c r="M416" s="19">
        <f t="shared" si="47"/>
        <v>0</v>
      </c>
      <c r="N416" s="19">
        <f t="shared" si="48"/>
        <v>1</v>
      </c>
      <c r="O416" s="19">
        <f t="shared" si="49"/>
        <v>1</v>
      </c>
      <c r="P416" s="19">
        <f t="shared" si="50"/>
        <v>1</v>
      </c>
      <c r="Q416" s="24">
        <f>29+15</f>
        <v>44</v>
      </c>
      <c r="R416" s="24">
        <f>68+20</f>
        <v>88</v>
      </c>
      <c r="S416" s="24">
        <v>0</v>
      </c>
      <c r="T416" s="128">
        <v>0</v>
      </c>
      <c r="U416" s="128">
        <v>0</v>
      </c>
      <c r="V416" s="24">
        <v>60</v>
      </c>
      <c r="W416" s="24">
        <v>1</v>
      </c>
      <c r="X416" s="24">
        <v>2.5</v>
      </c>
      <c r="Y416" s="24">
        <v>0.35</v>
      </c>
      <c r="Z416" s="24">
        <v>2</v>
      </c>
      <c r="AA416" s="24">
        <v>0.35</v>
      </c>
      <c r="AB416" s="24">
        <v>0</v>
      </c>
      <c r="AC416" s="24">
        <v>0</v>
      </c>
      <c r="AD416" s="24">
        <v>0</v>
      </c>
      <c r="AE416" s="24" t="s">
        <v>47</v>
      </c>
      <c r="AG416" s="114" t="s">
        <v>28</v>
      </c>
      <c r="AI416" s="104">
        <v>2006</v>
      </c>
      <c r="AJ416">
        <v>2371</v>
      </c>
    </row>
    <row r="417" spans="2:36" hidden="1" x14ac:dyDescent="0.25">
      <c r="B417" s="24" t="s">
        <v>112</v>
      </c>
      <c r="C417" s="24">
        <v>2</v>
      </c>
      <c r="D417" s="24"/>
      <c r="E417" s="23">
        <v>39948</v>
      </c>
      <c r="F417" s="104">
        <f t="shared" si="46"/>
        <v>2216</v>
      </c>
      <c r="G417" s="27">
        <v>41954</v>
      </c>
      <c r="H417" s="25">
        <v>42164</v>
      </c>
      <c r="I417" s="104">
        <f t="shared" si="45"/>
        <v>2006</v>
      </c>
      <c r="J417" s="19">
        <f t="shared" si="51"/>
        <v>210</v>
      </c>
      <c r="K417" t="s">
        <v>69</v>
      </c>
      <c r="L417" s="24">
        <v>5.16</v>
      </c>
      <c r="M417" s="19">
        <f t="shared" si="47"/>
        <v>0</v>
      </c>
      <c r="N417" s="19">
        <f t="shared" si="48"/>
        <v>0</v>
      </c>
      <c r="O417" s="19">
        <f t="shared" si="49"/>
        <v>1</v>
      </c>
      <c r="P417" s="19">
        <f t="shared" si="50"/>
        <v>1</v>
      </c>
      <c r="Q417" s="24">
        <f>32+14</f>
        <v>46</v>
      </c>
      <c r="R417" s="24">
        <f>72+21</f>
        <v>93</v>
      </c>
      <c r="S417" s="24">
        <v>0</v>
      </c>
      <c r="T417" s="129">
        <v>0</v>
      </c>
      <c r="U417" s="129">
        <v>0</v>
      </c>
      <c r="V417" s="24">
        <v>60</v>
      </c>
      <c r="W417" s="24">
        <v>1</v>
      </c>
      <c r="X417" s="24">
        <v>2.5</v>
      </c>
      <c r="Y417" s="24">
        <v>0.35</v>
      </c>
      <c r="Z417" s="24">
        <v>2</v>
      </c>
      <c r="AA417" s="24">
        <v>0.35</v>
      </c>
      <c r="AB417" s="24">
        <v>0</v>
      </c>
      <c r="AC417" s="24">
        <v>0</v>
      </c>
      <c r="AD417" s="24">
        <v>0</v>
      </c>
      <c r="AE417" s="24" t="s">
        <v>47</v>
      </c>
      <c r="AF417" s="114"/>
      <c r="AG417" s="114" t="s">
        <v>28</v>
      </c>
      <c r="AI417" s="104">
        <v>2216</v>
      </c>
      <c r="AJ417">
        <v>2373</v>
      </c>
    </row>
    <row r="418" spans="2:36" hidden="1" x14ac:dyDescent="0.25">
      <c r="B418" s="24" t="s">
        <v>112</v>
      </c>
      <c r="C418" s="24">
        <v>2</v>
      </c>
      <c r="D418" s="24"/>
      <c r="E418" s="23">
        <v>39948</v>
      </c>
      <c r="F418" s="104">
        <f t="shared" si="46"/>
        <v>2216</v>
      </c>
      <c r="G418" s="25">
        <v>42164</v>
      </c>
      <c r="H418" s="25">
        <v>42164</v>
      </c>
      <c r="I418" s="104">
        <f t="shared" si="45"/>
        <v>2216</v>
      </c>
      <c r="J418" s="19">
        <f t="shared" si="51"/>
        <v>0</v>
      </c>
      <c r="K418" t="s">
        <v>69</v>
      </c>
      <c r="L418" s="4">
        <v>5.13</v>
      </c>
      <c r="M418" s="19">
        <f t="shared" si="47"/>
        <v>0</v>
      </c>
      <c r="N418" s="19">
        <f t="shared" si="48"/>
        <v>0</v>
      </c>
      <c r="O418" s="19">
        <f t="shared" si="49"/>
        <v>0</v>
      </c>
      <c r="P418" s="19">
        <f t="shared" si="50"/>
        <v>0</v>
      </c>
      <c r="Q418" s="4">
        <f>34+13</f>
        <v>47</v>
      </c>
      <c r="R418" s="4">
        <f>75+24</f>
        <v>99</v>
      </c>
      <c r="S418" s="24">
        <v>0</v>
      </c>
      <c r="T418" s="128">
        <v>0</v>
      </c>
      <c r="U418" s="128">
        <v>0</v>
      </c>
      <c r="V418" s="24">
        <v>60</v>
      </c>
      <c r="W418" s="24">
        <v>1</v>
      </c>
      <c r="X418" s="24">
        <v>2.5</v>
      </c>
      <c r="Y418" s="24">
        <v>0.35</v>
      </c>
      <c r="Z418" s="24">
        <v>2</v>
      </c>
      <c r="AA418" s="24">
        <v>0.35</v>
      </c>
      <c r="AB418" s="24">
        <v>0</v>
      </c>
      <c r="AC418" s="24">
        <v>0</v>
      </c>
      <c r="AD418" s="24">
        <v>0</v>
      </c>
      <c r="AE418" s="24" t="s">
        <v>47</v>
      </c>
      <c r="AG418" s="114" t="s">
        <v>28</v>
      </c>
      <c r="AI418" s="104">
        <v>854</v>
      </c>
      <c r="AJ418">
        <v>2377</v>
      </c>
    </row>
    <row r="419" spans="2:36" hidden="1" x14ac:dyDescent="0.25">
      <c r="B419" s="24" t="s">
        <v>210</v>
      </c>
      <c r="C419" s="24">
        <v>2</v>
      </c>
      <c r="E419" s="27">
        <v>39833</v>
      </c>
      <c r="F419" s="104">
        <f t="shared" si="46"/>
        <v>2079</v>
      </c>
      <c r="G419" s="23">
        <v>40687</v>
      </c>
      <c r="H419" s="25">
        <v>41912</v>
      </c>
      <c r="I419" s="104">
        <f t="shared" si="45"/>
        <v>854</v>
      </c>
      <c r="J419" s="19">
        <f t="shared" si="51"/>
        <v>1225</v>
      </c>
      <c r="K419" t="s">
        <v>69</v>
      </c>
      <c r="L419" s="24">
        <v>6.37</v>
      </c>
      <c r="M419" s="19">
        <f t="shared" si="47"/>
        <v>1</v>
      </c>
      <c r="N419" s="19">
        <f t="shared" si="48"/>
        <v>1</v>
      </c>
      <c r="O419" s="19">
        <f t="shared" si="49"/>
        <v>1</v>
      </c>
      <c r="P419" s="19">
        <f t="shared" si="50"/>
        <v>1</v>
      </c>
      <c r="Q419" s="24">
        <v>0</v>
      </c>
      <c r="R419" s="24">
        <v>0</v>
      </c>
      <c r="S419" s="24">
        <v>0</v>
      </c>
      <c r="T419" s="129">
        <v>0</v>
      </c>
      <c r="U419" s="129">
        <v>0</v>
      </c>
      <c r="V419" s="24">
        <v>60</v>
      </c>
      <c r="W419" s="24">
        <v>0</v>
      </c>
      <c r="X419" s="24">
        <v>2.5</v>
      </c>
      <c r="Y419" s="24">
        <v>0.35</v>
      </c>
      <c r="Z419" s="24">
        <v>2.5</v>
      </c>
      <c r="AA419" s="24">
        <v>0.35</v>
      </c>
      <c r="AB419" s="24">
        <v>0</v>
      </c>
      <c r="AC419" s="24">
        <v>0</v>
      </c>
      <c r="AD419" s="24">
        <v>0</v>
      </c>
      <c r="AE419" s="24" t="s">
        <v>47</v>
      </c>
      <c r="AF419" s="114" t="s">
        <v>42</v>
      </c>
      <c r="AG419" s="114" t="s">
        <v>69</v>
      </c>
      <c r="AI419" s="104">
        <v>1057</v>
      </c>
      <c r="AJ419">
        <v>2378</v>
      </c>
    </row>
    <row r="420" spans="2:36" hidden="1" x14ac:dyDescent="0.25">
      <c r="B420" s="24" t="s">
        <v>210</v>
      </c>
      <c r="C420" s="24">
        <v>2</v>
      </c>
      <c r="E420" s="27">
        <v>39833</v>
      </c>
      <c r="F420" s="104">
        <f t="shared" si="46"/>
        <v>2079</v>
      </c>
      <c r="G420" s="25">
        <v>40890</v>
      </c>
      <c r="H420" s="25">
        <v>41912</v>
      </c>
      <c r="I420" s="104">
        <f t="shared" si="45"/>
        <v>1057</v>
      </c>
      <c r="J420" s="19">
        <f t="shared" si="51"/>
        <v>1022</v>
      </c>
      <c r="K420" t="s">
        <v>69</v>
      </c>
      <c r="L420" s="4">
        <v>6.29</v>
      </c>
      <c r="M420" s="19">
        <f t="shared" si="47"/>
        <v>1</v>
      </c>
      <c r="N420" s="19">
        <f t="shared" si="48"/>
        <v>1</v>
      </c>
      <c r="O420" s="19">
        <f t="shared" si="49"/>
        <v>1</v>
      </c>
      <c r="P420" s="19">
        <f t="shared" si="50"/>
        <v>1</v>
      </c>
      <c r="Q420" s="1">
        <v>0</v>
      </c>
      <c r="R420" s="24">
        <v>0</v>
      </c>
      <c r="S420" s="24">
        <v>0</v>
      </c>
      <c r="T420" s="129">
        <v>0</v>
      </c>
      <c r="U420" s="129">
        <v>0</v>
      </c>
      <c r="V420" s="24">
        <v>60</v>
      </c>
      <c r="W420" s="24">
        <v>0</v>
      </c>
      <c r="X420" s="24">
        <v>2.5</v>
      </c>
      <c r="Y420" s="24">
        <v>0.35</v>
      </c>
      <c r="Z420" s="24">
        <v>2.5</v>
      </c>
      <c r="AA420" s="24">
        <v>0.35</v>
      </c>
      <c r="AB420" s="24">
        <v>0</v>
      </c>
      <c r="AC420" s="24">
        <v>0</v>
      </c>
      <c r="AD420" s="24">
        <v>0</v>
      </c>
      <c r="AE420" s="24" t="s">
        <v>47</v>
      </c>
      <c r="AF420" s="114" t="s">
        <v>42</v>
      </c>
      <c r="AG420" s="114" t="s">
        <v>69</v>
      </c>
      <c r="AI420" s="104">
        <v>1246</v>
      </c>
      <c r="AJ420">
        <v>2380</v>
      </c>
    </row>
    <row r="421" spans="2:36" hidden="1" x14ac:dyDescent="0.25">
      <c r="B421" s="24" t="s">
        <v>210</v>
      </c>
      <c r="C421" s="24">
        <v>2</v>
      </c>
      <c r="E421" s="27">
        <v>39833</v>
      </c>
      <c r="F421" s="104">
        <f t="shared" si="46"/>
        <v>2079</v>
      </c>
      <c r="G421" s="25">
        <v>41079</v>
      </c>
      <c r="H421" s="25">
        <v>41912</v>
      </c>
      <c r="I421" s="104">
        <f t="shared" si="45"/>
        <v>1246</v>
      </c>
      <c r="J421" s="19">
        <f t="shared" si="51"/>
        <v>833</v>
      </c>
      <c r="K421" t="s">
        <v>69</v>
      </c>
      <c r="L421" s="4">
        <v>6.13</v>
      </c>
      <c r="M421" s="19">
        <f t="shared" si="47"/>
        <v>1</v>
      </c>
      <c r="N421" s="19">
        <f t="shared" si="48"/>
        <v>1</v>
      </c>
      <c r="O421" s="19">
        <f t="shared" si="49"/>
        <v>1</v>
      </c>
      <c r="P421" s="19">
        <f t="shared" si="50"/>
        <v>1</v>
      </c>
      <c r="Q421" s="1">
        <v>0</v>
      </c>
      <c r="R421" s="24">
        <v>0</v>
      </c>
      <c r="S421" s="24">
        <v>0</v>
      </c>
      <c r="T421" s="129">
        <v>0</v>
      </c>
      <c r="U421" s="129">
        <v>0</v>
      </c>
      <c r="V421" s="24">
        <v>60</v>
      </c>
      <c r="W421" s="24">
        <v>0</v>
      </c>
      <c r="X421" s="24">
        <v>2.5</v>
      </c>
      <c r="Y421" s="24">
        <v>0.35</v>
      </c>
      <c r="Z421" s="24">
        <v>2.5</v>
      </c>
      <c r="AA421" s="24">
        <v>0.35</v>
      </c>
      <c r="AB421" s="24">
        <v>0</v>
      </c>
      <c r="AC421" s="24">
        <v>0</v>
      </c>
      <c r="AD421" s="24">
        <v>0</v>
      </c>
      <c r="AE421" s="24" t="s">
        <v>47</v>
      </c>
      <c r="AF421" s="114" t="s">
        <v>42</v>
      </c>
      <c r="AG421" s="114" t="s">
        <v>69</v>
      </c>
      <c r="AI421" s="104">
        <v>1491</v>
      </c>
      <c r="AJ421">
        <v>2381</v>
      </c>
    </row>
    <row r="422" spans="2:36" hidden="1" x14ac:dyDescent="0.25">
      <c r="B422" s="24" t="s">
        <v>210</v>
      </c>
      <c r="C422" s="24">
        <v>2</v>
      </c>
      <c r="E422" s="27">
        <v>39833</v>
      </c>
      <c r="F422" s="104">
        <f t="shared" si="46"/>
        <v>2079</v>
      </c>
      <c r="G422" s="25">
        <v>41324</v>
      </c>
      <c r="H422" s="25">
        <v>41912</v>
      </c>
      <c r="I422" s="104">
        <f t="shared" si="45"/>
        <v>1491</v>
      </c>
      <c r="J422" s="19">
        <f t="shared" si="51"/>
        <v>588</v>
      </c>
      <c r="K422" t="s">
        <v>69</v>
      </c>
      <c r="L422" s="4">
        <v>5.85</v>
      </c>
      <c r="M422" s="19">
        <f t="shared" si="47"/>
        <v>1</v>
      </c>
      <c r="N422" s="19">
        <f t="shared" si="48"/>
        <v>1</v>
      </c>
      <c r="O422" s="19">
        <f t="shared" si="49"/>
        <v>1</v>
      </c>
      <c r="P422" s="19">
        <f t="shared" si="50"/>
        <v>1</v>
      </c>
      <c r="Q422" s="1">
        <v>0</v>
      </c>
      <c r="R422" s="24">
        <v>0</v>
      </c>
      <c r="S422" s="24">
        <v>0</v>
      </c>
      <c r="T422" s="129">
        <v>0</v>
      </c>
      <c r="U422" s="129">
        <v>0</v>
      </c>
      <c r="V422" s="24">
        <v>60</v>
      </c>
      <c r="W422" s="24">
        <v>0</v>
      </c>
      <c r="X422" s="24">
        <v>2.5</v>
      </c>
      <c r="Y422" s="24">
        <v>0.35</v>
      </c>
      <c r="Z422" s="24">
        <v>2.5</v>
      </c>
      <c r="AA422" s="24">
        <v>0.35</v>
      </c>
      <c r="AB422" s="24">
        <v>0</v>
      </c>
      <c r="AC422" s="24">
        <v>0</v>
      </c>
      <c r="AD422" s="24">
        <v>0</v>
      </c>
      <c r="AE422" s="24" t="s">
        <v>47</v>
      </c>
      <c r="AF422" s="114" t="s">
        <v>42</v>
      </c>
      <c r="AG422" s="114" t="s">
        <v>69</v>
      </c>
      <c r="AI422" s="104">
        <v>1645</v>
      </c>
      <c r="AJ422">
        <v>2384</v>
      </c>
    </row>
    <row r="423" spans="2:36" hidden="1" x14ac:dyDescent="0.25">
      <c r="B423" s="24" t="s">
        <v>210</v>
      </c>
      <c r="C423" s="24">
        <v>2</v>
      </c>
      <c r="E423" s="27">
        <v>39833</v>
      </c>
      <c r="F423" s="104">
        <f t="shared" si="46"/>
        <v>2079</v>
      </c>
      <c r="G423" s="25">
        <v>41478</v>
      </c>
      <c r="H423" s="25">
        <v>41912</v>
      </c>
      <c r="I423" s="104">
        <f t="shared" si="45"/>
        <v>1645</v>
      </c>
      <c r="J423" s="19">
        <f t="shared" si="51"/>
        <v>434</v>
      </c>
      <c r="K423" t="s">
        <v>69</v>
      </c>
      <c r="L423" s="4">
        <v>5.55</v>
      </c>
      <c r="M423" s="19">
        <f t="shared" si="47"/>
        <v>0</v>
      </c>
      <c r="N423" s="19">
        <f t="shared" si="48"/>
        <v>1</v>
      </c>
      <c r="O423" s="19">
        <f t="shared" si="49"/>
        <v>1</v>
      </c>
      <c r="P423" s="19">
        <f t="shared" si="50"/>
        <v>1</v>
      </c>
      <c r="Q423" s="1">
        <v>0</v>
      </c>
      <c r="R423" s="24">
        <v>0</v>
      </c>
      <c r="S423" s="24">
        <v>0</v>
      </c>
      <c r="T423" s="129">
        <v>0</v>
      </c>
      <c r="U423" s="129">
        <v>0</v>
      </c>
      <c r="V423" s="24">
        <v>60</v>
      </c>
      <c r="W423" s="24">
        <v>0</v>
      </c>
      <c r="X423" s="24">
        <v>2.5</v>
      </c>
      <c r="Y423" s="24">
        <v>0.35</v>
      </c>
      <c r="Z423" s="24">
        <v>2.5</v>
      </c>
      <c r="AA423" s="24">
        <v>0.35</v>
      </c>
      <c r="AB423" s="24">
        <v>0</v>
      </c>
      <c r="AC423" s="24">
        <v>0</v>
      </c>
      <c r="AD423" s="24">
        <v>0</v>
      </c>
      <c r="AE423" s="24" t="s">
        <v>47</v>
      </c>
      <c r="AF423" s="114" t="s">
        <v>42</v>
      </c>
      <c r="AG423" s="114" t="s">
        <v>69</v>
      </c>
      <c r="AI423" s="104">
        <v>1862</v>
      </c>
      <c r="AJ423">
        <v>2386</v>
      </c>
    </row>
    <row r="424" spans="2:36" hidden="1" x14ac:dyDescent="0.25">
      <c r="B424" s="24" t="s">
        <v>210</v>
      </c>
      <c r="C424" s="24">
        <v>2</v>
      </c>
      <c r="E424" s="27">
        <v>39833</v>
      </c>
      <c r="F424" s="104">
        <f t="shared" si="46"/>
        <v>2079</v>
      </c>
      <c r="G424" s="25">
        <v>41695</v>
      </c>
      <c r="H424" s="25">
        <v>41912</v>
      </c>
      <c r="I424" s="104">
        <f t="shared" si="45"/>
        <v>1862</v>
      </c>
      <c r="J424" s="19">
        <f t="shared" si="51"/>
        <v>217</v>
      </c>
      <c r="K424" t="s">
        <v>69</v>
      </c>
      <c r="L424" s="4">
        <v>5.28</v>
      </c>
      <c r="M424" s="19">
        <f t="shared" si="47"/>
        <v>0</v>
      </c>
      <c r="N424" s="19">
        <f t="shared" si="48"/>
        <v>0</v>
      </c>
      <c r="O424" s="19">
        <f t="shared" si="49"/>
        <v>1</v>
      </c>
      <c r="P424" s="19">
        <f t="shared" si="50"/>
        <v>1</v>
      </c>
      <c r="Q424" s="1">
        <v>0</v>
      </c>
      <c r="R424" s="24">
        <v>0</v>
      </c>
      <c r="S424" s="24">
        <v>0</v>
      </c>
      <c r="T424" s="129">
        <v>0</v>
      </c>
      <c r="U424" s="129">
        <v>0</v>
      </c>
      <c r="V424" s="24">
        <v>60</v>
      </c>
      <c r="W424" s="24">
        <v>0</v>
      </c>
      <c r="X424" s="24">
        <v>2.5</v>
      </c>
      <c r="Y424" s="24">
        <v>0.35</v>
      </c>
      <c r="Z424" s="24">
        <v>2.5</v>
      </c>
      <c r="AA424" s="24">
        <v>0.35</v>
      </c>
      <c r="AB424" s="24">
        <v>0</v>
      </c>
      <c r="AC424" s="24">
        <v>0</v>
      </c>
      <c r="AD424" s="24">
        <v>0</v>
      </c>
      <c r="AE424" s="24" t="s">
        <v>47</v>
      </c>
      <c r="AF424" s="114" t="s">
        <v>42</v>
      </c>
      <c r="AG424" s="114" t="s">
        <v>69</v>
      </c>
      <c r="AI424" s="104">
        <v>2079</v>
      </c>
      <c r="AJ424">
        <v>2387</v>
      </c>
    </row>
    <row r="425" spans="2:36" hidden="1" x14ac:dyDescent="0.25">
      <c r="B425" s="24" t="s">
        <v>210</v>
      </c>
      <c r="C425" s="24">
        <v>2</v>
      </c>
      <c r="E425" s="27">
        <v>39833</v>
      </c>
      <c r="F425" s="104">
        <f t="shared" si="46"/>
        <v>2079</v>
      </c>
      <c r="G425" s="25">
        <v>41912</v>
      </c>
      <c r="H425" s="25">
        <v>41912</v>
      </c>
      <c r="I425" s="104">
        <f t="shared" si="45"/>
        <v>2079</v>
      </c>
      <c r="J425" s="19">
        <f t="shared" si="51"/>
        <v>0</v>
      </c>
      <c r="K425" t="s">
        <v>69</v>
      </c>
      <c r="L425" s="4">
        <v>5.18</v>
      </c>
      <c r="M425" s="19">
        <f t="shared" si="47"/>
        <v>0</v>
      </c>
      <c r="N425" s="19">
        <f t="shared" si="48"/>
        <v>0</v>
      </c>
      <c r="O425" s="19">
        <f t="shared" si="49"/>
        <v>0</v>
      </c>
      <c r="P425" s="19">
        <f t="shared" si="50"/>
        <v>0</v>
      </c>
      <c r="Q425" s="1">
        <v>0</v>
      </c>
      <c r="R425" s="24">
        <v>0</v>
      </c>
      <c r="S425" s="24">
        <v>0</v>
      </c>
      <c r="T425" s="129">
        <v>0</v>
      </c>
      <c r="U425" s="129">
        <v>0</v>
      </c>
      <c r="V425" s="24">
        <v>60</v>
      </c>
      <c r="W425" s="24">
        <v>0</v>
      </c>
      <c r="X425" s="24">
        <v>2.5</v>
      </c>
      <c r="Y425" s="24">
        <v>0.35</v>
      </c>
      <c r="Z425" s="24">
        <v>2.5</v>
      </c>
      <c r="AA425" s="24">
        <v>0.35</v>
      </c>
      <c r="AB425" s="24">
        <v>0</v>
      </c>
      <c r="AC425" s="24">
        <v>0</v>
      </c>
      <c r="AD425" s="24">
        <v>0</v>
      </c>
      <c r="AE425" s="24" t="s">
        <v>47</v>
      </c>
      <c r="AF425" s="114" t="s">
        <v>42</v>
      </c>
      <c r="AG425" s="114" t="s">
        <v>69</v>
      </c>
      <c r="AI425" s="104">
        <v>228</v>
      </c>
      <c r="AJ425">
        <v>2394</v>
      </c>
    </row>
    <row r="426" spans="2:36" hidden="1" x14ac:dyDescent="0.25">
      <c r="B426" s="83" t="s">
        <v>318</v>
      </c>
      <c r="C426" s="83">
        <v>2</v>
      </c>
      <c r="D426" s="87"/>
      <c r="E426" s="88">
        <v>39864</v>
      </c>
      <c r="F426" s="104">
        <f t="shared" si="46"/>
        <v>501</v>
      </c>
      <c r="G426" s="89">
        <v>40092</v>
      </c>
      <c r="H426" s="89">
        <v>40365</v>
      </c>
      <c r="I426" s="104">
        <f t="shared" si="45"/>
        <v>228</v>
      </c>
      <c r="J426" s="19">
        <f t="shared" si="51"/>
        <v>273</v>
      </c>
      <c r="K426" t="s">
        <v>69</v>
      </c>
      <c r="L426" s="92">
        <v>6.47</v>
      </c>
      <c r="M426" s="19">
        <f t="shared" si="47"/>
        <v>0</v>
      </c>
      <c r="N426" s="19">
        <f t="shared" si="48"/>
        <v>0</v>
      </c>
      <c r="O426" s="19">
        <f t="shared" si="49"/>
        <v>1</v>
      </c>
      <c r="P426" s="19">
        <f t="shared" si="50"/>
        <v>1</v>
      </c>
      <c r="Q426" s="92">
        <v>6</v>
      </c>
      <c r="R426" s="92">
        <v>19</v>
      </c>
      <c r="S426" s="83">
        <v>0</v>
      </c>
      <c r="T426" s="130">
        <v>2</v>
      </c>
      <c r="U426" s="130">
        <v>12</v>
      </c>
      <c r="V426" s="92">
        <v>50</v>
      </c>
      <c r="W426" s="92">
        <v>0</v>
      </c>
      <c r="X426" s="92">
        <v>2.5</v>
      </c>
      <c r="Y426" s="92">
        <v>0.35</v>
      </c>
      <c r="Z426" s="92">
        <v>3.5</v>
      </c>
      <c r="AA426" s="92">
        <v>0.35</v>
      </c>
      <c r="AB426" s="83">
        <v>0</v>
      </c>
      <c r="AC426" s="83">
        <v>0</v>
      </c>
      <c r="AD426" s="83">
        <v>0</v>
      </c>
      <c r="AE426" s="92" t="s">
        <v>67</v>
      </c>
      <c r="AF426" s="142" t="s">
        <v>319</v>
      </c>
      <c r="AG426" s="119" t="s">
        <v>285</v>
      </c>
      <c r="AI426" s="104">
        <v>228</v>
      </c>
      <c r="AJ426">
        <v>2396</v>
      </c>
    </row>
    <row r="427" spans="2:36" hidden="1" x14ac:dyDescent="0.25">
      <c r="B427" s="24" t="s">
        <v>318</v>
      </c>
      <c r="C427" s="24">
        <v>2</v>
      </c>
      <c r="E427" s="88">
        <v>39864</v>
      </c>
      <c r="F427" s="104">
        <f t="shared" si="46"/>
        <v>501</v>
      </c>
      <c r="G427" s="89">
        <v>40092</v>
      </c>
      <c r="H427" s="89">
        <v>40365</v>
      </c>
      <c r="I427" s="104">
        <f t="shared" si="45"/>
        <v>228</v>
      </c>
      <c r="J427" s="19">
        <f t="shared" si="51"/>
        <v>273</v>
      </c>
      <c r="K427" t="s">
        <v>69</v>
      </c>
      <c r="L427" s="92">
        <v>6.47</v>
      </c>
      <c r="M427" s="19">
        <f t="shared" si="47"/>
        <v>0</v>
      </c>
      <c r="N427" s="19">
        <f t="shared" si="48"/>
        <v>0</v>
      </c>
      <c r="O427" s="19">
        <f t="shared" si="49"/>
        <v>1</v>
      </c>
      <c r="P427" s="19">
        <f t="shared" si="50"/>
        <v>1</v>
      </c>
      <c r="Q427" s="92">
        <v>6</v>
      </c>
      <c r="R427" s="92">
        <v>19</v>
      </c>
      <c r="S427" s="90">
        <v>0</v>
      </c>
      <c r="T427" s="130">
        <v>2</v>
      </c>
      <c r="U427" s="130">
        <v>12</v>
      </c>
      <c r="V427" s="92">
        <v>50</v>
      </c>
      <c r="W427" s="92">
        <v>0</v>
      </c>
      <c r="X427" s="92">
        <v>2.5</v>
      </c>
      <c r="Y427" s="92">
        <v>0.35</v>
      </c>
      <c r="Z427" s="92">
        <v>3.5</v>
      </c>
      <c r="AA427" s="92">
        <v>0.35</v>
      </c>
      <c r="AB427" s="83">
        <v>0</v>
      </c>
      <c r="AC427" s="83">
        <v>0</v>
      </c>
      <c r="AD427" s="90">
        <v>0</v>
      </c>
      <c r="AE427" s="92" t="s">
        <v>67</v>
      </c>
      <c r="AF427" s="142" t="s">
        <v>319</v>
      </c>
      <c r="AG427" s="119" t="s">
        <v>285</v>
      </c>
      <c r="AI427" s="104">
        <v>501</v>
      </c>
      <c r="AJ427">
        <v>2401</v>
      </c>
    </row>
    <row r="428" spans="2:36" hidden="1" x14ac:dyDescent="0.25">
      <c r="B428" s="24" t="s">
        <v>318</v>
      </c>
      <c r="C428" s="24">
        <v>2</v>
      </c>
      <c r="E428" s="27">
        <v>39864</v>
      </c>
      <c r="F428" s="104">
        <f t="shared" si="46"/>
        <v>501</v>
      </c>
      <c r="G428" s="25">
        <v>40365</v>
      </c>
      <c r="H428" s="25">
        <v>40365</v>
      </c>
      <c r="I428" s="104">
        <f t="shared" si="45"/>
        <v>501</v>
      </c>
      <c r="J428" s="19">
        <f t="shared" si="51"/>
        <v>0</v>
      </c>
      <c r="K428" t="s">
        <v>69</v>
      </c>
      <c r="L428" s="4">
        <v>6.44</v>
      </c>
      <c r="M428" s="19">
        <f t="shared" si="47"/>
        <v>0</v>
      </c>
      <c r="N428" s="19">
        <f t="shared" si="48"/>
        <v>0</v>
      </c>
      <c r="O428" s="19">
        <f t="shared" si="49"/>
        <v>0</v>
      </c>
      <c r="P428" s="19">
        <f t="shared" si="50"/>
        <v>0</v>
      </c>
      <c r="Q428" s="4">
        <v>2</v>
      </c>
      <c r="R428" s="4">
        <v>61</v>
      </c>
      <c r="S428" s="90">
        <v>0</v>
      </c>
      <c r="T428" s="125">
        <v>0</v>
      </c>
      <c r="U428" s="125">
        <v>0</v>
      </c>
      <c r="V428" s="92">
        <v>50</v>
      </c>
      <c r="W428" s="4">
        <v>0</v>
      </c>
      <c r="X428" s="4">
        <v>2.5</v>
      </c>
      <c r="Y428" s="4">
        <v>0.35</v>
      </c>
      <c r="Z428" s="4">
        <v>3.5</v>
      </c>
      <c r="AA428" s="4">
        <v>0.35</v>
      </c>
      <c r="AB428" s="90">
        <v>0</v>
      </c>
      <c r="AC428" s="90">
        <v>0</v>
      </c>
      <c r="AD428" s="90">
        <v>0</v>
      </c>
      <c r="AE428" s="4" t="s">
        <v>67</v>
      </c>
      <c r="AF428" s="118" t="s">
        <v>42</v>
      </c>
      <c r="AG428" s="118" t="s">
        <v>285</v>
      </c>
      <c r="AI428" s="104">
        <v>501</v>
      </c>
      <c r="AJ428">
        <v>2408</v>
      </c>
    </row>
    <row r="429" spans="2:36" hidden="1" x14ac:dyDescent="0.25">
      <c r="B429" s="24" t="s">
        <v>318</v>
      </c>
      <c r="C429" s="24">
        <v>2</v>
      </c>
      <c r="E429" s="27">
        <v>39864</v>
      </c>
      <c r="F429" s="104">
        <f t="shared" si="46"/>
        <v>501</v>
      </c>
      <c r="G429" s="25">
        <v>40365</v>
      </c>
      <c r="H429" s="25">
        <v>40365</v>
      </c>
      <c r="I429" s="104">
        <f t="shared" si="45"/>
        <v>501</v>
      </c>
      <c r="J429" s="19">
        <f t="shared" si="51"/>
        <v>0</v>
      </c>
      <c r="K429" t="s">
        <v>69</v>
      </c>
      <c r="L429" s="4">
        <v>6.44</v>
      </c>
      <c r="M429" s="19">
        <f t="shared" si="47"/>
        <v>0</v>
      </c>
      <c r="N429" s="19">
        <f t="shared" si="48"/>
        <v>0</v>
      </c>
      <c r="O429" s="19">
        <f t="shared" si="49"/>
        <v>0</v>
      </c>
      <c r="P429" s="19">
        <f t="shared" si="50"/>
        <v>0</v>
      </c>
      <c r="Q429" s="4">
        <v>2</v>
      </c>
      <c r="R429" s="4">
        <v>61</v>
      </c>
      <c r="S429" s="90">
        <v>0</v>
      </c>
      <c r="T429" s="125">
        <v>0</v>
      </c>
      <c r="U429" s="125">
        <v>0</v>
      </c>
      <c r="V429" s="92">
        <v>50</v>
      </c>
      <c r="W429" s="4">
        <v>0</v>
      </c>
      <c r="X429" s="4">
        <v>2.5</v>
      </c>
      <c r="Y429" s="4">
        <v>0.35</v>
      </c>
      <c r="Z429" s="4">
        <v>3.5</v>
      </c>
      <c r="AA429" s="4">
        <v>0.35</v>
      </c>
      <c r="AB429" s="90">
        <v>0</v>
      </c>
      <c r="AC429" s="90">
        <v>0</v>
      </c>
      <c r="AD429" s="90">
        <v>0</v>
      </c>
      <c r="AE429" s="4" t="s">
        <v>67</v>
      </c>
      <c r="AF429" s="118" t="s">
        <v>42</v>
      </c>
      <c r="AG429" s="118" t="s">
        <v>285</v>
      </c>
      <c r="AI429" s="104">
        <v>882</v>
      </c>
      <c r="AJ429">
        <v>2409</v>
      </c>
    </row>
    <row r="430" spans="2:36" x14ac:dyDescent="0.25">
      <c r="B430" s="24" t="s">
        <v>215</v>
      </c>
      <c r="C430" s="24">
        <v>2</v>
      </c>
      <c r="E430" s="27">
        <v>39868</v>
      </c>
      <c r="F430" s="104">
        <f t="shared" si="46"/>
        <v>2360</v>
      </c>
      <c r="G430" s="25">
        <v>40750</v>
      </c>
      <c r="H430" s="25">
        <v>42228</v>
      </c>
      <c r="I430" s="104">
        <f t="shared" si="45"/>
        <v>882</v>
      </c>
      <c r="J430" s="19">
        <f t="shared" si="51"/>
        <v>1478</v>
      </c>
      <c r="K430" s="83" t="s">
        <v>65</v>
      </c>
      <c r="L430" s="24">
        <v>6.01</v>
      </c>
      <c r="M430" s="19">
        <f t="shared" si="47"/>
        <v>1</v>
      </c>
      <c r="N430" s="19">
        <f t="shared" si="48"/>
        <v>1</v>
      </c>
      <c r="O430" s="19">
        <f t="shared" si="49"/>
        <v>1</v>
      </c>
      <c r="P430" s="19">
        <f t="shared" si="50"/>
        <v>1</v>
      </c>
      <c r="Q430" s="24">
        <f>46+54</f>
        <v>100</v>
      </c>
      <c r="R430" s="24">
        <f>44+41</f>
        <v>85</v>
      </c>
      <c r="S430" s="24">
        <v>0</v>
      </c>
      <c r="T430" s="129">
        <v>0</v>
      </c>
      <c r="U430" s="129">
        <v>0</v>
      </c>
      <c r="V430" s="24">
        <v>60</v>
      </c>
      <c r="W430" s="24">
        <v>1</v>
      </c>
      <c r="X430" s="24">
        <v>3.5</v>
      </c>
      <c r="Y430" s="24">
        <v>0.35</v>
      </c>
      <c r="Z430" s="24">
        <v>3.5</v>
      </c>
      <c r="AA430" s="24">
        <v>0.35</v>
      </c>
      <c r="AB430" s="24">
        <v>0</v>
      </c>
      <c r="AC430" s="24">
        <v>0</v>
      </c>
      <c r="AD430" s="24">
        <v>0</v>
      </c>
      <c r="AE430" s="24" t="s">
        <v>47</v>
      </c>
      <c r="AF430" s="114" t="s">
        <v>42</v>
      </c>
      <c r="AG430" s="114" t="s">
        <v>65</v>
      </c>
      <c r="AI430" s="104">
        <v>910</v>
      </c>
      <c r="AJ430">
        <v>2413</v>
      </c>
    </row>
    <row r="431" spans="2:36" x14ac:dyDescent="0.25">
      <c r="B431" s="24" t="s">
        <v>215</v>
      </c>
      <c r="C431" s="24">
        <v>2</v>
      </c>
      <c r="E431" s="27">
        <v>39868</v>
      </c>
      <c r="F431" s="104">
        <f t="shared" si="46"/>
        <v>2360</v>
      </c>
      <c r="G431" s="25">
        <v>40778</v>
      </c>
      <c r="H431" s="25">
        <v>42228</v>
      </c>
      <c r="I431" s="104">
        <f t="shared" si="45"/>
        <v>910</v>
      </c>
      <c r="J431" s="19">
        <f t="shared" si="51"/>
        <v>1450</v>
      </c>
      <c r="K431" s="83" t="s">
        <v>65</v>
      </c>
      <c r="L431" s="4">
        <v>6</v>
      </c>
      <c r="M431" s="19">
        <f t="shared" si="47"/>
        <v>1</v>
      </c>
      <c r="N431" s="19">
        <f t="shared" si="48"/>
        <v>1</v>
      </c>
      <c r="O431" s="19">
        <f t="shared" si="49"/>
        <v>1</v>
      </c>
      <c r="P431" s="19">
        <f t="shared" si="50"/>
        <v>1</v>
      </c>
      <c r="Q431" s="4">
        <f>38+39</f>
        <v>77</v>
      </c>
      <c r="R431" s="4">
        <f>29+22</f>
        <v>51</v>
      </c>
      <c r="S431" s="24">
        <v>0</v>
      </c>
      <c r="T431" s="125">
        <v>0</v>
      </c>
      <c r="U431" s="125">
        <v>0</v>
      </c>
      <c r="V431" s="24">
        <v>60</v>
      </c>
      <c r="W431" s="24">
        <v>1</v>
      </c>
      <c r="X431" s="24">
        <v>3.5</v>
      </c>
      <c r="Y431" s="24">
        <v>0.35</v>
      </c>
      <c r="Z431" s="24">
        <v>3.5</v>
      </c>
      <c r="AA431" s="24">
        <v>0.35</v>
      </c>
      <c r="AB431" s="24">
        <v>0</v>
      </c>
      <c r="AC431" s="24">
        <v>0</v>
      </c>
      <c r="AD431" s="24">
        <v>0</v>
      </c>
      <c r="AE431" s="24" t="s">
        <v>47</v>
      </c>
      <c r="AF431" s="118" t="s">
        <v>42</v>
      </c>
      <c r="AG431" s="114" t="s">
        <v>65</v>
      </c>
      <c r="AI431" s="104">
        <v>938</v>
      </c>
      <c r="AJ431">
        <v>2414</v>
      </c>
    </row>
    <row r="432" spans="2:36" x14ac:dyDescent="0.25">
      <c r="B432" s="24" t="s">
        <v>215</v>
      </c>
      <c r="C432" s="24">
        <v>2</v>
      </c>
      <c r="E432" s="27">
        <v>39868</v>
      </c>
      <c r="F432" s="104">
        <f t="shared" si="46"/>
        <v>2360</v>
      </c>
      <c r="G432" s="25">
        <v>40806</v>
      </c>
      <c r="H432" s="25">
        <v>42228</v>
      </c>
      <c r="I432" s="104">
        <f t="shared" si="45"/>
        <v>938</v>
      </c>
      <c r="J432" s="19">
        <f t="shared" si="51"/>
        <v>1422</v>
      </c>
      <c r="K432" s="83" t="s">
        <v>65</v>
      </c>
      <c r="L432" s="4">
        <v>5.96</v>
      </c>
      <c r="M432" s="19">
        <f t="shared" si="47"/>
        <v>1</v>
      </c>
      <c r="N432" s="19">
        <f t="shared" si="48"/>
        <v>1</v>
      </c>
      <c r="O432" s="19">
        <f t="shared" si="49"/>
        <v>1</v>
      </c>
      <c r="P432" s="19">
        <f t="shared" si="50"/>
        <v>1</v>
      </c>
      <c r="Q432" s="4">
        <f>14+13</f>
        <v>27</v>
      </c>
      <c r="R432" s="4">
        <f>6+2</f>
        <v>8</v>
      </c>
      <c r="S432" s="24">
        <v>0</v>
      </c>
      <c r="T432" s="125">
        <v>0</v>
      </c>
      <c r="U432" s="125">
        <v>0</v>
      </c>
      <c r="V432" s="24">
        <v>60</v>
      </c>
      <c r="W432" s="24">
        <v>1</v>
      </c>
      <c r="X432" s="24">
        <v>3.5</v>
      </c>
      <c r="Y432" s="24">
        <v>0.35</v>
      </c>
      <c r="Z432" s="24">
        <v>3.5</v>
      </c>
      <c r="AA432" s="24">
        <v>0.35</v>
      </c>
      <c r="AB432" s="24">
        <v>0</v>
      </c>
      <c r="AC432" s="24">
        <v>0</v>
      </c>
      <c r="AD432" s="24">
        <v>0</v>
      </c>
      <c r="AE432" s="24" t="s">
        <v>47</v>
      </c>
      <c r="AF432" s="118" t="s">
        <v>42</v>
      </c>
      <c r="AG432" s="114" t="s">
        <v>65</v>
      </c>
      <c r="AI432" s="104">
        <v>1092</v>
      </c>
      <c r="AJ432">
        <v>2420</v>
      </c>
    </row>
    <row r="433" spans="2:36" x14ac:dyDescent="0.25">
      <c r="B433" s="24" t="s">
        <v>215</v>
      </c>
      <c r="C433" s="24">
        <v>2</v>
      </c>
      <c r="E433" s="27">
        <v>39868</v>
      </c>
      <c r="F433" s="104">
        <f t="shared" si="46"/>
        <v>2360</v>
      </c>
      <c r="G433" s="25">
        <v>40960</v>
      </c>
      <c r="H433" s="25">
        <v>42228</v>
      </c>
      <c r="I433" s="104">
        <f t="shared" si="45"/>
        <v>1092</v>
      </c>
      <c r="J433" s="19">
        <f t="shared" si="51"/>
        <v>1268</v>
      </c>
      <c r="K433" s="83" t="s">
        <v>65</v>
      </c>
      <c r="L433" s="4">
        <v>5.79</v>
      </c>
      <c r="M433" s="19">
        <f t="shared" si="47"/>
        <v>1</v>
      </c>
      <c r="N433" s="19">
        <f t="shared" si="48"/>
        <v>1</v>
      </c>
      <c r="O433" s="19">
        <f t="shared" si="49"/>
        <v>1</v>
      </c>
      <c r="P433" s="19">
        <f t="shared" si="50"/>
        <v>1</v>
      </c>
      <c r="Q433" s="4">
        <f>10+17</f>
        <v>27</v>
      </c>
      <c r="R433" s="4">
        <f>18+6</f>
        <v>24</v>
      </c>
      <c r="S433" s="24">
        <v>0</v>
      </c>
      <c r="T433" s="125">
        <v>0</v>
      </c>
      <c r="U433" s="125">
        <v>0</v>
      </c>
      <c r="V433" s="24">
        <v>60</v>
      </c>
      <c r="W433" s="24">
        <v>1</v>
      </c>
      <c r="X433" s="24">
        <v>3.5</v>
      </c>
      <c r="Y433" s="24">
        <v>0.35</v>
      </c>
      <c r="Z433" s="24">
        <v>3.5</v>
      </c>
      <c r="AA433" s="24">
        <v>0.35</v>
      </c>
      <c r="AB433" s="24">
        <v>0</v>
      </c>
      <c r="AC433" s="24">
        <v>0</v>
      </c>
      <c r="AD433" s="24">
        <v>0</v>
      </c>
      <c r="AE433" s="24" t="s">
        <v>47</v>
      </c>
      <c r="AF433" s="118" t="s">
        <v>42</v>
      </c>
      <c r="AG433" s="114" t="s">
        <v>65</v>
      </c>
      <c r="AI433" s="104">
        <v>1295</v>
      </c>
      <c r="AJ433">
        <v>2421</v>
      </c>
    </row>
    <row r="434" spans="2:36" x14ac:dyDescent="0.25">
      <c r="B434" s="24" t="s">
        <v>215</v>
      </c>
      <c r="C434" s="24">
        <v>2</v>
      </c>
      <c r="E434" s="27">
        <v>39868</v>
      </c>
      <c r="F434" s="104">
        <f t="shared" si="46"/>
        <v>2360</v>
      </c>
      <c r="G434" s="25">
        <v>41163</v>
      </c>
      <c r="H434" s="25">
        <v>42228</v>
      </c>
      <c r="I434" s="104">
        <f t="shared" si="45"/>
        <v>1295</v>
      </c>
      <c r="J434" s="19">
        <f t="shared" si="51"/>
        <v>1065</v>
      </c>
      <c r="K434" s="83" t="s">
        <v>65</v>
      </c>
      <c r="L434" s="4">
        <v>5.33</v>
      </c>
      <c r="M434" s="19">
        <f t="shared" si="47"/>
        <v>1</v>
      </c>
      <c r="N434" s="19">
        <f t="shared" si="48"/>
        <v>1</v>
      </c>
      <c r="O434" s="19">
        <f t="shared" si="49"/>
        <v>1</v>
      </c>
      <c r="P434" s="19">
        <f t="shared" si="50"/>
        <v>1</v>
      </c>
      <c r="Q434" s="4">
        <f>28+27</f>
        <v>55</v>
      </c>
      <c r="R434" s="4">
        <f>16+5</f>
        <v>21</v>
      </c>
      <c r="S434" s="24">
        <v>0</v>
      </c>
      <c r="T434" s="125">
        <v>0</v>
      </c>
      <c r="U434" s="125">
        <v>0</v>
      </c>
      <c r="V434" s="24">
        <v>60</v>
      </c>
      <c r="W434" s="24">
        <v>1</v>
      </c>
      <c r="X434" s="24">
        <v>3.5</v>
      </c>
      <c r="Y434" s="24">
        <v>0.35</v>
      </c>
      <c r="Z434" s="24">
        <v>3.5</v>
      </c>
      <c r="AA434" s="24">
        <v>0.35</v>
      </c>
      <c r="AB434" s="24">
        <v>0</v>
      </c>
      <c r="AC434" s="24">
        <v>0</v>
      </c>
      <c r="AD434" s="24">
        <v>0</v>
      </c>
      <c r="AE434" s="24" t="s">
        <v>47</v>
      </c>
      <c r="AF434" s="118" t="s">
        <v>42</v>
      </c>
      <c r="AG434" s="114" t="s">
        <v>65</v>
      </c>
      <c r="AI434" s="104">
        <v>1491</v>
      </c>
      <c r="AJ434">
        <v>2432</v>
      </c>
    </row>
    <row r="435" spans="2:36" x14ac:dyDescent="0.25">
      <c r="B435" s="24" t="s">
        <v>215</v>
      </c>
      <c r="C435" s="24">
        <v>2</v>
      </c>
      <c r="E435" s="27">
        <v>39868</v>
      </c>
      <c r="F435" s="104">
        <f t="shared" si="46"/>
        <v>2360</v>
      </c>
      <c r="G435" s="25">
        <v>41359</v>
      </c>
      <c r="H435" s="25">
        <v>42228</v>
      </c>
      <c r="I435" s="104">
        <f t="shared" si="45"/>
        <v>1491</v>
      </c>
      <c r="J435" s="19">
        <f t="shared" si="51"/>
        <v>869</v>
      </c>
      <c r="K435" s="83" t="s">
        <v>65</v>
      </c>
      <c r="L435" s="4">
        <v>5.2</v>
      </c>
      <c r="M435" s="19">
        <f t="shared" si="47"/>
        <v>1</v>
      </c>
      <c r="N435" s="19">
        <f t="shared" si="48"/>
        <v>1</v>
      </c>
      <c r="O435" s="19">
        <f t="shared" si="49"/>
        <v>1</v>
      </c>
      <c r="P435" s="19">
        <f t="shared" si="50"/>
        <v>1</v>
      </c>
      <c r="Q435" s="4">
        <f>37+33</f>
        <v>70</v>
      </c>
      <c r="R435" s="4">
        <f>24+10</f>
        <v>34</v>
      </c>
      <c r="S435" s="24">
        <v>0</v>
      </c>
      <c r="T435" s="125">
        <v>0</v>
      </c>
      <c r="U435" s="125">
        <v>1</v>
      </c>
      <c r="V435" s="24">
        <v>60</v>
      </c>
      <c r="W435" s="24">
        <v>1</v>
      </c>
      <c r="X435" s="24">
        <v>3.5</v>
      </c>
      <c r="Y435" s="24">
        <v>0.35</v>
      </c>
      <c r="Z435" s="24">
        <v>3.5</v>
      </c>
      <c r="AA435" s="24">
        <v>0.35</v>
      </c>
      <c r="AB435" s="24">
        <v>0</v>
      </c>
      <c r="AC435" s="24">
        <v>0</v>
      </c>
      <c r="AD435" s="24">
        <v>0</v>
      </c>
      <c r="AE435" s="24" t="s">
        <v>47</v>
      </c>
      <c r="AF435" s="118" t="s">
        <v>46</v>
      </c>
      <c r="AG435" s="114" t="s">
        <v>65</v>
      </c>
      <c r="AI435" s="104">
        <v>1666</v>
      </c>
      <c r="AJ435">
        <v>2440</v>
      </c>
    </row>
    <row r="436" spans="2:36" x14ac:dyDescent="0.25">
      <c r="B436" s="24" t="s">
        <v>215</v>
      </c>
      <c r="C436" s="24">
        <v>2</v>
      </c>
      <c r="E436" s="27">
        <v>39868</v>
      </c>
      <c r="F436" s="104">
        <f t="shared" si="46"/>
        <v>2360</v>
      </c>
      <c r="G436" s="25">
        <v>41534</v>
      </c>
      <c r="H436" s="25">
        <v>42228</v>
      </c>
      <c r="I436" s="104">
        <f t="shared" si="45"/>
        <v>1666</v>
      </c>
      <c r="J436" s="19">
        <f t="shared" si="51"/>
        <v>694</v>
      </c>
      <c r="K436" s="83" t="s">
        <v>65</v>
      </c>
      <c r="L436" s="4">
        <v>5.17</v>
      </c>
      <c r="M436" s="19">
        <f t="shared" si="47"/>
        <v>1</v>
      </c>
      <c r="N436" s="19">
        <f t="shared" si="48"/>
        <v>1</v>
      </c>
      <c r="O436" s="19">
        <f t="shared" si="49"/>
        <v>1</v>
      </c>
      <c r="P436" s="19">
        <f t="shared" si="50"/>
        <v>1</v>
      </c>
      <c r="Q436" s="4">
        <f>46+45</f>
        <v>91</v>
      </c>
      <c r="R436" s="4">
        <f>48+34</f>
        <v>82</v>
      </c>
      <c r="S436" s="24">
        <v>0</v>
      </c>
      <c r="T436" s="125">
        <v>0</v>
      </c>
      <c r="U436" s="125">
        <v>2</v>
      </c>
      <c r="V436" s="24">
        <v>60</v>
      </c>
      <c r="W436" s="24">
        <v>1</v>
      </c>
      <c r="X436" s="24">
        <v>2</v>
      </c>
      <c r="Y436" s="24">
        <v>0.35</v>
      </c>
      <c r="Z436" s="24">
        <v>2.5</v>
      </c>
      <c r="AA436" s="24">
        <v>0.35</v>
      </c>
      <c r="AB436" s="24">
        <v>0</v>
      </c>
      <c r="AC436" s="24">
        <v>0</v>
      </c>
      <c r="AD436" s="24">
        <v>0</v>
      </c>
      <c r="AE436" s="24" t="s">
        <v>47</v>
      </c>
      <c r="AF436" s="118" t="s">
        <v>77</v>
      </c>
      <c r="AG436" s="114" t="s">
        <v>65</v>
      </c>
      <c r="AI436" s="104">
        <v>1848</v>
      </c>
      <c r="AJ436">
        <v>2441</v>
      </c>
    </row>
    <row r="437" spans="2:36" x14ac:dyDescent="0.25">
      <c r="B437" s="24" t="s">
        <v>215</v>
      </c>
      <c r="C437" s="24">
        <v>2</v>
      </c>
      <c r="E437" s="27">
        <v>39868</v>
      </c>
      <c r="F437" s="104">
        <f t="shared" si="46"/>
        <v>2360</v>
      </c>
      <c r="G437" s="27">
        <v>41716</v>
      </c>
      <c r="H437" s="25">
        <v>42228</v>
      </c>
      <c r="I437" s="104">
        <f t="shared" si="45"/>
        <v>1848</v>
      </c>
      <c r="J437" s="19">
        <f t="shared" si="51"/>
        <v>512</v>
      </c>
      <c r="K437" s="83" t="s">
        <v>65</v>
      </c>
      <c r="L437" s="24">
        <v>5.16</v>
      </c>
      <c r="M437" s="19">
        <f t="shared" si="47"/>
        <v>0</v>
      </c>
      <c r="N437" s="19">
        <f t="shared" si="48"/>
        <v>1</v>
      </c>
      <c r="O437" s="19">
        <f t="shared" si="49"/>
        <v>1</v>
      </c>
      <c r="P437" s="19">
        <f t="shared" si="50"/>
        <v>1</v>
      </c>
      <c r="Q437" s="24">
        <f>49+43</f>
        <v>92</v>
      </c>
      <c r="R437" s="24">
        <f>49+35</f>
        <v>84</v>
      </c>
      <c r="S437" s="24">
        <v>0</v>
      </c>
      <c r="T437" s="129">
        <v>0</v>
      </c>
      <c r="U437" s="129">
        <v>0</v>
      </c>
      <c r="V437" s="24">
        <v>60</v>
      </c>
      <c r="W437" s="24">
        <v>1</v>
      </c>
      <c r="X437" s="24">
        <v>2</v>
      </c>
      <c r="Y437" s="24">
        <v>0.35</v>
      </c>
      <c r="Z437" s="24">
        <v>2.5</v>
      </c>
      <c r="AA437" s="24">
        <v>0.35</v>
      </c>
      <c r="AB437" s="24">
        <v>0</v>
      </c>
      <c r="AC437" s="24">
        <v>0</v>
      </c>
      <c r="AD437" s="24">
        <v>0</v>
      </c>
      <c r="AE437" s="24" t="s">
        <v>47</v>
      </c>
      <c r="AF437" s="114" t="s">
        <v>42</v>
      </c>
      <c r="AG437" s="114" t="s">
        <v>65</v>
      </c>
      <c r="AI437" s="104">
        <v>2029</v>
      </c>
      <c r="AJ437">
        <v>2444</v>
      </c>
    </row>
    <row r="438" spans="2:36" x14ac:dyDescent="0.25">
      <c r="B438" s="24" t="s">
        <v>215</v>
      </c>
      <c r="C438" s="24">
        <v>2</v>
      </c>
      <c r="E438" s="27">
        <v>39868</v>
      </c>
      <c r="F438" s="104">
        <f t="shared" si="46"/>
        <v>2360</v>
      </c>
      <c r="G438" s="25">
        <v>41897</v>
      </c>
      <c r="H438" s="25">
        <v>42228</v>
      </c>
      <c r="I438" s="104">
        <f t="shared" si="45"/>
        <v>2029</v>
      </c>
      <c r="J438" s="19">
        <f t="shared" si="51"/>
        <v>331</v>
      </c>
      <c r="K438" s="83" t="s">
        <v>65</v>
      </c>
      <c r="L438" s="4">
        <v>5.14</v>
      </c>
      <c r="M438" s="19">
        <f t="shared" si="47"/>
        <v>0</v>
      </c>
      <c r="N438" s="19">
        <f t="shared" si="48"/>
        <v>0</v>
      </c>
      <c r="O438" s="19">
        <f t="shared" si="49"/>
        <v>1</v>
      </c>
      <c r="P438" s="19">
        <f t="shared" si="50"/>
        <v>1</v>
      </c>
      <c r="Q438" s="4">
        <f>65+30</f>
        <v>95</v>
      </c>
      <c r="R438" s="4">
        <f>61+25</f>
        <v>86</v>
      </c>
      <c r="S438" s="24">
        <v>0</v>
      </c>
      <c r="T438" s="125">
        <v>0</v>
      </c>
      <c r="U438" s="125">
        <v>0</v>
      </c>
      <c r="V438" s="24">
        <v>60</v>
      </c>
      <c r="W438" s="24">
        <v>1</v>
      </c>
      <c r="X438" s="24">
        <v>2</v>
      </c>
      <c r="Y438" s="24">
        <v>0.35</v>
      </c>
      <c r="Z438" s="24">
        <v>2.5</v>
      </c>
      <c r="AA438" s="24">
        <v>0.35</v>
      </c>
      <c r="AB438" s="24">
        <v>0</v>
      </c>
      <c r="AC438" s="24">
        <v>0</v>
      </c>
      <c r="AD438" s="24">
        <v>0</v>
      </c>
      <c r="AE438" s="24" t="s">
        <v>47</v>
      </c>
      <c r="AF438" s="118" t="s">
        <v>42</v>
      </c>
      <c r="AG438" s="114" t="s">
        <v>65</v>
      </c>
      <c r="AI438" s="104">
        <v>2198</v>
      </c>
      <c r="AJ438">
        <v>2450</v>
      </c>
    </row>
    <row r="439" spans="2:36" x14ac:dyDescent="0.25">
      <c r="B439" s="24" t="s">
        <v>215</v>
      </c>
      <c r="C439" s="24">
        <v>2</v>
      </c>
      <c r="E439" s="27">
        <v>39868</v>
      </c>
      <c r="F439" s="104">
        <f t="shared" si="46"/>
        <v>2360</v>
      </c>
      <c r="G439" s="25">
        <v>42066</v>
      </c>
      <c r="H439" s="25">
        <v>42228</v>
      </c>
      <c r="I439" s="104">
        <f t="shared" si="45"/>
        <v>2198</v>
      </c>
      <c r="J439" s="19">
        <f t="shared" si="51"/>
        <v>162</v>
      </c>
      <c r="K439" s="83" t="s">
        <v>65</v>
      </c>
      <c r="L439" s="4">
        <v>5.04</v>
      </c>
      <c r="M439" s="19">
        <f t="shared" si="47"/>
        <v>0</v>
      </c>
      <c r="N439" s="19">
        <f t="shared" si="48"/>
        <v>0</v>
      </c>
      <c r="O439" s="19">
        <f t="shared" si="49"/>
        <v>0</v>
      </c>
      <c r="P439" s="19">
        <f t="shared" si="50"/>
        <v>1</v>
      </c>
      <c r="Q439" s="4">
        <f>54+43</f>
        <v>97</v>
      </c>
      <c r="R439" s="4">
        <f>52+39</f>
        <v>91</v>
      </c>
      <c r="S439" s="24">
        <v>0</v>
      </c>
      <c r="T439" s="125">
        <v>0</v>
      </c>
      <c r="U439" s="125">
        <v>1</v>
      </c>
      <c r="V439" s="24">
        <v>60</v>
      </c>
      <c r="W439" s="24">
        <v>1</v>
      </c>
      <c r="X439" s="24">
        <v>2</v>
      </c>
      <c r="Y439" s="24">
        <v>0.35</v>
      </c>
      <c r="Z439" s="24">
        <v>2.5</v>
      </c>
      <c r="AA439" s="24">
        <v>0.35</v>
      </c>
      <c r="AB439" s="24">
        <v>0</v>
      </c>
      <c r="AC439" s="24">
        <v>0</v>
      </c>
      <c r="AD439" s="24">
        <v>0</v>
      </c>
      <c r="AE439" s="24" t="s">
        <v>47</v>
      </c>
      <c r="AF439" s="118" t="s">
        <v>46</v>
      </c>
      <c r="AG439" s="114" t="s">
        <v>65</v>
      </c>
      <c r="AI439" s="104">
        <v>2289</v>
      </c>
      <c r="AJ439">
        <v>2457</v>
      </c>
    </row>
    <row r="440" spans="2:36" x14ac:dyDescent="0.25">
      <c r="B440" s="24" t="s">
        <v>215</v>
      </c>
      <c r="C440" s="24">
        <v>2</v>
      </c>
      <c r="E440" s="27">
        <v>39868</v>
      </c>
      <c r="F440" s="104">
        <f t="shared" si="46"/>
        <v>2360</v>
      </c>
      <c r="G440" s="25">
        <v>42157</v>
      </c>
      <c r="H440" s="25">
        <v>42228</v>
      </c>
      <c r="I440" s="104">
        <f t="shared" si="45"/>
        <v>2289</v>
      </c>
      <c r="J440" s="19">
        <f t="shared" si="51"/>
        <v>71</v>
      </c>
      <c r="K440" s="83" t="s">
        <v>65</v>
      </c>
      <c r="L440" s="4">
        <v>4.91</v>
      </c>
      <c r="M440" s="19">
        <f t="shared" si="47"/>
        <v>0</v>
      </c>
      <c r="N440" s="19">
        <f t="shared" si="48"/>
        <v>0</v>
      </c>
      <c r="O440" s="19">
        <f t="shared" si="49"/>
        <v>0</v>
      </c>
      <c r="P440" s="19">
        <f t="shared" si="50"/>
        <v>0</v>
      </c>
      <c r="Q440" s="4">
        <f>54+43</f>
        <v>97</v>
      </c>
      <c r="R440" s="4">
        <f>53+40</f>
        <v>93</v>
      </c>
      <c r="S440" s="24">
        <v>0</v>
      </c>
      <c r="T440" s="125">
        <v>0</v>
      </c>
      <c r="U440" s="125">
        <v>1</v>
      </c>
      <c r="V440" s="24">
        <v>60</v>
      </c>
      <c r="W440" s="24">
        <v>1</v>
      </c>
      <c r="X440" s="24">
        <v>2</v>
      </c>
      <c r="Y440" s="24">
        <v>0.35</v>
      </c>
      <c r="Z440" s="24">
        <v>2.5</v>
      </c>
      <c r="AA440" s="24">
        <v>0.35</v>
      </c>
      <c r="AB440" s="24">
        <v>0</v>
      </c>
      <c r="AC440" s="24">
        <v>0</v>
      </c>
      <c r="AD440" s="24">
        <v>0</v>
      </c>
      <c r="AE440" s="24" t="s">
        <v>47</v>
      </c>
      <c r="AF440" s="118" t="s">
        <v>46</v>
      </c>
      <c r="AG440" s="114" t="s">
        <v>65</v>
      </c>
      <c r="AI440" s="104">
        <v>2360</v>
      </c>
      <c r="AJ440">
        <v>2457</v>
      </c>
    </row>
    <row r="441" spans="2:36" x14ac:dyDescent="0.25">
      <c r="B441" s="24" t="s">
        <v>215</v>
      </c>
      <c r="C441" s="24">
        <v>2</v>
      </c>
      <c r="E441" s="27">
        <v>39868</v>
      </c>
      <c r="F441" s="104">
        <f t="shared" si="46"/>
        <v>2360</v>
      </c>
      <c r="G441" s="25">
        <v>42228</v>
      </c>
      <c r="H441" s="25">
        <v>42228</v>
      </c>
      <c r="I441" s="104">
        <f t="shared" si="45"/>
        <v>2360</v>
      </c>
      <c r="J441" s="19">
        <f t="shared" si="51"/>
        <v>0</v>
      </c>
      <c r="K441" s="83" t="s">
        <v>65</v>
      </c>
      <c r="L441" s="4">
        <v>4.7300000000000004</v>
      </c>
      <c r="M441" s="19">
        <f t="shared" si="47"/>
        <v>0</v>
      </c>
      <c r="N441" s="19">
        <f t="shared" si="48"/>
        <v>0</v>
      </c>
      <c r="O441" s="19">
        <f t="shared" si="49"/>
        <v>0</v>
      </c>
      <c r="P441" s="19">
        <f t="shared" si="50"/>
        <v>0</v>
      </c>
      <c r="Q441" s="4">
        <f>55+42</f>
        <v>97</v>
      </c>
      <c r="R441" s="4">
        <f>52+37</f>
        <v>89</v>
      </c>
      <c r="S441" s="24">
        <v>0</v>
      </c>
      <c r="T441" s="125">
        <v>0</v>
      </c>
      <c r="U441" s="125">
        <v>0</v>
      </c>
      <c r="V441" s="24">
        <v>60</v>
      </c>
      <c r="W441" s="24">
        <v>1</v>
      </c>
      <c r="X441" s="24">
        <v>2</v>
      </c>
      <c r="Y441" s="24">
        <v>0.35</v>
      </c>
      <c r="Z441" s="24">
        <v>2.5</v>
      </c>
      <c r="AA441" s="24">
        <v>0.35</v>
      </c>
      <c r="AB441" s="24">
        <v>0</v>
      </c>
      <c r="AC441" s="24">
        <v>0</v>
      </c>
      <c r="AD441" s="24">
        <v>0</v>
      </c>
      <c r="AE441" s="24" t="s">
        <v>47</v>
      </c>
      <c r="AF441" s="118" t="s">
        <v>42</v>
      </c>
      <c r="AG441" s="114" t="s">
        <v>65</v>
      </c>
      <c r="AI441" s="104">
        <v>344</v>
      </c>
      <c r="AJ441">
        <v>2466</v>
      </c>
    </row>
    <row r="442" spans="2:36" hidden="1" x14ac:dyDescent="0.25">
      <c r="B442" s="24" t="s">
        <v>71</v>
      </c>
      <c r="C442" s="24">
        <v>2</v>
      </c>
      <c r="E442" s="27">
        <v>39909</v>
      </c>
      <c r="F442" s="104">
        <f t="shared" si="46"/>
        <v>2261</v>
      </c>
      <c r="G442" s="25">
        <v>40253</v>
      </c>
      <c r="H442" s="23">
        <v>42170</v>
      </c>
      <c r="I442" s="104">
        <f t="shared" si="45"/>
        <v>344</v>
      </c>
      <c r="J442" s="19">
        <f t="shared" si="51"/>
        <v>1917</v>
      </c>
      <c r="K442" t="s">
        <v>69</v>
      </c>
      <c r="L442" s="24">
        <v>6.46</v>
      </c>
      <c r="M442" s="19">
        <f t="shared" si="47"/>
        <v>1</v>
      </c>
      <c r="N442" s="19">
        <f t="shared" si="48"/>
        <v>1</v>
      </c>
      <c r="O442" s="19">
        <f t="shared" si="49"/>
        <v>1</v>
      </c>
      <c r="P442" s="19">
        <f t="shared" si="50"/>
        <v>1</v>
      </c>
      <c r="Q442" s="24">
        <v>2</v>
      </c>
      <c r="R442" s="24">
        <v>0</v>
      </c>
      <c r="S442" s="24">
        <v>0</v>
      </c>
      <c r="T442" s="127">
        <v>0</v>
      </c>
      <c r="U442" s="127">
        <v>1</v>
      </c>
      <c r="V442" s="24">
        <v>50</v>
      </c>
      <c r="W442" s="24">
        <v>0</v>
      </c>
      <c r="X442" s="24">
        <v>2.5</v>
      </c>
      <c r="Y442" s="24">
        <v>0.35</v>
      </c>
      <c r="Z442" s="24">
        <v>2.5</v>
      </c>
      <c r="AA442" s="24">
        <v>0.35</v>
      </c>
      <c r="AB442" s="24">
        <v>0</v>
      </c>
      <c r="AC442" s="24">
        <v>0</v>
      </c>
      <c r="AD442" s="24">
        <v>0</v>
      </c>
      <c r="AE442" s="24" t="s">
        <v>67</v>
      </c>
      <c r="AF442" s="138" t="s">
        <v>46</v>
      </c>
      <c r="AG442" s="114" t="s">
        <v>285</v>
      </c>
      <c r="AI442" s="104">
        <v>694</v>
      </c>
      <c r="AJ442">
        <v>2472</v>
      </c>
    </row>
    <row r="443" spans="2:36" hidden="1" x14ac:dyDescent="0.25">
      <c r="B443" s="24" t="s">
        <v>71</v>
      </c>
      <c r="C443" s="24">
        <v>2</v>
      </c>
      <c r="E443" s="27">
        <v>39909</v>
      </c>
      <c r="F443" s="104">
        <f t="shared" si="46"/>
        <v>2261</v>
      </c>
      <c r="G443" s="25">
        <v>40603</v>
      </c>
      <c r="H443" s="23">
        <v>42170</v>
      </c>
      <c r="I443" s="104">
        <f t="shared" si="45"/>
        <v>694</v>
      </c>
      <c r="J443" s="19">
        <f t="shared" si="51"/>
        <v>1567</v>
      </c>
      <c r="K443" t="s">
        <v>69</v>
      </c>
      <c r="L443" s="4">
        <v>6.41</v>
      </c>
      <c r="M443" s="19">
        <f t="shared" si="47"/>
        <v>1</v>
      </c>
      <c r="N443" s="19">
        <f t="shared" si="48"/>
        <v>1</v>
      </c>
      <c r="O443" s="19">
        <f t="shared" si="49"/>
        <v>1</v>
      </c>
      <c r="P443" s="19">
        <f t="shared" si="50"/>
        <v>1</v>
      </c>
      <c r="Q443" s="4">
        <v>1</v>
      </c>
      <c r="R443" s="4">
        <v>0</v>
      </c>
      <c r="S443" s="24">
        <v>0</v>
      </c>
      <c r="T443" s="125">
        <v>0</v>
      </c>
      <c r="U443" s="125">
        <v>27</v>
      </c>
      <c r="V443" s="24">
        <v>50</v>
      </c>
      <c r="W443" s="24">
        <v>0</v>
      </c>
      <c r="X443" s="24">
        <v>2.5</v>
      </c>
      <c r="Y443" s="24">
        <v>0.35</v>
      </c>
      <c r="Z443" s="24">
        <v>2.5</v>
      </c>
      <c r="AA443" s="24">
        <v>0.35</v>
      </c>
      <c r="AB443" s="24">
        <v>0</v>
      </c>
      <c r="AC443" s="24">
        <v>0</v>
      </c>
      <c r="AD443" s="24">
        <v>0</v>
      </c>
      <c r="AE443" s="24" t="s">
        <v>67</v>
      </c>
      <c r="AF443" s="118" t="s">
        <v>286</v>
      </c>
      <c r="AG443" s="114" t="s">
        <v>285</v>
      </c>
      <c r="AI443" s="104">
        <v>904</v>
      </c>
      <c r="AJ443">
        <v>2477</v>
      </c>
    </row>
    <row r="444" spans="2:36" hidden="1" x14ac:dyDescent="0.25">
      <c r="B444" s="4" t="s">
        <v>71</v>
      </c>
      <c r="C444" s="4">
        <v>2</v>
      </c>
      <c r="E444" s="13">
        <v>39909</v>
      </c>
      <c r="F444" s="104">
        <f t="shared" si="46"/>
        <v>2261</v>
      </c>
      <c r="G444" s="13">
        <v>40813</v>
      </c>
      <c r="H444" s="23">
        <v>42170</v>
      </c>
      <c r="I444" s="104">
        <f t="shared" si="45"/>
        <v>904</v>
      </c>
      <c r="J444" s="19">
        <f t="shared" si="51"/>
        <v>1357</v>
      </c>
      <c r="K444" t="s">
        <v>69</v>
      </c>
      <c r="L444" s="4">
        <v>6.36</v>
      </c>
      <c r="M444" s="19">
        <f t="shared" si="47"/>
        <v>1</v>
      </c>
      <c r="N444" s="19">
        <f t="shared" si="48"/>
        <v>1</v>
      </c>
      <c r="O444" s="19">
        <f t="shared" si="49"/>
        <v>1</v>
      </c>
      <c r="P444" s="19">
        <f t="shared" si="50"/>
        <v>1</v>
      </c>
      <c r="Q444" s="4">
        <v>1</v>
      </c>
      <c r="R444" s="4">
        <v>0</v>
      </c>
      <c r="S444" s="24">
        <v>0</v>
      </c>
      <c r="T444" s="125">
        <v>0</v>
      </c>
      <c r="U444" s="125">
        <v>33</v>
      </c>
      <c r="V444" s="24">
        <v>50</v>
      </c>
      <c r="W444" s="4">
        <v>0</v>
      </c>
      <c r="X444" s="4">
        <v>2</v>
      </c>
      <c r="Y444" s="4">
        <v>0.35</v>
      </c>
      <c r="Z444" s="4">
        <v>2.5</v>
      </c>
      <c r="AA444" s="4">
        <v>0.35</v>
      </c>
      <c r="AB444" s="24">
        <v>0</v>
      </c>
      <c r="AC444" s="24">
        <v>0</v>
      </c>
      <c r="AD444" s="24">
        <v>0</v>
      </c>
      <c r="AE444" s="4" t="s">
        <v>67</v>
      </c>
      <c r="AF444" s="118" t="s">
        <v>72</v>
      </c>
      <c r="AG444" s="118" t="s">
        <v>43</v>
      </c>
      <c r="AI444" s="104">
        <v>1100</v>
      </c>
      <c r="AJ444">
        <v>2477</v>
      </c>
    </row>
    <row r="445" spans="2:36" hidden="1" x14ac:dyDescent="0.25">
      <c r="B445" s="4" t="s">
        <v>71</v>
      </c>
      <c r="C445" s="4">
        <v>2</v>
      </c>
      <c r="E445" s="13">
        <v>39909</v>
      </c>
      <c r="F445" s="104">
        <f t="shared" si="46"/>
        <v>2261</v>
      </c>
      <c r="G445" s="13">
        <v>41009</v>
      </c>
      <c r="H445" s="23">
        <v>42170</v>
      </c>
      <c r="I445" s="104">
        <f t="shared" si="45"/>
        <v>1100</v>
      </c>
      <c r="J445" s="19">
        <f t="shared" si="51"/>
        <v>1161</v>
      </c>
      <c r="K445" t="s">
        <v>69</v>
      </c>
      <c r="L445" s="4">
        <v>6.17</v>
      </c>
      <c r="M445" s="19">
        <f t="shared" si="47"/>
        <v>1</v>
      </c>
      <c r="N445" s="19">
        <f t="shared" si="48"/>
        <v>1</v>
      </c>
      <c r="O445" s="19">
        <f t="shared" si="49"/>
        <v>1</v>
      </c>
      <c r="P445" s="19">
        <f t="shared" si="50"/>
        <v>1</v>
      </c>
      <c r="Q445" s="4">
        <v>1</v>
      </c>
      <c r="R445" s="4">
        <v>0</v>
      </c>
      <c r="S445" s="24">
        <v>0</v>
      </c>
      <c r="T445" s="125">
        <v>0</v>
      </c>
      <c r="U445" s="125">
        <v>17</v>
      </c>
      <c r="V445" s="24">
        <v>50</v>
      </c>
      <c r="W445" s="4">
        <v>0</v>
      </c>
      <c r="X445" s="4">
        <v>2</v>
      </c>
      <c r="Y445" s="4">
        <v>0.35</v>
      </c>
      <c r="Z445" s="4">
        <v>2.5</v>
      </c>
      <c r="AA445" s="4">
        <v>0.35</v>
      </c>
      <c r="AB445" s="24">
        <v>0</v>
      </c>
      <c r="AC445" s="24">
        <v>0</v>
      </c>
      <c r="AD445" s="24">
        <v>0</v>
      </c>
      <c r="AE445" s="4" t="s">
        <v>67</v>
      </c>
      <c r="AF445" s="118" t="s">
        <v>73</v>
      </c>
      <c r="AG445" s="118" t="s">
        <v>43</v>
      </c>
      <c r="AI445" s="104">
        <v>1282</v>
      </c>
      <c r="AJ445">
        <v>2478</v>
      </c>
    </row>
    <row r="446" spans="2:36" hidden="1" x14ac:dyDescent="0.25">
      <c r="B446" s="4" t="s">
        <v>71</v>
      </c>
      <c r="C446" s="4">
        <v>2</v>
      </c>
      <c r="E446" s="13">
        <v>39909</v>
      </c>
      <c r="F446" s="104">
        <f t="shared" si="46"/>
        <v>2261</v>
      </c>
      <c r="G446" s="13">
        <v>41191</v>
      </c>
      <c r="H446" s="23">
        <v>42170</v>
      </c>
      <c r="I446" s="104">
        <f t="shared" si="45"/>
        <v>1282</v>
      </c>
      <c r="J446" s="19">
        <f t="shared" si="51"/>
        <v>979</v>
      </c>
      <c r="K446" t="s">
        <v>69</v>
      </c>
      <c r="L446" s="4">
        <v>5.96</v>
      </c>
      <c r="M446" s="19">
        <f t="shared" si="47"/>
        <v>1</v>
      </c>
      <c r="N446" s="19">
        <f t="shared" si="48"/>
        <v>1</v>
      </c>
      <c r="O446" s="19">
        <f t="shared" si="49"/>
        <v>1</v>
      </c>
      <c r="P446" s="19">
        <f t="shared" si="50"/>
        <v>1</v>
      </c>
      <c r="Q446" s="4">
        <v>1</v>
      </c>
      <c r="R446" s="4">
        <v>0</v>
      </c>
      <c r="S446" s="24">
        <v>0</v>
      </c>
      <c r="T446" s="125">
        <v>0</v>
      </c>
      <c r="U446" s="125">
        <v>7</v>
      </c>
      <c r="V446" s="24">
        <v>50</v>
      </c>
      <c r="W446" s="4">
        <v>0</v>
      </c>
      <c r="X446" s="4">
        <v>2</v>
      </c>
      <c r="Y446" s="4">
        <v>0.35</v>
      </c>
      <c r="Z446" s="4">
        <v>2.5</v>
      </c>
      <c r="AA446" s="4">
        <v>0.35</v>
      </c>
      <c r="AB446" s="24">
        <v>0</v>
      </c>
      <c r="AC446" s="24">
        <v>0</v>
      </c>
      <c r="AD446" s="24">
        <v>0</v>
      </c>
      <c r="AE446" s="4" t="s">
        <v>67</v>
      </c>
      <c r="AF446" s="118" t="s">
        <v>74</v>
      </c>
      <c r="AG446" s="118" t="s">
        <v>43</v>
      </c>
      <c r="AI446" s="104">
        <v>1396</v>
      </c>
      <c r="AJ446">
        <v>2479</v>
      </c>
    </row>
    <row r="447" spans="2:36" hidden="1" x14ac:dyDescent="0.25">
      <c r="B447" s="4" t="s">
        <v>71</v>
      </c>
      <c r="C447" s="4">
        <v>2</v>
      </c>
      <c r="E447" s="13">
        <v>39909</v>
      </c>
      <c r="F447" s="104">
        <f t="shared" si="46"/>
        <v>2261</v>
      </c>
      <c r="G447" s="13">
        <v>41305</v>
      </c>
      <c r="H447" s="23">
        <v>42170</v>
      </c>
      <c r="I447" s="104">
        <f t="shared" si="45"/>
        <v>1396</v>
      </c>
      <c r="J447" s="19">
        <f t="shared" si="51"/>
        <v>865</v>
      </c>
      <c r="K447" t="s">
        <v>69</v>
      </c>
      <c r="L447" s="4">
        <v>5.89</v>
      </c>
      <c r="M447" s="19">
        <f t="shared" si="47"/>
        <v>1</v>
      </c>
      <c r="N447" s="19">
        <f t="shared" si="48"/>
        <v>1</v>
      </c>
      <c r="O447" s="19">
        <f t="shared" si="49"/>
        <v>1</v>
      </c>
      <c r="P447" s="19">
        <f t="shared" si="50"/>
        <v>1</v>
      </c>
      <c r="Q447" s="4">
        <v>1</v>
      </c>
      <c r="R447" s="4">
        <v>1</v>
      </c>
      <c r="S447" s="24">
        <v>0</v>
      </c>
      <c r="T447" s="128">
        <v>1</v>
      </c>
      <c r="U447" s="128">
        <v>3</v>
      </c>
      <c r="V447" s="24">
        <v>50</v>
      </c>
      <c r="W447" s="4">
        <v>0</v>
      </c>
      <c r="X447" s="4">
        <v>2</v>
      </c>
      <c r="Y447" s="4">
        <v>0.35</v>
      </c>
      <c r="Z447" s="4">
        <v>2.5</v>
      </c>
      <c r="AA447" s="4">
        <v>0.35</v>
      </c>
      <c r="AB447" s="24">
        <v>0</v>
      </c>
      <c r="AC447" s="24">
        <v>0</v>
      </c>
      <c r="AD447" s="24">
        <v>0</v>
      </c>
      <c r="AE447" s="4" t="s">
        <v>67</v>
      </c>
      <c r="AF447" s="141">
        <v>0.33333333333333298</v>
      </c>
      <c r="AG447" s="118" t="s">
        <v>43</v>
      </c>
      <c r="AI447" s="104">
        <v>1695</v>
      </c>
      <c r="AJ447">
        <v>2482</v>
      </c>
    </row>
    <row r="448" spans="2:36" hidden="1" x14ac:dyDescent="0.25">
      <c r="B448" s="4" t="s">
        <v>71</v>
      </c>
      <c r="C448" s="4">
        <v>2</v>
      </c>
      <c r="E448" s="13">
        <v>39909</v>
      </c>
      <c r="F448" s="104">
        <f t="shared" si="46"/>
        <v>2261</v>
      </c>
      <c r="G448" s="13">
        <v>41604</v>
      </c>
      <c r="H448" s="23">
        <v>42170</v>
      </c>
      <c r="I448" s="104">
        <f t="shared" si="45"/>
        <v>1695</v>
      </c>
      <c r="J448" s="19">
        <f t="shared" si="51"/>
        <v>566</v>
      </c>
      <c r="K448" t="s">
        <v>69</v>
      </c>
      <c r="L448" s="4">
        <v>5.34</v>
      </c>
      <c r="M448" s="19">
        <f t="shared" si="47"/>
        <v>1</v>
      </c>
      <c r="N448" s="19">
        <f t="shared" si="48"/>
        <v>1</v>
      </c>
      <c r="O448" s="19">
        <f t="shared" si="49"/>
        <v>1</v>
      </c>
      <c r="P448" s="19">
        <f t="shared" si="50"/>
        <v>1</v>
      </c>
      <c r="Q448" s="4">
        <v>1</v>
      </c>
      <c r="R448" s="4">
        <v>0</v>
      </c>
      <c r="S448" s="24">
        <v>0</v>
      </c>
      <c r="T448" s="128">
        <v>0</v>
      </c>
      <c r="U448" s="128">
        <v>0</v>
      </c>
      <c r="V448" s="24">
        <v>50</v>
      </c>
      <c r="W448" s="4">
        <v>0</v>
      </c>
      <c r="X448" s="4">
        <v>2</v>
      </c>
      <c r="Y448" s="4">
        <v>0.35</v>
      </c>
      <c r="Z448" s="4">
        <v>2.5</v>
      </c>
      <c r="AA448" s="4">
        <v>0.35</v>
      </c>
      <c r="AB448" s="24">
        <v>0</v>
      </c>
      <c r="AC448" s="24">
        <v>0</v>
      </c>
      <c r="AD448" s="24">
        <v>0</v>
      </c>
      <c r="AE448" s="4" t="s">
        <v>67</v>
      </c>
      <c r="AG448" s="118" t="s">
        <v>43</v>
      </c>
      <c r="AI448" s="104">
        <v>1877</v>
      </c>
      <c r="AJ448">
        <v>2482</v>
      </c>
    </row>
    <row r="449" spans="2:36" hidden="1" x14ac:dyDescent="0.25">
      <c r="B449" s="4" t="s">
        <v>71</v>
      </c>
      <c r="C449" s="4">
        <v>2</v>
      </c>
      <c r="E449" s="13">
        <v>39909</v>
      </c>
      <c r="F449" s="104">
        <f t="shared" si="46"/>
        <v>2261</v>
      </c>
      <c r="G449" s="13">
        <v>41786</v>
      </c>
      <c r="H449" s="23">
        <v>42170</v>
      </c>
      <c r="I449" s="104">
        <f t="shared" ref="I449:I512" si="52">G449-E449</f>
        <v>1877</v>
      </c>
      <c r="J449" s="19">
        <f t="shared" si="51"/>
        <v>384</v>
      </c>
      <c r="K449" t="s">
        <v>69</v>
      </c>
      <c r="L449" s="4">
        <v>5.28</v>
      </c>
      <c r="M449" s="19">
        <f t="shared" si="47"/>
        <v>0</v>
      </c>
      <c r="N449" s="19">
        <f t="shared" si="48"/>
        <v>1</v>
      </c>
      <c r="O449" s="19">
        <f t="shared" si="49"/>
        <v>1</v>
      </c>
      <c r="P449" s="19">
        <f t="shared" si="50"/>
        <v>1</v>
      </c>
      <c r="Q449" s="4">
        <v>1</v>
      </c>
      <c r="R449" s="4">
        <v>0</v>
      </c>
      <c r="S449" s="24">
        <v>0</v>
      </c>
      <c r="T449" s="128">
        <v>0</v>
      </c>
      <c r="U449" s="128">
        <v>0</v>
      </c>
      <c r="V449" s="24">
        <v>50</v>
      </c>
      <c r="W449" s="4">
        <v>0</v>
      </c>
      <c r="X449" s="4">
        <v>2</v>
      </c>
      <c r="Y449" s="4">
        <v>0.35</v>
      </c>
      <c r="Z449" s="4">
        <v>2.5</v>
      </c>
      <c r="AA449" s="4">
        <v>0.35</v>
      </c>
      <c r="AB449" s="24">
        <v>0</v>
      </c>
      <c r="AC449" s="24">
        <v>0</v>
      </c>
      <c r="AD449" s="24">
        <v>0</v>
      </c>
      <c r="AE449" s="4" t="s">
        <v>67</v>
      </c>
      <c r="AG449" s="118" t="s">
        <v>43</v>
      </c>
      <c r="AI449" s="104">
        <v>2122</v>
      </c>
      <c r="AJ449">
        <v>2483</v>
      </c>
    </row>
    <row r="450" spans="2:36" hidden="1" x14ac:dyDescent="0.25">
      <c r="B450" s="4" t="s">
        <v>71</v>
      </c>
      <c r="C450" s="4">
        <v>2</v>
      </c>
      <c r="E450" s="13">
        <v>39909</v>
      </c>
      <c r="F450" s="104">
        <f t="shared" si="46"/>
        <v>2261</v>
      </c>
      <c r="G450" s="13">
        <v>42031</v>
      </c>
      <c r="H450" s="23">
        <v>42170</v>
      </c>
      <c r="I450" s="104">
        <f t="shared" si="52"/>
        <v>2122</v>
      </c>
      <c r="J450" s="19">
        <f t="shared" si="51"/>
        <v>139</v>
      </c>
      <c r="K450" t="s">
        <v>69</v>
      </c>
      <c r="L450" s="4">
        <v>5.16</v>
      </c>
      <c r="M450" s="19">
        <f t="shared" si="47"/>
        <v>0</v>
      </c>
      <c r="N450" s="19">
        <f t="shared" si="48"/>
        <v>0</v>
      </c>
      <c r="O450" s="19">
        <f t="shared" si="49"/>
        <v>0</v>
      </c>
      <c r="P450" s="19">
        <f t="shared" si="50"/>
        <v>1</v>
      </c>
      <c r="Q450" s="4">
        <v>2</v>
      </c>
      <c r="R450" s="4">
        <v>1</v>
      </c>
      <c r="S450" s="24">
        <v>0</v>
      </c>
      <c r="T450" s="128">
        <v>0</v>
      </c>
      <c r="U450" s="128">
        <v>0</v>
      </c>
      <c r="V450" s="24">
        <v>50</v>
      </c>
      <c r="W450" s="4">
        <v>0</v>
      </c>
      <c r="X450" s="4">
        <v>2</v>
      </c>
      <c r="Y450" s="4">
        <v>0.35</v>
      </c>
      <c r="Z450" s="4">
        <v>2.5</v>
      </c>
      <c r="AA450" s="4">
        <v>0.35</v>
      </c>
      <c r="AB450" s="24">
        <v>0</v>
      </c>
      <c r="AC450" s="24">
        <v>0</v>
      </c>
      <c r="AD450" s="24">
        <v>0</v>
      </c>
      <c r="AE450" s="4" t="s">
        <v>67</v>
      </c>
      <c r="AG450" s="118" t="s">
        <v>43</v>
      </c>
      <c r="AI450" s="104">
        <v>2261</v>
      </c>
      <c r="AJ450">
        <v>2483</v>
      </c>
    </row>
    <row r="451" spans="2:36" hidden="1" x14ac:dyDescent="0.25">
      <c r="B451" s="4" t="s">
        <v>71</v>
      </c>
      <c r="C451" s="4">
        <v>2</v>
      </c>
      <c r="E451" s="13">
        <v>39909</v>
      </c>
      <c r="F451" s="104">
        <f t="shared" ref="F451:F514" si="53">H451-E451</f>
        <v>2261</v>
      </c>
      <c r="G451" s="23">
        <v>42170</v>
      </c>
      <c r="H451" s="23">
        <v>42170</v>
      </c>
      <c r="I451" s="104">
        <f t="shared" si="52"/>
        <v>2261</v>
      </c>
      <c r="J451" s="19">
        <f t="shared" si="51"/>
        <v>0</v>
      </c>
      <c r="K451" t="s">
        <v>69</v>
      </c>
      <c r="L451" s="24">
        <v>5.16</v>
      </c>
      <c r="M451" s="19">
        <f t="shared" ref="M451:M514" si="54">IF($J451&gt;540,1,0)</f>
        <v>0</v>
      </c>
      <c r="N451" s="19">
        <f t="shared" ref="N451:N514" si="55">IF($J451&gt;360,1,0)</f>
        <v>0</v>
      </c>
      <c r="O451" s="19">
        <f t="shared" ref="O451:O514" si="56">IF($J451&gt;180,1,0)</f>
        <v>0</v>
      </c>
      <c r="P451" s="19">
        <f t="shared" ref="P451:P514" si="57">IF($J451&gt;90,1,0)</f>
        <v>0</v>
      </c>
      <c r="Q451" s="24">
        <v>1</v>
      </c>
      <c r="R451" s="24">
        <v>2</v>
      </c>
      <c r="S451" s="24">
        <v>0</v>
      </c>
      <c r="T451" s="129">
        <v>0</v>
      </c>
      <c r="U451" s="129">
        <v>0</v>
      </c>
      <c r="V451" s="24">
        <v>55</v>
      </c>
      <c r="W451" s="24">
        <v>0</v>
      </c>
      <c r="X451" s="4">
        <v>2</v>
      </c>
      <c r="Y451" s="4">
        <v>0.35</v>
      </c>
      <c r="Z451" s="4">
        <v>2.5</v>
      </c>
      <c r="AA451" s="4">
        <v>0.35</v>
      </c>
      <c r="AB451" s="24">
        <v>0</v>
      </c>
      <c r="AC451" s="24">
        <v>0</v>
      </c>
      <c r="AD451" s="24">
        <v>0</v>
      </c>
      <c r="AE451" s="24" t="s">
        <v>63</v>
      </c>
      <c r="AF451" s="114" t="s">
        <v>42</v>
      </c>
      <c r="AG451" s="114" t="s">
        <v>69</v>
      </c>
      <c r="AI451" s="104">
        <v>573</v>
      </c>
      <c r="AJ451">
        <v>2494</v>
      </c>
    </row>
    <row r="452" spans="2:36" hidden="1" x14ac:dyDescent="0.25">
      <c r="B452" s="24" t="s">
        <v>176</v>
      </c>
      <c r="C452" s="24">
        <v>2</v>
      </c>
      <c r="D452" s="24"/>
      <c r="E452" s="42">
        <v>40100</v>
      </c>
      <c r="F452" s="104">
        <f t="shared" si="53"/>
        <v>1857</v>
      </c>
      <c r="G452" s="23">
        <v>40673</v>
      </c>
      <c r="H452" s="25">
        <v>41957</v>
      </c>
      <c r="I452" s="104">
        <f t="shared" si="52"/>
        <v>573</v>
      </c>
      <c r="J452" s="19">
        <f t="shared" si="51"/>
        <v>1284</v>
      </c>
      <c r="K452" t="s">
        <v>69</v>
      </c>
      <c r="L452" s="24">
        <v>6.33</v>
      </c>
      <c r="M452" s="19">
        <f t="shared" si="54"/>
        <v>1</v>
      </c>
      <c r="N452" s="19">
        <f t="shared" si="55"/>
        <v>1</v>
      </c>
      <c r="O452" s="19">
        <f t="shared" si="56"/>
        <v>1</v>
      </c>
      <c r="P452" s="19">
        <f t="shared" si="57"/>
        <v>1</v>
      </c>
      <c r="Q452" s="24">
        <f>42+58</f>
        <v>100</v>
      </c>
      <c r="R452" s="24">
        <f>41+56</f>
        <v>97</v>
      </c>
      <c r="S452" s="24">
        <v>0</v>
      </c>
      <c r="T452" s="129">
        <v>0</v>
      </c>
      <c r="U452" s="129">
        <v>0</v>
      </c>
      <c r="V452" s="24">
        <v>60</v>
      </c>
      <c r="W452" s="24">
        <v>1</v>
      </c>
      <c r="X452" s="24">
        <v>2</v>
      </c>
      <c r="Y452" s="24">
        <v>0.35</v>
      </c>
      <c r="Z452" s="24">
        <v>2.5</v>
      </c>
      <c r="AA452" s="24">
        <v>0.35</v>
      </c>
      <c r="AB452" s="24">
        <v>0</v>
      </c>
      <c r="AC452" s="24">
        <v>0</v>
      </c>
      <c r="AD452" s="24">
        <v>0</v>
      </c>
      <c r="AE452" s="24" t="s">
        <v>47</v>
      </c>
      <c r="AF452" s="114" t="s">
        <v>42</v>
      </c>
      <c r="AG452" s="114" t="s">
        <v>191</v>
      </c>
      <c r="AI452" s="104">
        <v>776</v>
      </c>
      <c r="AJ452">
        <v>2498</v>
      </c>
    </row>
    <row r="453" spans="2:36" hidden="1" x14ac:dyDescent="0.25">
      <c r="B453" s="24" t="s">
        <v>176</v>
      </c>
      <c r="C453" s="24">
        <v>2</v>
      </c>
      <c r="D453" s="24"/>
      <c r="E453" s="42">
        <v>40100</v>
      </c>
      <c r="F453" s="104">
        <f t="shared" si="53"/>
        <v>1857</v>
      </c>
      <c r="G453" s="23">
        <v>40876</v>
      </c>
      <c r="H453" s="25">
        <v>41957</v>
      </c>
      <c r="I453" s="104">
        <f t="shared" si="52"/>
        <v>776</v>
      </c>
      <c r="J453" s="19">
        <f t="shared" si="51"/>
        <v>1081</v>
      </c>
      <c r="K453" t="s">
        <v>69</v>
      </c>
      <c r="L453" s="40">
        <v>6.17</v>
      </c>
      <c r="M453" s="19">
        <f t="shared" si="54"/>
        <v>1</v>
      </c>
      <c r="N453" s="19">
        <f t="shared" si="55"/>
        <v>1</v>
      </c>
      <c r="O453" s="19">
        <f t="shared" si="56"/>
        <v>1</v>
      </c>
      <c r="P453" s="19">
        <f t="shared" si="57"/>
        <v>1</v>
      </c>
      <c r="Q453" s="24">
        <f>43+57</f>
        <v>100</v>
      </c>
      <c r="R453" s="24">
        <f>55+42</f>
        <v>97</v>
      </c>
      <c r="S453" s="24">
        <v>0</v>
      </c>
      <c r="T453" s="129">
        <v>0</v>
      </c>
      <c r="U453" s="129">
        <v>1</v>
      </c>
      <c r="V453" s="24">
        <v>60</v>
      </c>
      <c r="W453" s="24">
        <v>1</v>
      </c>
      <c r="X453" s="24">
        <v>2</v>
      </c>
      <c r="Y453" s="24">
        <v>0.35</v>
      </c>
      <c r="Z453" s="24">
        <v>2.5</v>
      </c>
      <c r="AA453" s="24">
        <v>0.35</v>
      </c>
      <c r="AB453" s="24">
        <v>0</v>
      </c>
      <c r="AC453" s="24">
        <v>0</v>
      </c>
      <c r="AD453" s="24">
        <v>0</v>
      </c>
      <c r="AE453" s="24" t="s">
        <v>47</v>
      </c>
      <c r="AF453" s="114" t="s">
        <v>46</v>
      </c>
      <c r="AG453" s="114" t="s">
        <v>191</v>
      </c>
      <c r="AI453" s="104">
        <v>972</v>
      </c>
      <c r="AJ453">
        <v>2499</v>
      </c>
    </row>
    <row r="454" spans="2:36" hidden="1" x14ac:dyDescent="0.25">
      <c r="B454" s="24" t="s">
        <v>176</v>
      </c>
      <c r="C454" s="24">
        <v>2</v>
      </c>
      <c r="D454" s="24"/>
      <c r="E454" s="42">
        <v>40100</v>
      </c>
      <c r="F454" s="104">
        <f t="shared" si="53"/>
        <v>1857</v>
      </c>
      <c r="G454" s="27">
        <v>41072</v>
      </c>
      <c r="H454" s="25">
        <v>41957</v>
      </c>
      <c r="I454" s="104">
        <f t="shared" si="52"/>
        <v>972</v>
      </c>
      <c r="J454" s="19">
        <f t="shared" si="51"/>
        <v>885</v>
      </c>
      <c r="K454" t="s">
        <v>69</v>
      </c>
      <c r="L454" s="40">
        <v>5.9</v>
      </c>
      <c r="M454" s="19">
        <f t="shared" si="54"/>
        <v>1</v>
      </c>
      <c r="N454" s="19">
        <f t="shared" si="55"/>
        <v>1</v>
      </c>
      <c r="O454" s="19">
        <f t="shared" si="56"/>
        <v>1</v>
      </c>
      <c r="P454" s="19">
        <f t="shared" si="57"/>
        <v>1</v>
      </c>
      <c r="Q454" s="24">
        <f>42+57</f>
        <v>99</v>
      </c>
      <c r="R454" s="24">
        <f>42+56</f>
        <v>98</v>
      </c>
      <c r="S454" s="24">
        <v>0</v>
      </c>
      <c r="T454" s="127">
        <v>0</v>
      </c>
      <c r="U454" s="127">
        <v>0</v>
      </c>
      <c r="V454" s="24">
        <v>60</v>
      </c>
      <c r="W454" s="24">
        <v>1</v>
      </c>
      <c r="X454" s="24">
        <v>2</v>
      </c>
      <c r="Y454" s="24">
        <v>0.35</v>
      </c>
      <c r="Z454" s="24">
        <v>2.5</v>
      </c>
      <c r="AA454" s="24">
        <v>0.35</v>
      </c>
      <c r="AB454" s="24">
        <v>0</v>
      </c>
      <c r="AC454" s="24">
        <v>0</v>
      </c>
      <c r="AD454" s="24">
        <v>0</v>
      </c>
      <c r="AE454" s="24" t="s">
        <v>47</v>
      </c>
      <c r="AF454" s="145" t="s">
        <v>42</v>
      </c>
      <c r="AG454" s="114" t="s">
        <v>191</v>
      </c>
      <c r="AI454" s="104">
        <v>1147</v>
      </c>
      <c r="AJ454">
        <v>2505</v>
      </c>
    </row>
    <row r="455" spans="2:36" hidden="1" x14ac:dyDescent="0.25">
      <c r="B455" s="24" t="s">
        <v>176</v>
      </c>
      <c r="C455" s="24">
        <v>2</v>
      </c>
      <c r="D455" s="24"/>
      <c r="E455" s="42">
        <v>40100</v>
      </c>
      <c r="F455" s="104">
        <f t="shared" si="53"/>
        <v>1857</v>
      </c>
      <c r="G455" s="25">
        <v>41247</v>
      </c>
      <c r="H455" s="25">
        <v>41957</v>
      </c>
      <c r="I455" s="104">
        <f t="shared" si="52"/>
        <v>1147</v>
      </c>
      <c r="J455" s="19">
        <f t="shared" ref="J455:J518" si="58">H455-G455</f>
        <v>710</v>
      </c>
      <c r="K455" t="s">
        <v>69</v>
      </c>
      <c r="L455" s="4">
        <v>5.59</v>
      </c>
      <c r="M455" s="19">
        <f t="shared" si="54"/>
        <v>1</v>
      </c>
      <c r="N455" s="19">
        <f t="shared" si="55"/>
        <v>1</v>
      </c>
      <c r="O455" s="19">
        <f t="shared" si="56"/>
        <v>1</v>
      </c>
      <c r="P455" s="19">
        <f t="shared" si="57"/>
        <v>1</v>
      </c>
      <c r="Q455" s="4">
        <f>43+57</f>
        <v>100</v>
      </c>
      <c r="R455" s="4">
        <f>42+55</f>
        <v>97</v>
      </c>
      <c r="S455" s="24">
        <v>0</v>
      </c>
      <c r="T455" s="127">
        <v>0</v>
      </c>
      <c r="U455" s="127">
        <v>0</v>
      </c>
      <c r="V455" s="24">
        <v>60</v>
      </c>
      <c r="W455" s="24">
        <v>1</v>
      </c>
      <c r="X455" s="24">
        <v>2</v>
      </c>
      <c r="Y455" s="24">
        <v>0.35</v>
      </c>
      <c r="Z455" s="24">
        <v>2.5</v>
      </c>
      <c r="AA455" s="24">
        <v>0.35</v>
      </c>
      <c r="AB455" s="24">
        <v>0</v>
      </c>
      <c r="AC455" s="24">
        <v>0</v>
      </c>
      <c r="AD455" s="24">
        <v>0</v>
      </c>
      <c r="AE455" s="24" t="s">
        <v>47</v>
      </c>
      <c r="AF455" s="145" t="s">
        <v>42</v>
      </c>
      <c r="AG455" s="114" t="s">
        <v>191</v>
      </c>
      <c r="AI455" s="104">
        <v>1336</v>
      </c>
      <c r="AJ455">
        <v>2505</v>
      </c>
    </row>
    <row r="456" spans="2:36" hidden="1" x14ac:dyDescent="0.25">
      <c r="B456" s="24" t="s">
        <v>176</v>
      </c>
      <c r="C456" s="24">
        <v>2</v>
      </c>
      <c r="D456" s="24"/>
      <c r="E456" s="42">
        <v>40100</v>
      </c>
      <c r="F456" s="104">
        <f t="shared" si="53"/>
        <v>1857</v>
      </c>
      <c r="G456" s="25">
        <v>41436</v>
      </c>
      <c r="H456" s="25">
        <v>41957</v>
      </c>
      <c r="I456" s="104">
        <f t="shared" si="52"/>
        <v>1336</v>
      </c>
      <c r="J456" s="19">
        <f t="shared" si="58"/>
        <v>521</v>
      </c>
      <c r="K456" t="s">
        <v>69</v>
      </c>
      <c r="L456" s="4">
        <v>5.26</v>
      </c>
      <c r="M456" s="19">
        <f t="shared" si="54"/>
        <v>0</v>
      </c>
      <c r="N456" s="19">
        <f t="shared" si="55"/>
        <v>1</v>
      </c>
      <c r="O456" s="19">
        <f t="shared" si="56"/>
        <v>1</v>
      </c>
      <c r="P456" s="19">
        <f t="shared" si="57"/>
        <v>1</v>
      </c>
      <c r="Q456" s="4">
        <f>52+48</f>
        <v>100</v>
      </c>
      <c r="R456" s="4">
        <f>47+49</f>
        <v>96</v>
      </c>
      <c r="S456" s="24">
        <v>0</v>
      </c>
      <c r="T456" s="127">
        <v>0</v>
      </c>
      <c r="U456" s="127">
        <v>0</v>
      </c>
      <c r="V456" s="24">
        <v>70</v>
      </c>
      <c r="W456" s="24">
        <v>1</v>
      </c>
      <c r="X456" s="24">
        <v>2</v>
      </c>
      <c r="Y456" s="24">
        <v>0.35</v>
      </c>
      <c r="Z456" s="24">
        <v>2.5</v>
      </c>
      <c r="AA456" s="24">
        <v>0.35</v>
      </c>
      <c r="AB456" s="24">
        <v>0</v>
      </c>
      <c r="AC456" s="24">
        <v>0</v>
      </c>
      <c r="AD456" s="24">
        <v>0</v>
      </c>
      <c r="AE456" s="24" t="s">
        <v>105</v>
      </c>
      <c r="AF456" s="145" t="s">
        <v>42</v>
      </c>
      <c r="AG456" s="114" t="s">
        <v>191</v>
      </c>
      <c r="AI456" s="104">
        <v>1454</v>
      </c>
      <c r="AJ456">
        <v>2513</v>
      </c>
    </row>
    <row r="457" spans="2:36" hidden="1" x14ac:dyDescent="0.25">
      <c r="B457" s="24" t="s">
        <v>176</v>
      </c>
      <c r="C457" s="24">
        <v>2</v>
      </c>
      <c r="D457" s="24"/>
      <c r="E457" s="42">
        <v>40100</v>
      </c>
      <c r="F457" s="104">
        <f t="shared" si="53"/>
        <v>1857</v>
      </c>
      <c r="G457" s="25">
        <v>41554</v>
      </c>
      <c r="H457" s="25">
        <v>41957</v>
      </c>
      <c r="I457" s="104">
        <f t="shared" si="52"/>
        <v>1454</v>
      </c>
      <c r="J457" s="19">
        <f t="shared" si="58"/>
        <v>403</v>
      </c>
      <c r="K457" t="s">
        <v>69</v>
      </c>
      <c r="L457" s="4">
        <v>5.19</v>
      </c>
      <c r="M457" s="19">
        <f t="shared" si="54"/>
        <v>0</v>
      </c>
      <c r="N457" s="19">
        <f t="shared" si="55"/>
        <v>1</v>
      </c>
      <c r="O457" s="19">
        <f t="shared" si="56"/>
        <v>1</v>
      </c>
      <c r="P457" s="19">
        <f t="shared" si="57"/>
        <v>1</v>
      </c>
      <c r="Q457" s="4">
        <f>46+53</f>
        <v>99</v>
      </c>
      <c r="R457" s="4">
        <v>0</v>
      </c>
      <c r="S457" s="24">
        <v>0</v>
      </c>
      <c r="T457" s="125">
        <v>0</v>
      </c>
      <c r="U457" s="125">
        <v>61</v>
      </c>
      <c r="V457" s="24">
        <v>60</v>
      </c>
      <c r="W457" s="24">
        <v>1</v>
      </c>
      <c r="X457" s="24">
        <v>2</v>
      </c>
      <c r="Y457" s="24">
        <v>0.35</v>
      </c>
      <c r="Z457" s="24">
        <v>2.5</v>
      </c>
      <c r="AA457" s="24">
        <v>0.35</v>
      </c>
      <c r="AB457" s="24">
        <v>0</v>
      </c>
      <c r="AC457" s="24">
        <v>0</v>
      </c>
      <c r="AD457" s="24">
        <v>0</v>
      </c>
      <c r="AE457" s="24" t="s">
        <v>190</v>
      </c>
      <c r="AF457" s="118" t="s">
        <v>188</v>
      </c>
      <c r="AG457" s="114" t="s">
        <v>191</v>
      </c>
      <c r="AI457" s="104">
        <v>1478</v>
      </c>
      <c r="AJ457">
        <v>2516</v>
      </c>
    </row>
    <row r="458" spans="2:36" hidden="1" x14ac:dyDescent="0.25">
      <c r="B458" s="24" t="s">
        <v>176</v>
      </c>
      <c r="C458" s="24">
        <v>2</v>
      </c>
      <c r="D458" s="24"/>
      <c r="E458" s="42">
        <v>40100</v>
      </c>
      <c r="F458" s="104">
        <f t="shared" si="53"/>
        <v>1857</v>
      </c>
      <c r="G458" s="25">
        <v>41578</v>
      </c>
      <c r="H458" s="25">
        <v>41957</v>
      </c>
      <c r="I458" s="104">
        <f t="shared" si="52"/>
        <v>1478</v>
      </c>
      <c r="J458" s="19">
        <f t="shared" si="58"/>
        <v>379</v>
      </c>
      <c r="K458" t="s">
        <v>69</v>
      </c>
      <c r="L458" s="4">
        <v>5.19</v>
      </c>
      <c r="M458" s="19">
        <f t="shared" si="54"/>
        <v>0</v>
      </c>
      <c r="N458" s="19">
        <f t="shared" si="55"/>
        <v>1</v>
      </c>
      <c r="O458" s="19">
        <f t="shared" si="56"/>
        <v>1</v>
      </c>
      <c r="P458" s="19">
        <f t="shared" si="57"/>
        <v>1</v>
      </c>
      <c r="Q458" s="4">
        <f>46+51</f>
        <v>97</v>
      </c>
      <c r="R458" s="4">
        <v>0</v>
      </c>
      <c r="S458" s="24">
        <v>0</v>
      </c>
      <c r="T458" s="125">
        <v>2</v>
      </c>
      <c r="U458" s="125">
        <v>244</v>
      </c>
      <c r="V458" s="24">
        <v>60</v>
      </c>
      <c r="W458" s="24">
        <v>1</v>
      </c>
      <c r="X458" s="24">
        <v>2</v>
      </c>
      <c r="Y458" s="24">
        <v>0.35</v>
      </c>
      <c r="Z458" s="24">
        <v>2.5</v>
      </c>
      <c r="AA458" s="24">
        <v>0.35</v>
      </c>
      <c r="AB458" s="24">
        <v>0</v>
      </c>
      <c r="AC458" s="24">
        <v>0</v>
      </c>
      <c r="AD458" s="24">
        <v>0</v>
      </c>
      <c r="AE458" s="24" t="s">
        <v>190</v>
      </c>
      <c r="AF458" s="118" t="s">
        <v>189</v>
      </c>
      <c r="AG458" s="114" t="s">
        <v>191</v>
      </c>
      <c r="AI458" s="104">
        <v>1489</v>
      </c>
      <c r="AJ458">
        <v>2519</v>
      </c>
    </row>
    <row r="459" spans="2:36" hidden="1" x14ac:dyDescent="0.25">
      <c r="B459" s="24" t="s">
        <v>176</v>
      </c>
      <c r="C459" s="24">
        <v>2</v>
      </c>
      <c r="D459" s="24"/>
      <c r="E459" s="42">
        <v>40100</v>
      </c>
      <c r="F459" s="104">
        <f t="shared" si="53"/>
        <v>1857</v>
      </c>
      <c r="G459" s="27">
        <v>41589</v>
      </c>
      <c r="H459" s="25">
        <v>41957</v>
      </c>
      <c r="I459" s="104">
        <f t="shared" si="52"/>
        <v>1489</v>
      </c>
      <c r="J459" s="19">
        <f t="shared" si="58"/>
        <v>368</v>
      </c>
      <c r="K459" t="s">
        <v>69</v>
      </c>
      <c r="L459" s="24">
        <v>5.17</v>
      </c>
      <c r="M459" s="19">
        <f t="shared" si="54"/>
        <v>0</v>
      </c>
      <c r="N459" s="19">
        <f t="shared" si="55"/>
        <v>1</v>
      </c>
      <c r="O459" s="19">
        <f t="shared" si="56"/>
        <v>1</v>
      </c>
      <c r="P459" s="19">
        <f t="shared" si="57"/>
        <v>1</v>
      </c>
      <c r="Q459" s="24">
        <f>52+45</f>
        <v>97</v>
      </c>
      <c r="R459" s="24">
        <v>0</v>
      </c>
      <c r="S459" s="24">
        <v>0</v>
      </c>
      <c r="T459" s="129">
        <v>0</v>
      </c>
      <c r="U459" s="129">
        <v>0</v>
      </c>
      <c r="V459" s="24">
        <v>60</v>
      </c>
      <c r="W459" s="24">
        <v>1</v>
      </c>
      <c r="X459" s="24">
        <v>2</v>
      </c>
      <c r="Y459" s="24">
        <v>0.35</v>
      </c>
      <c r="Z459" s="24">
        <v>2.5</v>
      </c>
      <c r="AA459" s="24">
        <v>0.35</v>
      </c>
      <c r="AB459" s="24">
        <v>0</v>
      </c>
      <c r="AC459" s="24">
        <v>0</v>
      </c>
      <c r="AD459" s="24">
        <v>0</v>
      </c>
      <c r="AE459" s="24" t="s">
        <v>190</v>
      </c>
      <c r="AF459" s="114" t="s">
        <v>42</v>
      </c>
      <c r="AG459" s="114" t="s">
        <v>191</v>
      </c>
      <c r="AI459" s="104">
        <v>1672</v>
      </c>
      <c r="AJ459">
        <v>2548</v>
      </c>
    </row>
    <row r="460" spans="2:36" hidden="1" x14ac:dyDescent="0.25">
      <c r="B460" s="24" t="s">
        <v>176</v>
      </c>
      <c r="C460" s="24">
        <v>2</v>
      </c>
      <c r="D460" s="24"/>
      <c r="E460" s="42">
        <v>40100</v>
      </c>
      <c r="F460" s="104">
        <f t="shared" si="53"/>
        <v>1857</v>
      </c>
      <c r="G460" s="25">
        <v>41772</v>
      </c>
      <c r="H460" s="25">
        <v>41957</v>
      </c>
      <c r="I460" s="104">
        <f t="shared" si="52"/>
        <v>1672</v>
      </c>
      <c r="J460" s="19">
        <f t="shared" si="58"/>
        <v>185</v>
      </c>
      <c r="K460" t="s">
        <v>69</v>
      </c>
      <c r="L460" s="4">
        <v>5.14</v>
      </c>
      <c r="M460" s="19">
        <f t="shared" si="54"/>
        <v>0</v>
      </c>
      <c r="N460" s="19">
        <f t="shared" si="55"/>
        <v>0</v>
      </c>
      <c r="O460" s="19">
        <f t="shared" si="56"/>
        <v>1</v>
      </c>
      <c r="P460" s="19">
        <f t="shared" si="57"/>
        <v>1</v>
      </c>
      <c r="Q460" s="4">
        <f>56+43</f>
        <v>99</v>
      </c>
      <c r="R460" s="4">
        <v>0</v>
      </c>
      <c r="S460" s="24">
        <v>0</v>
      </c>
      <c r="T460" s="125">
        <v>0</v>
      </c>
      <c r="U460" s="125">
        <v>1</v>
      </c>
      <c r="V460" s="24">
        <v>60</v>
      </c>
      <c r="W460" s="24">
        <v>1</v>
      </c>
      <c r="X460" s="24">
        <v>2</v>
      </c>
      <c r="Y460" s="24">
        <v>0.35</v>
      </c>
      <c r="Z460" s="24">
        <v>2.5</v>
      </c>
      <c r="AA460" s="24">
        <v>0.35</v>
      </c>
      <c r="AB460" s="24">
        <v>0</v>
      </c>
      <c r="AC460" s="24">
        <v>0</v>
      </c>
      <c r="AD460" s="24">
        <v>0</v>
      </c>
      <c r="AE460" s="24" t="s">
        <v>190</v>
      </c>
      <c r="AF460" s="118" t="s">
        <v>46</v>
      </c>
      <c r="AG460" s="114" t="s">
        <v>191</v>
      </c>
      <c r="AI460" s="104">
        <v>1777</v>
      </c>
      <c r="AJ460">
        <v>2548</v>
      </c>
    </row>
    <row r="461" spans="2:36" hidden="1" x14ac:dyDescent="0.25">
      <c r="B461" s="24" t="s">
        <v>176</v>
      </c>
      <c r="C461" s="24">
        <v>2</v>
      </c>
      <c r="D461" s="24"/>
      <c r="E461" s="42">
        <v>40100</v>
      </c>
      <c r="F461" s="104">
        <f t="shared" si="53"/>
        <v>1857</v>
      </c>
      <c r="G461" s="25">
        <v>41877</v>
      </c>
      <c r="H461" s="25">
        <v>41957</v>
      </c>
      <c r="I461" s="104">
        <f t="shared" si="52"/>
        <v>1777</v>
      </c>
      <c r="J461" s="19">
        <f t="shared" si="58"/>
        <v>80</v>
      </c>
      <c r="K461" t="s">
        <v>69</v>
      </c>
      <c r="L461" s="4">
        <v>5.14</v>
      </c>
      <c r="M461" s="19">
        <f t="shared" si="54"/>
        <v>0</v>
      </c>
      <c r="N461" s="19">
        <f t="shared" si="55"/>
        <v>0</v>
      </c>
      <c r="O461" s="19">
        <f t="shared" si="56"/>
        <v>0</v>
      </c>
      <c r="P461" s="19">
        <f t="shared" si="57"/>
        <v>0</v>
      </c>
      <c r="Q461" s="4">
        <f>56+43</f>
        <v>99</v>
      </c>
      <c r="R461" s="4">
        <v>0</v>
      </c>
      <c r="S461" s="24">
        <v>0</v>
      </c>
      <c r="T461" s="125">
        <v>0</v>
      </c>
      <c r="U461" s="125">
        <v>0</v>
      </c>
      <c r="V461" s="24">
        <v>60</v>
      </c>
      <c r="W461" s="24">
        <v>1</v>
      </c>
      <c r="X461" s="24">
        <v>2</v>
      </c>
      <c r="Y461" s="24">
        <v>0.35</v>
      </c>
      <c r="Z461" s="24">
        <v>2.5</v>
      </c>
      <c r="AA461" s="24">
        <v>0.35</v>
      </c>
      <c r="AB461" s="24">
        <v>0</v>
      </c>
      <c r="AC461" s="24">
        <v>0</v>
      </c>
      <c r="AD461" s="24">
        <v>0</v>
      </c>
      <c r="AE461" s="24" t="s">
        <v>190</v>
      </c>
      <c r="AF461" s="118" t="s">
        <v>42</v>
      </c>
      <c r="AG461" s="114" t="s">
        <v>191</v>
      </c>
      <c r="AI461" s="104">
        <v>1857</v>
      </c>
      <c r="AJ461">
        <v>2552</v>
      </c>
    </row>
    <row r="462" spans="2:36" hidden="1" x14ac:dyDescent="0.25">
      <c r="B462" s="24" t="s">
        <v>176</v>
      </c>
      <c r="C462" s="24">
        <v>2</v>
      </c>
      <c r="D462" s="24"/>
      <c r="E462" s="42">
        <v>40100</v>
      </c>
      <c r="F462" s="104">
        <f t="shared" si="53"/>
        <v>1857</v>
      </c>
      <c r="G462" s="25">
        <v>41957</v>
      </c>
      <c r="H462" s="25">
        <v>41957</v>
      </c>
      <c r="I462" s="104">
        <f t="shared" si="52"/>
        <v>1857</v>
      </c>
      <c r="J462" s="19">
        <f t="shared" si="58"/>
        <v>0</v>
      </c>
      <c r="K462" t="s">
        <v>69</v>
      </c>
      <c r="L462" s="4">
        <v>5.13</v>
      </c>
      <c r="M462" s="19">
        <f t="shared" si="54"/>
        <v>0</v>
      </c>
      <c r="N462" s="19">
        <f t="shared" si="55"/>
        <v>0</v>
      </c>
      <c r="O462" s="19">
        <f t="shared" si="56"/>
        <v>0</v>
      </c>
      <c r="P462" s="19">
        <f t="shared" si="57"/>
        <v>0</v>
      </c>
      <c r="Q462" s="4">
        <f>55+43</f>
        <v>98</v>
      </c>
      <c r="R462" s="4">
        <f>0+1</f>
        <v>1</v>
      </c>
      <c r="S462" s="24">
        <v>0</v>
      </c>
      <c r="T462" s="125">
        <v>0</v>
      </c>
      <c r="U462" s="125">
        <v>0</v>
      </c>
      <c r="V462" s="24">
        <v>60</v>
      </c>
      <c r="W462" s="24">
        <v>1</v>
      </c>
      <c r="X462" s="24">
        <v>2</v>
      </c>
      <c r="Y462" s="24">
        <v>0.35</v>
      </c>
      <c r="Z462" s="24">
        <v>2.5</v>
      </c>
      <c r="AA462" s="24">
        <v>0.35</v>
      </c>
      <c r="AB462" s="24">
        <v>0</v>
      </c>
      <c r="AC462" s="24">
        <v>0</v>
      </c>
      <c r="AD462" s="24">
        <v>0</v>
      </c>
      <c r="AE462" s="24" t="s">
        <v>190</v>
      </c>
      <c r="AF462" s="118" t="s">
        <v>42</v>
      </c>
      <c r="AG462" s="114" t="s">
        <v>191</v>
      </c>
      <c r="AI462" s="104">
        <v>63</v>
      </c>
      <c r="AJ462">
        <v>2556</v>
      </c>
    </row>
    <row r="463" spans="2:36" hidden="1" x14ac:dyDescent="0.25">
      <c r="B463" s="24" t="s">
        <v>238</v>
      </c>
      <c r="C463" s="24">
        <v>1</v>
      </c>
      <c r="E463" s="88">
        <v>40085</v>
      </c>
      <c r="F463" s="104">
        <f t="shared" si="53"/>
        <v>843</v>
      </c>
      <c r="G463" s="89">
        <v>40148</v>
      </c>
      <c r="H463" s="89">
        <v>40928</v>
      </c>
      <c r="I463" s="104">
        <f t="shared" si="52"/>
        <v>63</v>
      </c>
      <c r="J463" s="19">
        <f t="shared" si="58"/>
        <v>780</v>
      </c>
      <c r="K463" t="s">
        <v>69</v>
      </c>
      <c r="L463" s="83">
        <v>6.5</v>
      </c>
      <c r="M463" s="19">
        <f t="shared" si="54"/>
        <v>1</v>
      </c>
      <c r="N463" s="19">
        <f t="shared" si="55"/>
        <v>1</v>
      </c>
      <c r="O463" s="19">
        <f t="shared" si="56"/>
        <v>1</v>
      </c>
      <c r="P463" s="19">
        <f t="shared" si="57"/>
        <v>1</v>
      </c>
      <c r="Q463" s="83">
        <v>0</v>
      </c>
      <c r="R463" s="83">
        <v>4</v>
      </c>
      <c r="S463" s="83">
        <v>0</v>
      </c>
      <c r="T463" s="133">
        <v>0</v>
      </c>
      <c r="U463" s="133">
        <v>0</v>
      </c>
      <c r="V463" s="83">
        <v>40</v>
      </c>
      <c r="W463" s="83">
        <v>0</v>
      </c>
      <c r="X463" s="83">
        <v>0</v>
      </c>
      <c r="Y463" s="83">
        <v>0</v>
      </c>
      <c r="Z463" s="83">
        <v>3.5</v>
      </c>
      <c r="AA463" s="83">
        <v>0.35</v>
      </c>
      <c r="AB463" s="83">
        <v>0</v>
      </c>
      <c r="AC463" s="83">
        <v>0</v>
      </c>
      <c r="AD463" s="83">
        <v>0</v>
      </c>
      <c r="AE463" s="83">
        <v>40</v>
      </c>
      <c r="AF463" s="116" t="s">
        <v>42</v>
      </c>
      <c r="AG463" s="116" t="s">
        <v>43</v>
      </c>
      <c r="AI463" s="104">
        <v>245</v>
      </c>
      <c r="AJ463">
        <v>2561</v>
      </c>
    </row>
    <row r="464" spans="2:36" hidden="1" x14ac:dyDescent="0.25">
      <c r="B464" s="24" t="s">
        <v>238</v>
      </c>
      <c r="C464" s="24">
        <v>1</v>
      </c>
      <c r="E464" s="88">
        <v>40085</v>
      </c>
      <c r="F464" s="104">
        <f t="shared" si="53"/>
        <v>843</v>
      </c>
      <c r="G464" s="89">
        <v>40330</v>
      </c>
      <c r="H464" s="89">
        <v>40928</v>
      </c>
      <c r="I464" s="104">
        <f t="shared" si="52"/>
        <v>245</v>
      </c>
      <c r="J464" s="19">
        <f t="shared" si="58"/>
        <v>598</v>
      </c>
      <c r="K464" t="s">
        <v>69</v>
      </c>
      <c r="L464" s="92">
        <v>6.47</v>
      </c>
      <c r="M464" s="19">
        <f t="shared" si="54"/>
        <v>1</v>
      </c>
      <c r="N464" s="19">
        <f t="shared" si="55"/>
        <v>1</v>
      </c>
      <c r="O464" s="19">
        <f t="shared" si="56"/>
        <v>1</v>
      </c>
      <c r="P464" s="19">
        <f t="shared" si="57"/>
        <v>1</v>
      </c>
      <c r="Q464" s="82">
        <v>0</v>
      </c>
      <c r="R464" s="92">
        <v>1</v>
      </c>
      <c r="S464" s="90">
        <v>0</v>
      </c>
      <c r="T464" s="126">
        <v>0</v>
      </c>
      <c r="U464" s="126">
        <v>0</v>
      </c>
      <c r="V464" s="83">
        <v>40</v>
      </c>
      <c r="W464" s="83">
        <v>0</v>
      </c>
      <c r="X464" s="83">
        <v>0</v>
      </c>
      <c r="Y464" s="83">
        <v>0</v>
      </c>
      <c r="Z464" s="83">
        <v>3.5</v>
      </c>
      <c r="AA464" s="83">
        <v>0.35</v>
      </c>
      <c r="AB464" s="83">
        <v>0</v>
      </c>
      <c r="AC464" s="83">
        <v>0</v>
      </c>
      <c r="AD464" s="90">
        <v>0</v>
      </c>
      <c r="AE464" s="83">
        <v>40</v>
      </c>
      <c r="AF464" s="119" t="s">
        <v>42</v>
      </c>
      <c r="AG464" s="116" t="s">
        <v>43</v>
      </c>
      <c r="AI464" s="104">
        <v>553</v>
      </c>
      <c r="AJ464">
        <v>2562</v>
      </c>
    </row>
    <row r="465" spans="2:36" hidden="1" x14ac:dyDescent="0.25">
      <c r="B465" s="24" t="s">
        <v>238</v>
      </c>
      <c r="C465" s="24">
        <v>1</v>
      </c>
      <c r="E465" s="27">
        <v>40085</v>
      </c>
      <c r="F465" s="104">
        <f t="shared" si="53"/>
        <v>843</v>
      </c>
      <c r="G465" s="25">
        <v>40638</v>
      </c>
      <c r="H465" s="25">
        <v>40928</v>
      </c>
      <c r="I465" s="104">
        <f t="shared" si="52"/>
        <v>553</v>
      </c>
      <c r="J465" s="19">
        <f t="shared" si="58"/>
        <v>290</v>
      </c>
      <c r="K465" t="s">
        <v>69</v>
      </c>
      <c r="L465" s="4">
        <v>6.4</v>
      </c>
      <c r="M465" s="19">
        <f t="shared" si="54"/>
        <v>0</v>
      </c>
      <c r="N465" s="19">
        <f t="shared" si="55"/>
        <v>0</v>
      </c>
      <c r="O465" s="19">
        <f t="shared" si="56"/>
        <v>1</v>
      </c>
      <c r="P465" s="19">
        <f t="shared" si="57"/>
        <v>1</v>
      </c>
      <c r="Q465" s="1">
        <v>0</v>
      </c>
      <c r="R465" s="4">
        <v>0</v>
      </c>
      <c r="S465" s="90">
        <v>0</v>
      </c>
      <c r="T465" s="125">
        <v>0</v>
      </c>
      <c r="U465" s="125">
        <v>0</v>
      </c>
      <c r="V465" s="83">
        <v>40</v>
      </c>
      <c r="W465" s="24">
        <v>0</v>
      </c>
      <c r="X465" s="24">
        <v>0</v>
      </c>
      <c r="Y465" s="24">
        <v>0</v>
      </c>
      <c r="Z465" s="24">
        <v>3.5</v>
      </c>
      <c r="AA465" s="24">
        <v>0.35</v>
      </c>
      <c r="AB465" s="24">
        <v>0</v>
      </c>
      <c r="AC465" s="24">
        <v>0</v>
      </c>
      <c r="AD465" s="90">
        <v>0</v>
      </c>
      <c r="AE465" s="24">
        <v>40</v>
      </c>
      <c r="AF465" s="118" t="s">
        <v>42</v>
      </c>
      <c r="AG465" s="114" t="s">
        <v>43</v>
      </c>
      <c r="AI465" s="104">
        <v>843</v>
      </c>
      <c r="AJ465">
        <v>2562</v>
      </c>
    </row>
    <row r="466" spans="2:36" hidden="1" x14ac:dyDescent="0.25">
      <c r="B466" s="24" t="s">
        <v>238</v>
      </c>
      <c r="C466" s="24">
        <v>1</v>
      </c>
      <c r="E466" s="27">
        <v>40085</v>
      </c>
      <c r="F466" s="104">
        <f t="shared" si="53"/>
        <v>843</v>
      </c>
      <c r="G466" s="25">
        <v>40928</v>
      </c>
      <c r="H466" s="25">
        <v>40928</v>
      </c>
      <c r="I466" s="104">
        <f t="shared" si="52"/>
        <v>843</v>
      </c>
      <c r="J466" s="19">
        <f t="shared" si="58"/>
        <v>0</v>
      </c>
      <c r="K466" t="s">
        <v>69</v>
      </c>
      <c r="L466" s="4">
        <v>6.36</v>
      </c>
      <c r="M466" s="19">
        <f t="shared" si="54"/>
        <v>0</v>
      </c>
      <c r="N466" s="19">
        <f t="shared" si="55"/>
        <v>0</v>
      </c>
      <c r="O466" s="19">
        <f t="shared" si="56"/>
        <v>0</v>
      </c>
      <c r="P466" s="19">
        <f t="shared" si="57"/>
        <v>0</v>
      </c>
      <c r="Q466" s="1">
        <v>0</v>
      </c>
      <c r="R466" s="4">
        <v>0</v>
      </c>
      <c r="S466" s="90">
        <v>0</v>
      </c>
      <c r="T466" s="125">
        <v>0</v>
      </c>
      <c r="U466" s="125">
        <v>0</v>
      </c>
      <c r="V466" s="83">
        <v>40</v>
      </c>
      <c r="W466" s="24">
        <v>0</v>
      </c>
      <c r="X466" s="24">
        <v>0</v>
      </c>
      <c r="Y466" s="24">
        <v>0</v>
      </c>
      <c r="Z466" s="24">
        <v>3.5</v>
      </c>
      <c r="AA466" s="24">
        <v>0.35</v>
      </c>
      <c r="AB466" s="24">
        <v>0</v>
      </c>
      <c r="AC466" s="24">
        <v>0</v>
      </c>
      <c r="AD466" s="90">
        <v>0</v>
      </c>
      <c r="AE466" s="24">
        <v>40</v>
      </c>
      <c r="AF466" s="118" t="s">
        <v>42</v>
      </c>
      <c r="AG466" s="114" t="s">
        <v>43</v>
      </c>
      <c r="AI466" s="104">
        <v>232</v>
      </c>
      <c r="AJ466">
        <v>2565</v>
      </c>
    </row>
    <row r="467" spans="2:36" hidden="1" x14ac:dyDescent="0.25">
      <c r="B467" s="24" t="s">
        <v>147</v>
      </c>
      <c r="C467" s="24">
        <v>2</v>
      </c>
      <c r="E467" s="27">
        <v>39972</v>
      </c>
      <c r="F467" s="104">
        <f t="shared" si="53"/>
        <v>2039</v>
      </c>
      <c r="G467" s="25">
        <v>40204</v>
      </c>
      <c r="H467" s="25">
        <v>42011</v>
      </c>
      <c r="I467" s="104">
        <f t="shared" si="52"/>
        <v>232</v>
      </c>
      <c r="J467" s="19">
        <f t="shared" si="58"/>
        <v>1807</v>
      </c>
      <c r="K467" t="s">
        <v>69</v>
      </c>
      <c r="L467" s="4">
        <v>6.46</v>
      </c>
      <c r="M467" s="19">
        <f t="shared" si="54"/>
        <v>1</v>
      </c>
      <c r="N467" s="19">
        <f t="shared" si="55"/>
        <v>1</v>
      </c>
      <c r="O467" s="19">
        <f t="shared" si="56"/>
        <v>1</v>
      </c>
      <c r="P467" s="19">
        <f t="shared" si="57"/>
        <v>1</v>
      </c>
      <c r="Q467" s="4">
        <v>0</v>
      </c>
      <c r="R467" s="4">
        <v>0</v>
      </c>
      <c r="S467" s="90">
        <v>0</v>
      </c>
      <c r="T467" s="127">
        <v>0</v>
      </c>
      <c r="U467" s="127">
        <v>0</v>
      </c>
      <c r="V467" s="83">
        <v>40</v>
      </c>
      <c r="W467" s="4">
        <v>0</v>
      </c>
      <c r="X467" s="4">
        <v>3.5</v>
      </c>
      <c r="Y467" s="4">
        <v>0.35</v>
      </c>
      <c r="Z467" s="4">
        <v>3.5</v>
      </c>
      <c r="AA467" s="4">
        <v>0.35</v>
      </c>
      <c r="AB467" s="24">
        <v>0</v>
      </c>
      <c r="AC467" s="24">
        <v>0</v>
      </c>
      <c r="AD467" s="90">
        <v>0</v>
      </c>
      <c r="AE467" s="4" t="s">
        <v>110</v>
      </c>
      <c r="AF467" s="138" t="s">
        <v>42</v>
      </c>
      <c r="AG467" s="118" t="s">
        <v>285</v>
      </c>
      <c r="AI467" s="104">
        <v>302</v>
      </c>
      <c r="AJ467">
        <v>2567</v>
      </c>
    </row>
    <row r="468" spans="2:36" hidden="1" x14ac:dyDescent="0.25">
      <c r="B468" s="24" t="s">
        <v>147</v>
      </c>
      <c r="C468" s="24">
        <v>2</v>
      </c>
      <c r="E468" s="27">
        <v>39972</v>
      </c>
      <c r="F468" s="104">
        <f t="shared" si="53"/>
        <v>2039</v>
      </c>
      <c r="G468" s="25">
        <v>40274</v>
      </c>
      <c r="H468" s="25">
        <v>42011</v>
      </c>
      <c r="I468" s="104">
        <f t="shared" si="52"/>
        <v>302</v>
      </c>
      <c r="J468" s="19">
        <f t="shared" si="58"/>
        <v>1737</v>
      </c>
      <c r="K468" t="s">
        <v>69</v>
      </c>
      <c r="L468" s="4">
        <v>6.44</v>
      </c>
      <c r="M468" s="19">
        <f t="shared" si="54"/>
        <v>1</v>
      </c>
      <c r="N468" s="19">
        <f t="shared" si="55"/>
        <v>1</v>
      </c>
      <c r="O468" s="19">
        <f t="shared" si="56"/>
        <v>1</v>
      </c>
      <c r="P468" s="19">
        <f t="shared" si="57"/>
        <v>1</v>
      </c>
      <c r="Q468" s="4">
        <v>0</v>
      </c>
      <c r="R468" s="4">
        <v>0</v>
      </c>
      <c r="S468" s="90">
        <v>0</v>
      </c>
      <c r="T468" s="127">
        <v>0</v>
      </c>
      <c r="U468" s="127">
        <v>0</v>
      </c>
      <c r="V468" s="83">
        <v>40</v>
      </c>
      <c r="W468" s="4">
        <v>0</v>
      </c>
      <c r="X468" s="4">
        <v>3.5</v>
      </c>
      <c r="Y468" s="4">
        <v>0.35</v>
      </c>
      <c r="Z468" s="4">
        <v>3.5</v>
      </c>
      <c r="AA468" s="4">
        <v>0.35</v>
      </c>
      <c r="AB468" s="24">
        <v>0</v>
      </c>
      <c r="AC468" s="24">
        <v>0</v>
      </c>
      <c r="AD468" s="90">
        <v>0</v>
      </c>
      <c r="AE468" s="4" t="s">
        <v>110</v>
      </c>
      <c r="AF468" s="138" t="s">
        <v>42</v>
      </c>
      <c r="AG468" s="118" t="s">
        <v>285</v>
      </c>
      <c r="AI468" s="104">
        <v>687</v>
      </c>
      <c r="AJ468">
        <v>2575</v>
      </c>
    </row>
    <row r="469" spans="2:36" hidden="1" x14ac:dyDescent="0.25">
      <c r="B469" s="24" t="s">
        <v>147</v>
      </c>
      <c r="C469" s="24">
        <v>2</v>
      </c>
      <c r="E469" s="27">
        <v>39972</v>
      </c>
      <c r="F469" s="104">
        <f t="shared" si="53"/>
        <v>2039</v>
      </c>
      <c r="G469" s="25">
        <v>40659</v>
      </c>
      <c r="H469" s="25">
        <v>42011</v>
      </c>
      <c r="I469" s="104">
        <f t="shared" si="52"/>
        <v>687</v>
      </c>
      <c r="J469" s="19">
        <f t="shared" si="58"/>
        <v>1352</v>
      </c>
      <c r="K469" t="s">
        <v>69</v>
      </c>
      <c r="L469" s="4">
        <v>6.39</v>
      </c>
      <c r="M469" s="19">
        <f t="shared" si="54"/>
        <v>1</v>
      </c>
      <c r="N469" s="19">
        <f t="shared" si="55"/>
        <v>1</v>
      </c>
      <c r="O469" s="19">
        <f t="shared" si="56"/>
        <v>1</v>
      </c>
      <c r="P469" s="19">
        <f t="shared" si="57"/>
        <v>1</v>
      </c>
      <c r="Q469" s="4">
        <v>2</v>
      </c>
      <c r="R469" s="4">
        <v>0</v>
      </c>
      <c r="S469" s="90">
        <v>0</v>
      </c>
      <c r="T469" s="127">
        <v>0</v>
      </c>
      <c r="U469" s="127">
        <v>0</v>
      </c>
      <c r="V469" s="4">
        <v>50</v>
      </c>
      <c r="W469" s="4">
        <v>1</v>
      </c>
      <c r="X469" s="4">
        <v>2</v>
      </c>
      <c r="Y469" s="4">
        <v>0.35</v>
      </c>
      <c r="Z469" s="4">
        <v>4.5</v>
      </c>
      <c r="AA469" s="4">
        <v>0.5</v>
      </c>
      <c r="AB469" s="24">
        <v>0</v>
      </c>
      <c r="AC469" s="24">
        <v>0</v>
      </c>
      <c r="AD469" s="90">
        <v>0</v>
      </c>
      <c r="AE469" s="4" t="s">
        <v>67</v>
      </c>
      <c r="AF469" s="138" t="s">
        <v>42</v>
      </c>
      <c r="AG469" s="118" t="s">
        <v>106</v>
      </c>
      <c r="AI469" s="104">
        <v>890</v>
      </c>
      <c r="AJ469">
        <v>2576</v>
      </c>
    </row>
    <row r="470" spans="2:36" hidden="1" x14ac:dyDescent="0.25">
      <c r="B470" s="24" t="s">
        <v>147</v>
      </c>
      <c r="C470" s="24">
        <v>2</v>
      </c>
      <c r="D470" s="24"/>
      <c r="E470" s="23">
        <v>39972</v>
      </c>
      <c r="F470" s="104">
        <f t="shared" si="53"/>
        <v>2039</v>
      </c>
      <c r="G470" s="23">
        <v>40862</v>
      </c>
      <c r="H470" s="25">
        <v>42011</v>
      </c>
      <c r="I470" s="104">
        <f t="shared" si="52"/>
        <v>890</v>
      </c>
      <c r="J470" s="19">
        <f t="shared" si="58"/>
        <v>1149</v>
      </c>
      <c r="K470" t="s">
        <v>69</v>
      </c>
      <c r="L470" s="24">
        <v>6.33</v>
      </c>
      <c r="M470" s="19">
        <f t="shared" si="54"/>
        <v>1</v>
      </c>
      <c r="N470" s="19">
        <f t="shared" si="55"/>
        <v>1</v>
      </c>
      <c r="O470" s="19">
        <f t="shared" si="56"/>
        <v>1</v>
      </c>
      <c r="P470" s="19">
        <f t="shared" si="57"/>
        <v>1</v>
      </c>
      <c r="Q470" s="24">
        <f>3+15</f>
        <v>18</v>
      </c>
      <c r="R470" s="24">
        <v>0</v>
      </c>
      <c r="S470" s="24">
        <v>0</v>
      </c>
      <c r="T470" s="129">
        <v>0</v>
      </c>
      <c r="U470" s="129">
        <v>0</v>
      </c>
      <c r="V470" s="24">
        <v>50</v>
      </c>
      <c r="W470" s="24">
        <v>1</v>
      </c>
      <c r="X470" s="24">
        <v>2</v>
      </c>
      <c r="Y470" s="24">
        <v>0.35</v>
      </c>
      <c r="Z470" s="24">
        <v>4.5</v>
      </c>
      <c r="AA470" s="24">
        <v>0.5</v>
      </c>
      <c r="AB470" s="24">
        <v>0</v>
      </c>
      <c r="AC470" s="24">
        <v>0</v>
      </c>
      <c r="AD470" s="24">
        <v>0</v>
      </c>
      <c r="AE470" s="24" t="s">
        <v>67</v>
      </c>
      <c r="AF470" s="114" t="s">
        <v>42</v>
      </c>
      <c r="AG470" s="114" t="s">
        <v>28</v>
      </c>
      <c r="AI470" s="104">
        <v>1079</v>
      </c>
      <c r="AJ470">
        <v>2582</v>
      </c>
    </row>
    <row r="471" spans="2:36" hidden="1" x14ac:dyDescent="0.25">
      <c r="B471" s="24" t="s">
        <v>147</v>
      </c>
      <c r="C471" s="24">
        <v>2</v>
      </c>
      <c r="D471" s="24"/>
      <c r="E471" s="23">
        <v>39972</v>
      </c>
      <c r="F471" s="104">
        <f t="shared" si="53"/>
        <v>2039</v>
      </c>
      <c r="G471" s="23">
        <v>41051</v>
      </c>
      <c r="H471" s="25">
        <v>42011</v>
      </c>
      <c r="I471" s="104">
        <f t="shared" si="52"/>
        <v>1079</v>
      </c>
      <c r="J471" s="19">
        <f t="shared" si="58"/>
        <v>960</v>
      </c>
      <c r="K471" t="s">
        <v>69</v>
      </c>
      <c r="L471" s="24">
        <v>6.19</v>
      </c>
      <c r="M471" s="19">
        <f t="shared" si="54"/>
        <v>1</v>
      </c>
      <c r="N471" s="19">
        <f t="shared" si="55"/>
        <v>1</v>
      </c>
      <c r="O471" s="19">
        <f t="shared" si="56"/>
        <v>1</v>
      </c>
      <c r="P471" s="19">
        <f t="shared" si="57"/>
        <v>1</v>
      </c>
      <c r="Q471" s="24">
        <f>0+10</f>
        <v>10</v>
      </c>
      <c r="R471" s="24">
        <v>0</v>
      </c>
      <c r="S471" s="24">
        <v>0</v>
      </c>
      <c r="T471" s="129">
        <v>0</v>
      </c>
      <c r="U471" s="129">
        <v>0</v>
      </c>
      <c r="V471" s="24">
        <v>50</v>
      </c>
      <c r="W471" s="24">
        <v>1</v>
      </c>
      <c r="X471" s="24">
        <v>2</v>
      </c>
      <c r="Y471" s="24">
        <v>0.35</v>
      </c>
      <c r="Z471" s="24">
        <v>4.5</v>
      </c>
      <c r="AA471" s="24">
        <v>0.5</v>
      </c>
      <c r="AB471" s="24">
        <v>0</v>
      </c>
      <c r="AC471" s="24">
        <v>0</v>
      </c>
      <c r="AD471" s="24">
        <v>0</v>
      </c>
      <c r="AE471" s="24" t="s">
        <v>67</v>
      </c>
      <c r="AF471" s="114" t="s">
        <v>42</v>
      </c>
      <c r="AG471" s="114" t="s">
        <v>28</v>
      </c>
      <c r="AI471" s="104">
        <v>1331</v>
      </c>
      <c r="AJ471">
        <v>2583</v>
      </c>
    </row>
    <row r="472" spans="2:36" hidden="1" x14ac:dyDescent="0.25">
      <c r="B472" s="24" t="s">
        <v>147</v>
      </c>
      <c r="C472" s="24">
        <v>2</v>
      </c>
      <c r="D472" s="24"/>
      <c r="E472" s="23">
        <v>39972</v>
      </c>
      <c r="F472" s="104">
        <f t="shared" si="53"/>
        <v>2039</v>
      </c>
      <c r="G472" s="25">
        <v>41303</v>
      </c>
      <c r="H472" s="25">
        <v>42011</v>
      </c>
      <c r="I472" s="104">
        <f t="shared" si="52"/>
        <v>1331</v>
      </c>
      <c r="J472" s="19">
        <f t="shared" si="58"/>
        <v>708</v>
      </c>
      <c r="K472" t="s">
        <v>69</v>
      </c>
      <c r="L472" s="4">
        <v>5.9</v>
      </c>
      <c r="M472" s="19">
        <f t="shared" si="54"/>
        <v>1</v>
      </c>
      <c r="N472" s="19">
        <f t="shared" si="55"/>
        <v>1</v>
      </c>
      <c r="O472" s="19">
        <f t="shared" si="56"/>
        <v>1</v>
      </c>
      <c r="P472" s="19">
        <f t="shared" si="57"/>
        <v>1</v>
      </c>
      <c r="Q472" s="4">
        <f>0+12</f>
        <v>12</v>
      </c>
      <c r="R472" s="4">
        <v>0</v>
      </c>
      <c r="S472" s="24">
        <v>0</v>
      </c>
      <c r="T472" s="129">
        <v>0</v>
      </c>
      <c r="U472" s="129">
        <v>0</v>
      </c>
      <c r="V472" s="24">
        <v>50</v>
      </c>
      <c r="W472" s="24">
        <v>1</v>
      </c>
      <c r="X472" s="24">
        <v>2</v>
      </c>
      <c r="Y472" s="24">
        <v>0.35</v>
      </c>
      <c r="Z472" s="24">
        <v>4.5</v>
      </c>
      <c r="AA472" s="24">
        <v>0.5</v>
      </c>
      <c r="AB472" s="24">
        <v>0</v>
      </c>
      <c r="AC472" s="24">
        <v>0</v>
      </c>
      <c r="AD472" s="24">
        <v>0</v>
      </c>
      <c r="AE472" s="24" t="s">
        <v>67</v>
      </c>
      <c r="AF472" s="114" t="s">
        <v>42</v>
      </c>
      <c r="AG472" s="114" t="s">
        <v>28</v>
      </c>
      <c r="AI472" s="104">
        <v>1379</v>
      </c>
      <c r="AJ472">
        <v>2583</v>
      </c>
    </row>
    <row r="473" spans="2:36" hidden="1" x14ac:dyDescent="0.25">
      <c r="B473" s="24" t="s">
        <v>147</v>
      </c>
      <c r="C473" s="24">
        <v>2</v>
      </c>
      <c r="D473" s="24"/>
      <c r="E473" s="23">
        <v>39972</v>
      </c>
      <c r="F473" s="104">
        <f t="shared" si="53"/>
        <v>2039</v>
      </c>
      <c r="G473" s="25">
        <v>41351</v>
      </c>
      <c r="H473" s="25">
        <v>42011</v>
      </c>
      <c r="I473" s="104">
        <f t="shared" si="52"/>
        <v>1379</v>
      </c>
      <c r="J473" s="19">
        <f t="shared" si="58"/>
        <v>660</v>
      </c>
      <c r="K473" t="s">
        <v>69</v>
      </c>
      <c r="L473" s="4">
        <v>5.8</v>
      </c>
      <c r="M473" s="19">
        <f t="shared" si="54"/>
        <v>1</v>
      </c>
      <c r="N473" s="19">
        <f t="shared" si="55"/>
        <v>1</v>
      </c>
      <c r="O473" s="19">
        <f t="shared" si="56"/>
        <v>1</v>
      </c>
      <c r="P473" s="19">
        <f t="shared" si="57"/>
        <v>1</v>
      </c>
      <c r="Q473" s="4">
        <f>0+7</f>
        <v>7</v>
      </c>
      <c r="R473" s="4">
        <v>0</v>
      </c>
      <c r="S473" s="24">
        <v>0</v>
      </c>
      <c r="T473" s="129">
        <v>0</v>
      </c>
      <c r="U473" s="129">
        <v>0</v>
      </c>
      <c r="V473" s="24">
        <v>50</v>
      </c>
      <c r="W473" s="24">
        <v>1</v>
      </c>
      <c r="X473" s="24">
        <v>2</v>
      </c>
      <c r="Y473" s="24">
        <v>0.35</v>
      </c>
      <c r="Z473" s="24">
        <v>4.5</v>
      </c>
      <c r="AA473" s="24">
        <v>0.75</v>
      </c>
      <c r="AB473" s="24">
        <v>0</v>
      </c>
      <c r="AC473" s="24">
        <v>0</v>
      </c>
      <c r="AD473" s="24">
        <v>0</v>
      </c>
      <c r="AE473" s="24" t="s">
        <v>67</v>
      </c>
      <c r="AF473" s="114" t="s">
        <v>42</v>
      </c>
      <c r="AG473" s="114" t="s">
        <v>28</v>
      </c>
      <c r="AI473" s="104">
        <v>1499</v>
      </c>
      <c r="AJ473">
        <v>2586</v>
      </c>
    </row>
    <row r="474" spans="2:36" hidden="1" x14ac:dyDescent="0.25">
      <c r="B474" s="24" t="s">
        <v>147</v>
      </c>
      <c r="C474" s="24">
        <v>2</v>
      </c>
      <c r="D474" s="24"/>
      <c r="E474" s="23">
        <v>39972</v>
      </c>
      <c r="F474" s="104">
        <f t="shared" si="53"/>
        <v>2039</v>
      </c>
      <c r="G474" s="25">
        <v>41471</v>
      </c>
      <c r="H474" s="25">
        <v>42011</v>
      </c>
      <c r="I474" s="104">
        <f t="shared" si="52"/>
        <v>1499</v>
      </c>
      <c r="J474" s="19">
        <f t="shared" si="58"/>
        <v>540</v>
      </c>
      <c r="K474" t="s">
        <v>69</v>
      </c>
      <c r="L474" s="4">
        <v>5.64</v>
      </c>
      <c r="M474" s="19">
        <f t="shared" si="54"/>
        <v>0</v>
      </c>
      <c r="N474" s="19">
        <f t="shared" si="55"/>
        <v>1</v>
      </c>
      <c r="O474" s="19">
        <f t="shared" si="56"/>
        <v>1</v>
      </c>
      <c r="P474" s="19">
        <f t="shared" si="57"/>
        <v>1</v>
      </c>
      <c r="Q474" s="4">
        <f>0+8</f>
        <v>8</v>
      </c>
      <c r="R474" s="4">
        <v>0</v>
      </c>
      <c r="S474" s="24">
        <v>0</v>
      </c>
      <c r="T474" s="129">
        <v>0</v>
      </c>
      <c r="U474" s="129">
        <v>0</v>
      </c>
      <c r="V474" s="24">
        <v>50</v>
      </c>
      <c r="W474" s="24">
        <v>1</v>
      </c>
      <c r="X474" s="24">
        <v>2</v>
      </c>
      <c r="Y474" s="24">
        <v>0.35</v>
      </c>
      <c r="Z474" s="24">
        <v>4.5</v>
      </c>
      <c r="AA474" s="24">
        <v>1</v>
      </c>
      <c r="AB474" s="24">
        <v>0</v>
      </c>
      <c r="AC474" s="24">
        <v>0</v>
      </c>
      <c r="AD474" s="24">
        <v>0</v>
      </c>
      <c r="AE474" s="24" t="s">
        <v>67</v>
      </c>
      <c r="AF474" s="114" t="s">
        <v>42</v>
      </c>
      <c r="AG474" s="114" t="s">
        <v>28</v>
      </c>
      <c r="AI474" s="104">
        <v>1572</v>
      </c>
      <c r="AJ474">
        <v>2605</v>
      </c>
    </row>
    <row r="475" spans="2:36" hidden="1" x14ac:dyDescent="0.25">
      <c r="B475" s="24" t="s">
        <v>147</v>
      </c>
      <c r="C475" s="24">
        <v>2</v>
      </c>
      <c r="D475" s="24"/>
      <c r="E475" s="23">
        <v>39972</v>
      </c>
      <c r="F475" s="104">
        <f t="shared" si="53"/>
        <v>2039</v>
      </c>
      <c r="G475" s="25">
        <v>41544</v>
      </c>
      <c r="H475" s="25">
        <v>42011</v>
      </c>
      <c r="I475" s="104">
        <f t="shared" si="52"/>
        <v>1572</v>
      </c>
      <c r="J475" s="19">
        <f t="shared" si="58"/>
        <v>467</v>
      </c>
      <c r="K475" t="s">
        <v>69</v>
      </c>
      <c r="L475" s="4">
        <v>5.47</v>
      </c>
      <c r="M475" s="19">
        <f t="shared" si="54"/>
        <v>0</v>
      </c>
      <c r="N475" s="19">
        <f t="shared" si="55"/>
        <v>1</v>
      </c>
      <c r="O475" s="19">
        <f t="shared" si="56"/>
        <v>1</v>
      </c>
      <c r="P475" s="19">
        <f t="shared" si="57"/>
        <v>1</v>
      </c>
      <c r="Q475" s="4">
        <v>1</v>
      </c>
      <c r="R475" s="4">
        <v>0</v>
      </c>
      <c r="S475" s="24">
        <v>0</v>
      </c>
      <c r="T475" s="125">
        <v>1</v>
      </c>
      <c r="U475" s="125">
        <v>0</v>
      </c>
      <c r="V475" s="24">
        <v>50</v>
      </c>
      <c r="W475" s="4">
        <v>0</v>
      </c>
      <c r="X475" s="4">
        <v>2</v>
      </c>
      <c r="Y475" s="4">
        <v>0.35</v>
      </c>
      <c r="Z475" s="4">
        <v>7</v>
      </c>
      <c r="AA475" s="4">
        <v>1</v>
      </c>
      <c r="AB475" s="24">
        <v>0</v>
      </c>
      <c r="AC475" s="24">
        <v>0</v>
      </c>
      <c r="AD475" s="24">
        <v>0</v>
      </c>
      <c r="AE475" s="24" t="s">
        <v>67</v>
      </c>
      <c r="AF475" s="118" t="s">
        <v>45</v>
      </c>
      <c r="AG475" s="118" t="s">
        <v>43</v>
      </c>
      <c r="AI475" s="104">
        <v>1575</v>
      </c>
      <c r="AJ475">
        <v>2611</v>
      </c>
    </row>
    <row r="476" spans="2:36" hidden="1" x14ac:dyDescent="0.25">
      <c r="B476" s="24" t="s">
        <v>147</v>
      </c>
      <c r="C476" s="24">
        <v>2</v>
      </c>
      <c r="E476" s="27">
        <v>39972</v>
      </c>
      <c r="F476" s="104">
        <f t="shared" si="53"/>
        <v>2039</v>
      </c>
      <c r="G476" s="25">
        <v>41547</v>
      </c>
      <c r="H476" s="25">
        <v>42011</v>
      </c>
      <c r="I476" s="104">
        <f t="shared" si="52"/>
        <v>1575</v>
      </c>
      <c r="J476" s="19">
        <f t="shared" si="58"/>
        <v>464</v>
      </c>
      <c r="K476" t="s">
        <v>69</v>
      </c>
      <c r="L476" s="4">
        <v>5.39</v>
      </c>
      <c r="M476" s="19">
        <f t="shared" si="54"/>
        <v>0</v>
      </c>
      <c r="N476" s="19">
        <f t="shared" si="55"/>
        <v>1</v>
      </c>
      <c r="O476" s="19">
        <f t="shared" si="56"/>
        <v>1</v>
      </c>
      <c r="P476" s="19">
        <f t="shared" si="57"/>
        <v>1</v>
      </c>
      <c r="Q476" s="4">
        <v>5</v>
      </c>
      <c r="R476" s="4">
        <v>0</v>
      </c>
      <c r="S476" s="24">
        <v>0</v>
      </c>
      <c r="T476" s="128">
        <v>0</v>
      </c>
      <c r="U476" s="128">
        <v>0</v>
      </c>
      <c r="V476" s="24">
        <v>50</v>
      </c>
      <c r="W476" s="4">
        <v>1</v>
      </c>
      <c r="X476" s="4">
        <v>2</v>
      </c>
      <c r="Y476" s="4">
        <v>0.35</v>
      </c>
      <c r="Z476" s="4">
        <v>7</v>
      </c>
      <c r="AA476" s="4">
        <v>1</v>
      </c>
      <c r="AB476" s="24">
        <v>0</v>
      </c>
      <c r="AC476" s="24">
        <v>0</v>
      </c>
      <c r="AD476" s="24">
        <v>0</v>
      </c>
      <c r="AE476" s="4" t="s">
        <v>67</v>
      </c>
      <c r="AG476" s="118" t="s">
        <v>106</v>
      </c>
      <c r="AI476" s="104">
        <v>1625</v>
      </c>
      <c r="AJ476">
        <v>2615</v>
      </c>
    </row>
    <row r="477" spans="2:36" hidden="1" x14ac:dyDescent="0.25">
      <c r="B477" s="24" t="s">
        <v>147</v>
      </c>
      <c r="C477" s="24">
        <v>2</v>
      </c>
      <c r="D477" s="24"/>
      <c r="E477" s="23">
        <v>39972</v>
      </c>
      <c r="F477" s="104">
        <f t="shared" si="53"/>
        <v>2039</v>
      </c>
      <c r="G477" s="25">
        <v>41597</v>
      </c>
      <c r="H477" s="25">
        <v>42011</v>
      </c>
      <c r="I477" s="104">
        <f t="shared" si="52"/>
        <v>1625</v>
      </c>
      <c r="J477" s="19">
        <f t="shared" si="58"/>
        <v>414</v>
      </c>
      <c r="K477" t="s">
        <v>69</v>
      </c>
      <c r="L477" s="4">
        <v>5.3</v>
      </c>
      <c r="M477" s="19">
        <f t="shared" si="54"/>
        <v>0</v>
      </c>
      <c r="N477" s="19">
        <f t="shared" si="55"/>
        <v>1</v>
      </c>
      <c r="O477" s="19">
        <f t="shared" si="56"/>
        <v>1</v>
      </c>
      <c r="P477" s="19">
        <f t="shared" si="57"/>
        <v>1</v>
      </c>
      <c r="Q477" s="4">
        <v>1</v>
      </c>
      <c r="R477" s="4">
        <v>0</v>
      </c>
      <c r="S477" s="24">
        <v>0</v>
      </c>
      <c r="T477" s="129">
        <v>0</v>
      </c>
      <c r="U477" s="129">
        <v>0</v>
      </c>
      <c r="V477" s="24">
        <v>50</v>
      </c>
      <c r="W477" s="4">
        <v>0</v>
      </c>
      <c r="X477" s="4">
        <v>2</v>
      </c>
      <c r="Y477" s="4">
        <v>0.35</v>
      </c>
      <c r="Z477" s="4">
        <v>7</v>
      </c>
      <c r="AA477" s="4">
        <v>1</v>
      </c>
      <c r="AB477" s="24">
        <v>0</v>
      </c>
      <c r="AC477" s="24">
        <v>0</v>
      </c>
      <c r="AD477" s="24">
        <v>0</v>
      </c>
      <c r="AE477" s="24" t="s">
        <v>67</v>
      </c>
      <c r="AF477" s="114" t="s">
        <v>42</v>
      </c>
      <c r="AG477" s="118" t="s">
        <v>43</v>
      </c>
      <c r="AI477" s="104">
        <v>1758</v>
      </c>
      <c r="AJ477">
        <v>2617</v>
      </c>
    </row>
    <row r="478" spans="2:36" hidden="1" x14ac:dyDescent="0.25">
      <c r="B478" s="24" t="s">
        <v>147</v>
      </c>
      <c r="C478" s="24">
        <v>2</v>
      </c>
      <c r="D478" s="24"/>
      <c r="E478" s="23">
        <v>39972</v>
      </c>
      <c r="F478" s="104">
        <f t="shared" si="53"/>
        <v>2039</v>
      </c>
      <c r="G478" s="27">
        <v>41730</v>
      </c>
      <c r="H478" s="25">
        <v>42011</v>
      </c>
      <c r="I478" s="104">
        <f t="shared" si="52"/>
        <v>1758</v>
      </c>
      <c r="J478" s="19">
        <f t="shared" si="58"/>
        <v>281</v>
      </c>
      <c r="K478" t="s">
        <v>69</v>
      </c>
      <c r="L478" s="24">
        <v>5.23</v>
      </c>
      <c r="M478" s="19">
        <f t="shared" si="54"/>
        <v>0</v>
      </c>
      <c r="N478" s="19">
        <f t="shared" si="55"/>
        <v>0</v>
      </c>
      <c r="O478" s="19">
        <f t="shared" si="56"/>
        <v>1</v>
      </c>
      <c r="P478" s="19">
        <f t="shared" si="57"/>
        <v>1</v>
      </c>
      <c r="Q478" s="24">
        <v>0</v>
      </c>
      <c r="R478" s="24">
        <v>0</v>
      </c>
      <c r="S478" s="24">
        <v>0</v>
      </c>
      <c r="T478" s="129">
        <v>0</v>
      </c>
      <c r="U478" s="129">
        <v>0</v>
      </c>
      <c r="V478" s="24">
        <v>50</v>
      </c>
      <c r="W478" s="4">
        <v>0</v>
      </c>
      <c r="X478" s="4">
        <v>2</v>
      </c>
      <c r="Y478" s="4">
        <v>0.35</v>
      </c>
      <c r="Z478" s="4">
        <v>7</v>
      </c>
      <c r="AA478" s="4">
        <v>1</v>
      </c>
      <c r="AB478" s="4">
        <v>0</v>
      </c>
      <c r="AC478" s="4">
        <v>0</v>
      </c>
      <c r="AD478" s="24">
        <v>0</v>
      </c>
      <c r="AE478" s="24" t="s">
        <v>67</v>
      </c>
      <c r="AF478" s="114" t="s">
        <v>42</v>
      </c>
      <c r="AG478" s="118" t="s">
        <v>43</v>
      </c>
      <c r="AI478" s="104">
        <v>1975</v>
      </c>
      <c r="AJ478">
        <v>2617</v>
      </c>
    </row>
    <row r="479" spans="2:36" hidden="1" x14ac:dyDescent="0.25">
      <c r="B479" s="24" t="s">
        <v>147</v>
      </c>
      <c r="C479" s="24">
        <v>2</v>
      </c>
      <c r="D479" s="24"/>
      <c r="E479" s="23">
        <v>39972</v>
      </c>
      <c r="F479" s="104">
        <f t="shared" si="53"/>
        <v>2039</v>
      </c>
      <c r="G479" s="25">
        <v>41947</v>
      </c>
      <c r="H479" s="25">
        <v>42011</v>
      </c>
      <c r="I479" s="104">
        <f t="shared" si="52"/>
        <v>1975</v>
      </c>
      <c r="J479" s="19">
        <f t="shared" si="58"/>
        <v>64</v>
      </c>
      <c r="K479" t="s">
        <v>69</v>
      </c>
      <c r="L479" s="4">
        <v>5.16</v>
      </c>
      <c r="M479" s="19">
        <f t="shared" si="54"/>
        <v>0</v>
      </c>
      <c r="N479" s="19">
        <f t="shared" si="55"/>
        <v>0</v>
      </c>
      <c r="O479" s="19">
        <f t="shared" si="56"/>
        <v>0</v>
      </c>
      <c r="P479" s="19">
        <f t="shared" si="57"/>
        <v>0</v>
      </c>
      <c r="Q479" s="4">
        <v>1</v>
      </c>
      <c r="R479" s="4">
        <v>0</v>
      </c>
      <c r="S479" s="24">
        <v>0</v>
      </c>
      <c r="T479" s="129">
        <v>0</v>
      </c>
      <c r="U479" s="129">
        <v>0</v>
      </c>
      <c r="V479" s="24">
        <v>50</v>
      </c>
      <c r="W479" s="4">
        <v>0</v>
      </c>
      <c r="X479" s="4">
        <v>2</v>
      </c>
      <c r="Y479" s="4">
        <v>0.35</v>
      </c>
      <c r="Z479" s="4">
        <v>7</v>
      </c>
      <c r="AA479" s="4">
        <v>1</v>
      </c>
      <c r="AB479" s="24">
        <v>0</v>
      </c>
      <c r="AC479" s="24">
        <v>0</v>
      </c>
      <c r="AD479" s="24">
        <v>0</v>
      </c>
      <c r="AE479" s="24" t="s">
        <v>67</v>
      </c>
      <c r="AF479" s="114" t="s">
        <v>42</v>
      </c>
      <c r="AG479" s="118" t="s">
        <v>43</v>
      </c>
      <c r="AI479" s="104">
        <v>2039</v>
      </c>
      <c r="AJ479">
        <v>2619</v>
      </c>
    </row>
    <row r="480" spans="2:36" hidden="1" x14ac:dyDescent="0.25">
      <c r="B480" s="24" t="s">
        <v>147</v>
      </c>
      <c r="C480" s="24">
        <v>2</v>
      </c>
      <c r="E480" s="27">
        <v>39972</v>
      </c>
      <c r="F480" s="104">
        <f t="shared" si="53"/>
        <v>2039</v>
      </c>
      <c r="G480" s="25">
        <v>42011</v>
      </c>
      <c r="H480" s="25">
        <v>42011</v>
      </c>
      <c r="I480" s="104">
        <f t="shared" si="52"/>
        <v>2039</v>
      </c>
      <c r="J480" s="19">
        <f t="shared" si="58"/>
        <v>0</v>
      </c>
      <c r="K480" t="s">
        <v>69</v>
      </c>
      <c r="L480" s="4">
        <v>5.14</v>
      </c>
      <c r="M480" s="19">
        <f t="shared" si="54"/>
        <v>0</v>
      </c>
      <c r="N480" s="19">
        <f t="shared" si="55"/>
        <v>0</v>
      </c>
      <c r="O480" s="19">
        <f t="shared" si="56"/>
        <v>0</v>
      </c>
      <c r="P480" s="19">
        <f t="shared" si="57"/>
        <v>0</v>
      </c>
      <c r="Q480" s="4">
        <v>3</v>
      </c>
      <c r="R480" s="4">
        <v>0</v>
      </c>
      <c r="S480" s="24">
        <v>0</v>
      </c>
      <c r="T480" s="128">
        <v>0</v>
      </c>
      <c r="U480" s="128">
        <v>0</v>
      </c>
      <c r="V480" s="24">
        <v>50</v>
      </c>
      <c r="W480" s="4">
        <v>1</v>
      </c>
      <c r="X480" s="4">
        <v>2</v>
      </c>
      <c r="Y480" s="4">
        <v>0.35</v>
      </c>
      <c r="Z480" s="4">
        <v>7</v>
      </c>
      <c r="AA480" s="4">
        <v>1</v>
      </c>
      <c r="AB480" s="24">
        <v>0</v>
      </c>
      <c r="AC480" s="24">
        <v>0</v>
      </c>
      <c r="AD480" s="24">
        <v>0</v>
      </c>
      <c r="AE480" s="4" t="s">
        <v>67</v>
      </c>
      <c r="AG480" s="118" t="s">
        <v>106</v>
      </c>
      <c r="AI480" s="104">
        <v>106</v>
      </c>
      <c r="AJ480">
        <v>2631</v>
      </c>
    </row>
    <row r="481" spans="2:36" hidden="1" x14ac:dyDescent="0.25">
      <c r="B481" s="24" t="s">
        <v>122</v>
      </c>
      <c r="C481" s="24">
        <v>2</v>
      </c>
      <c r="E481" s="27">
        <v>39993</v>
      </c>
      <c r="F481" s="104">
        <f t="shared" si="53"/>
        <v>2122</v>
      </c>
      <c r="G481" s="25">
        <v>40099</v>
      </c>
      <c r="H481" s="89">
        <v>42115</v>
      </c>
      <c r="I481" s="104">
        <f t="shared" si="52"/>
        <v>106</v>
      </c>
      <c r="J481" s="19">
        <f t="shared" si="58"/>
        <v>2016</v>
      </c>
      <c r="K481" t="s">
        <v>69</v>
      </c>
      <c r="L481" s="4">
        <v>6.46</v>
      </c>
      <c r="M481" s="19">
        <f t="shared" si="54"/>
        <v>1</v>
      </c>
      <c r="N481" s="19">
        <f t="shared" si="55"/>
        <v>1</v>
      </c>
      <c r="O481" s="19">
        <f t="shared" si="56"/>
        <v>1</v>
      </c>
      <c r="P481" s="19">
        <f t="shared" si="57"/>
        <v>1</v>
      </c>
      <c r="Q481" s="4">
        <v>88</v>
      </c>
      <c r="R481" s="4">
        <v>0</v>
      </c>
      <c r="S481" s="24">
        <v>0</v>
      </c>
      <c r="T481" s="127">
        <v>0</v>
      </c>
      <c r="U481" s="127">
        <v>1</v>
      </c>
      <c r="V481" s="4">
        <v>55</v>
      </c>
      <c r="W481" s="4">
        <v>0</v>
      </c>
      <c r="X481" s="4">
        <v>3.5</v>
      </c>
      <c r="Y481" s="4">
        <v>0.35</v>
      </c>
      <c r="Z481" s="4">
        <v>3.5</v>
      </c>
      <c r="AA481" s="4">
        <v>0.35</v>
      </c>
      <c r="AB481" s="24">
        <v>0</v>
      </c>
      <c r="AC481" s="24">
        <v>0</v>
      </c>
      <c r="AD481" s="24">
        <v>0</v>
      </c>
      <c r="AE481" s="4" t="s">
        <v>63</v>
      </c>
      <c r="AF481" s="138" t="s">
        <v>46</v>
      </c>
      <c r="AG481" s="118" t="s">
        <v>285</v>
      </c>
      <c r="AI481" s="104">
        <v>288</v>
      </c>
      <c r="AJ481">
        <v>2638</v>
      </c>
    </row>
    <row r="482" spans="2:36" hidden="1" x14ac:dyDescent="0.25">
      <c r="B482" s="24" t="s">
        <v>122</v>
      </c>
      <c r="C482" s="24">
        <v>2</v>
      </c>
      <c r="E482" s="27">
        <v>39993</v>
      </c>
      <c r="F482" s="104">
        <f t="shared" si="53"/>
        <v>2122</v>
      </c>
      <c r="G482" s="25">
        <v>40281</v>
      </c>
      <c r="H482" s="25">
        <v>42115</v>
      </c>
      <c r="I482" s="104">
        <f t="shared" si="52"/>
        <v>288</v>
      </c>
      <c r="J482" s="19">
        <f t="shared" si="58"/>
        <v>1834</v>
      </c>
      <c r="K482" t="s">
        <v>69</v>
      </c>
      <c r="L482" s="4">
        <v>6.43</v>
      </c>
      <c r="M482" s="19">
        <f t="shared" si="54"/>
        <v>1</v>
      </c>
      <c r="N482" s="19">
        <f t="shared" si="55"/>
        <v>1</v>
      </c>
      <c r="O482" s="19">
        <f t="shared" si="56"/>
        <v>1</v>
      </c>
      <c r="P482" s="19">
        <f t="shared" si="57"/>
        <v>1</v>
      </c>
      <c r="Q482" s="4">
        <v>76</v>
      </c>
      <c r="R482" s="4">
        <v>0</v>
      </c>
      <c r="S482" s="24">
        <v>0</v>
      </c>
      <c r="T482" s="127">
        <v>0</v>
      </c>
      <c r="U482" s="127">
        <v>3</v>
      </c>
      <c r="V482" s="4">
        <v>55</v>
      </c>
      <c r="W482" s="4">
        <v>0</v>
      </c>
      <c r="X482" s="4">
        <v>3.5</v>
      </c>
      <c r="Y482" s="4">
        <v>0.35</v>
      </c>
      <c r="Z482" s="4">
        <v>3.5</v>
      </c>
      <c r="AA482" s="4">
        <v>0.35</v>
      </c>
      <c r="AB482" s="24">
        <v>0</v>
      </c>
      <c r="AC482" s="24">
        <v>0</v>
      </c>
      <c r="AD482" s="24">
        <v>0</v>
      </c>
      <c r="AE482" s="4" t="s">
        <v>63</v>
      </c>
      <c r="AF482" s="138" t="s">
        <v>261</v>
      </c>
      <c r="AG482" s="118" t="s">
        <v>285</v>
      </c>
      <c r="AI482" s="104">
        <v>484</v>
      </c>
      <c r="AJ482">
        <v>2639</v>
      </c>
    </row>
    <row r="483" spans="2:36" hidden="1" x14ac:dyDescent="0.25">
      <c r="B483" s="24" t="s">
        <v>122</v>
      </c>
      <c r="C483" s="24">
        <v>2</v>
      </c>
      <c r="E483" s="27">
        <v>39993</v>
      </c>
      <c r="F483" s="104">
        <f t="shared" si="53"/>
        <v>2122</v>
      </c>
      <c r="G483" s="25">
        <v>40477</v>
      </c>
      <c r="H483" s="25">
        <v>42115</v>
      </c>
      <c r="I483" s="104">
        <f t="shared" si="52"/>
        <v>484</v>
      </c>
      <c r="J483" s="19">
        <f t="shared" si="58"/>
        <v>1638</v>
      </c>
      <c r="K483" t="s">
        <v>69</v>
      </c>
      <c r="L483" s="4">
        <v>6.41</v>
      </c>
      <c r="M483" s="19">
        <f t="shared" si="54"/>
        <v>1</v>
      </c>
      <c r="N483" s="19">
        <f t="shared" si="55"/>
        <v>1</v>
      </c>
      <c r="O483" s="19">
        <f t="shared" si="56"/>
        <v>1</v>
      </c>
      <c r="P483" s="19">
        <f t="shared" si="57"/>
        <v>1</v>
      </c>
      <c r="Q483" s="4">
        <v>76</v>
      </c>
      <c r="R483" s="4">
        <v>0</v>
      </c>
      <c r="S483" s="24">
        <v>0</v>
      </c>
      <c r="T483" s="125">
        <v>0</v>
      </c>
      <c r="U483" s="125">
        <v>2</v>
      </c>
      <c r="V483" s="4">
        <v>55</v>
      </c>
      <c r="W483" s="4">
        <v>0</v>
      </c>
      <c r="X483" s="4">
        <v>3.5</v>
      </c>
      <c r="Y483" s="4">
        <v>0.35</v>
      </c>
      <c r="Z483" s="4">
        <v>3.5</v>
      </c>
      <c r="AA483" s="4">
        <v>0.35</v>
      </c>
      <c r="AB483" s="24">
        <v>0</v>
      </c>
      <c r="AC483" s="24">
        <v>0</v>
      </c>
      <c r="AD483" s="24">
        <v>0</v>
      </c>
      <c r="AE483" s="4" t="s">
        <v>63</v>
      </c>
      <c r="AF483" s="118" t="s">
        <v>77</v>
      </c>
      <c r="AG483" s="118" t="s">
        <v>285</v>
      </c>
      <c r="AI483" s="104">
        <v>666</v>
      </c>
      <c r="AJ483">
        <v>2647</v>
      </c>
    </row>
    <row r="484" spans="2:36" hidden="1" x14ac:dyDescent="0.25">
      <c r="B484" s="24" t="s">
        <v>122</v>
      </c>
      <c r="C484" s="24">
        <v>2</v>
      </c>
      <c r="D484" s="24"/>
      <c r="E484" s="23">
        <v>39993</v>
      </c>
      <c r="F484" s="104">
        <f t="shared" si="53"/>
        <v>2122</v>
      </c>
      <c r="G484" s="23">
        <v>40659</v>
      </c>
      <c r="H484" s="25">
        <v>42115</v>
      </c>
      <c r="I484" s="104">
        <f t="shared" si="52"/>
        <v>666</v>
      </c>
      <c r="J484" s="19">
        <f t="shared" si="58"/>
        <v>1456</v>
      </c>
      <c r="K484" t="s">
        <v>69</v>
      </c>
      <c r="L484" s="24">
        <v>6.37</v>
      </c>
      <c r="M484" s="19">
        <f t="shared" si="54"/>
        <v>1</v>
      </c>
      <c r="N484" s="19">
        <f t="shared" si="55"/>
        <v>1</v>
      </c>
      <c r="O484" s="19">
        <f t="shared" si="56"/>
        <v>1</v>
      </c>
      <c r="P484" s="19">
        <f t="shared" si="57"/>
        <v>1</v>
      </c>
      <c r="Q484" s="24">
        <v>83</v>
      </c>
      <c r="R484" s="24">
        <v>0</v>
      </c>
      <c r="S484" s="24">
        <v>0</v>
      </c>
      <c r="T484" s="129">
        <v>0</v>
      </c>
      <c r="U484" s="129">
        <v>2</v>
      </c>
      <c r="V484" s="4">
        <v>55</v>
      </c>
      <c r="W484" s="24">
        <v>0</v>
      </c>
      <c r="X484" s="24">
        <v>3.5</v>
      </c>
      <c r="Y484" s="24">
        <v>0.35</v>
      </c>
      <c r="Z484" s="24">
        <v>3.5</v>
      </c>
      <c r="AA484" s="24">
        <v>0.35</v>
      </c>
      <c r="AB484" s="24">
        <v>0</v>
      </c>
      <c r="AC484" s="24">
        <v>0</v>
      </c>
      <c r="AD484" s="24">
        <v>0</v>
      </c>
      <c r="AE484" s="24" t="s">
        <v>63</v>
      </c>
      <c r="AF484" s="114" t="s">
        <v>77</v>
      </c>
      <c r="AG484" s="114" t="s">
        <v>43</v>
      </c>
      <c r="AI484" s="104">
        <v>687</v>
      </c>
      <c r="AJ484">
        <v>2660</v>
      </c>
    </row>
    <row r="485" spans="2:36" hidden="1" x14ac:dyDescent="0.25">
      <c r="B485" s="24" t="s">
        <v>122</v>
      </c>
      <c r="C485" s="24">
        <v>2</v>
      </c>
      <c r="D485" s="24"/>
      <c r="E485" s="23">
        <v>39993</v>
      </c>
      <c r="F485" s="104">
        <f t="shared" si="53"/>
        <v>2122</v>
      </c>
      <c r="G485" s="23">
        <v>40680</v>
      </c>
      <c r="H485" s="25">
        <v>42115</v>
      </c>
      <c r="I485" s="104">
        <f t="shared" si="52"/>
        <v>687</v>
      </c>
      <c r="J485" s="19">
        <f t="shared" si="58"/>
        <v>1435</v>
      </c>
      <c r="K485" t="s">
        <v>69</v>
      </c>
      <c r="L485" s="24">
        <v>6.37</v>
      </c>
      <c r="M485" s="19">
        <f t="shared" si="54"/>
        <v>1</v>
      </c>
      <c r="N485" s="19">
        <f t="shared" si="55"/>
        <v>1</v>
      </c>
      <c r="O485" s="19">
        <f t="shared" si="56"/>
        <v>1</v>
      </c>
      <c r="P485" s="19">
        <f t="shared" si="57"/>
        <v>1</v>
      </c>
      <c r="Q485" s="24">
        <v>81</v>
      </c>
      <c r="R485" s="24">
        <v>0</v>
      </c>
      <c r="S485" s="24">
        <v>0</v>
      </c>
      <c r="T485" s="127">
        <v>1</v>
      </c>
      <c r="U485" s="127">
        <v>4</v>
      </c>
      <c r="V485" s="4">
        <v>55</v>
      </c>
      <c r="W485" s="24">
        <v>0</v>
      </c>
      <c r="X485" s="24">
        <v>3.5</v>
      </c>
      <c r="Y485" s="24">
        <v>0.35</v>
      </c>
      <c r="Z485" s="24">
        <v>3.5</v>
      </c>
      <c r="AA485" s="24">
        <v>0.35</v>
      </c>
      <c r="AB485" s="24">
        <v>0</v>
      </c>
      <c r="AC485" s="24">
        <v>0</v>
      </c>
      <c r="AD485" s="24">
        <v>0</v>
      </c>
      <c r="AE485" s="24" t="s">
        <v>63</v>
      </c>
      <c r="AF485" s="138" t="s">
        <v>128</v>
      </c>
      <c r="AG485" s="114" t="s">
        <v>43</v>
      </c>
      <c r="AI485" s="104">
        <v>701</v>
      </c>
      <c r="AJ485">
        <v>2664</v>
      </c>
    </row>
    <row r="486" spans="2:36" hidden="1" x14ac:dyDescent="0.25">
      <c r="B486" s="24" t="s">
        <v>122</v>
      </c>
      <c r="C486" s="24">
        <v>2</v>
      </c>
      <c r="E486" s="27">
        <v>39993</v>
      </c>
      <c r="F486" s="104">
        <f t="shared" si="53"/>
        <v>2122</v>
      </c>
      <c r="G486" s="25">
        <v>40694</v>
      </c>
      <c r="H486" s="25">
        <v>42115</v>
      </c>
      <c r="I486" s="104">
        <f t="shared" si="52"/>
        <v>701</v>
      </c>
      <c r="J486" s="19">
        <f t="shared" si="58"/>
        <v>1421</v>
      </c>
      <c r="K486" t="s">
        <v>69</v>
      </c>
      <c r="L486" s="4">
        <v>6.37</v>
      </c>
      <c r="M486" s="19">
        <f t="shared" si="54"/>
        <v>1</v>
      </c>
      <c r="N486" s="19">
        <f t="shared" si="55"/>
        <v>1</v>
      </c>
      <c r="O486" s="19">
        <f t="shared" si="56"/>
        <v>1</v>
      </c>
      <c r="P486" s="19">
        <f t="shared" si="57"/>
        <v>1</v>
      </c>
      <c r="Q486" s="4">
        <v>80</v>
      </c>
      <c r="R486" s="4">
        <v>0</v>
      </c>
      <c r="S486" s="24">
        <v>0</v>
      </c>
      <c r="T486" s="125">
        <v>0</v>
      </c>
      <c r="U486" s="125">
        <v>0</v>
      </c>
      <c r="V486" s="4">
        <v>55</v>
      </c>
      <c r="W486" s="4">
        <v>0</v>
      </c>
      <c r="X486" s="4">
        <v>3.5</v>
      </c>
      <c r="Y486" s="4">
        <v>0.35</v>
      </c>
      <c r="Z486" s="4">
        <v>2.5</v>
      </c>
      <c r="AA486" s="4">
        <v>0.35</v>
      </c>
      <c r="AB486" s="24">
        <v>0</v>
      </c>
      <c r="AC486" s="24">
        <v>0</v>
      </c>
      <c r="AD486" s="24">
        <v>0</v>
      </c>
      <c r="AE486" s="4" t="s">
        <v>63</v>
      </c>
      <c r="AF486" s="118" t="s">
        <v>42</v>
      </c>
      <c r="AG486" s="118" t="s">
        <v>285</v>
      </c>
      <c r="AI486" s="104">
        <v>869</v>
      </c>
      <c r="AJ486">
        <v>2667</v>
      </c>
    </row>
    <row r="487" spans="2:36" hidden="1" x14ac:dyDescent="0.25">
      <c r="B487" s="24" t="s">
        <v>122</v>
      </c>
      <c r="C487" s="24">
        <v>2</v>
      </c>
      <c r="D487" s="24"/>
      <c r="E487" s="23">
        <v>39993</v>
      </c>
      <c r="F487" s="104">
        <f t="shared" si="53"/>
        <v>2122</v>
      </c>
      <c r="G487" s="23">
        <v>40862</v>
      </c>
      <c r="H487" s="25">
        <v>42115</v>
      </c>
      <c r="I487" s="104">
        <f t="shared" si="52"/>
        <v>869</v>
      </c>
      <c r="J487" s="19">
        <f t="shared" si="58"/>
        <v>1253</v>
      </c>
      <c r="K487" t="s">
        <v>69</v>
      </c>
      <c r="L487" s="24">
        <v>6.27</v>
      </c>
      <c r="M487" s="19">
        <f t="shared" si="54"/>
        <v>1</v>
      </c>
      <c r="N487" s="19">
        <f t="shared" si="55"/>
        <v>1</v>
      </c>
      <c r="O487" s="19">
        <f t="shared" si="56"/>
        <v>1</v>
      </c>
      <c r="P487" s="19">
        <f t="shared" si="57"/>
        <v>1</v>
      </c>
      <c r="Q487" s="24">
        <v>95</v>
      </c>
      <c r="R487" s="24">
        <v>0</v>
      </c>
      <c r="S487" s="24">
        <v>0</v>
      </c>
      <c r="T487" s="129">
        <v>0</v>
      </c>
      <c r="U487" s="129">
        <v>1</v>
      </c>
      <c r="V487" s="4">
        <v>55</v>
      </c>
      <c r="W487" s="24">
        <v>0</v>
      </c>
      <c r="X487" s="24">
        <v>3.5</v>
      </c>
      <c r="Y487" s="24">
        <v>0.35</v>
      </c>
      <c r="Z487" s="24">
        <v>2.5</v>
      </c>
      <c r="AA487" s="24">
        <v>0.35</v>
      </c>
      <c r="AB487" s="24">
        <v>0</v>
      </c>
      <c r="AC487" s="24">
        <v>0</v>
      </c>
      <c r="AD487" s="24">
        <v>0</v>
      </c>
      <c r="AE487" s="24" t="s">
        <v>63</v>
      </c>
      <c r="AF487" s="114" t="s">
        <v>46</v>
      </c>
      <c r="AG487" s="114" t="s">
        <v>43</v>
      </c>
      <c r="AI487" s="104">
        <v>1042</v>
      </c>
      <c r="AJ487">
        <v>2670</v>
      </c>
    </row>
    <row r="488" spans="2:36" hidden="1" x14ac:dyDescent="0.25">
      <c r="B488" s="24" t="s">
        <v>122</v>
      </c>
      <c r="C488" s="24">
        <v>2</v>
      </c>
      <c r="E488" s="27">
        <v>39993</v>
      </c>
      <c r="F488" s="104">
        <f t="shared" si="53"/>
        <v>2122</v>
      </c>
      <c r="G488" s="25">
        <v>41035</v>
      </c>
      <c r="H488" s="25">
        <v>42115</v>
      </c>
      <c r="I488" s="104">
        <f t="shared" si="52"/>
        <v>1042</v>
      </c>
      <c r="J488" s="19">
        <f t="shared" si="58"/>
        <v>1080</v>
      </c>
      <c r="K488" t="s">
        <v>69</v>
      </c>
      <c r="L488" s="4">
        <v>6.09</v>
      </c>
      <c r="M488" s="19">
        <f t="shared" si="54"/>
        <v>1</v>
      </c>
      <c r="N488" s="19">
        <f t="shared" si="55"/>
        <v>1</v>
      </c>
      <c r="O488" s="19">
        <f t="shared" si="56"/>
        <v>1</v>
      </c>
      <c r="P488" s="19">
        <f t="shared" si="57"/>
        <v>1</v>
      </c>
      <c r="Q488" s="4">
        <v>97</v>
      </c>
      <c r="R488" s="4">
        <v>0</v>
      </c>
      <c r="S488" s="24">
        <v>0</v>
      </c>
      <c r="T488" s="125">
        <v>0</v>
      </c>
      <c r="U488" s="125">
        <v>2</v>
      </c>
      <c r="V488" s="4">
        <v>55</v>
      </c>
      <c r="W488" s="4">
        <v>0</v>
      </c>
      <c r="X488" s="4">
        <v>3.5</v>
      </c>
      <c r="Y488" s="4">
        <v>0.35</v>
      </c>
      <c r="Z488" s="4">
        <v>2.5</v>
      </c>
      <c r="AA488" s="4">
        <v>0.35</v>
      </c>
      <c r="AB488" s="24">
        <v>0</v>
      </c>
      <c r="AC488" s="24">
        <v>0</v>
      </c>
      <c r="AD488" s="24">
        <v>0</v>
      </c>
      <c r="AE488" s="4" t="s">
        <v>63</v>
      </c>
      <c r="AF488" s="118" t="s">
        <v>77</v>
      </c>
      <c r="AG488" s="118" t="s">
        <v>285</v>
      </c>
      <c r="AI488" s="104">
        <v>1043</v>
      </c>
      <c r="AJ488">
        <v>2680</v>
      </c>
    </row>
    <row r="489" spans="2:36" hidden="1" x14ac:dyDescent="0.25">
      <c r="B489" s="24" t="s">
        <v>122</v>
      </c>
      <c r="C489" s="24">
        <v>2</v>
      </c>
      <c r="D489" s="24"/>
      <c r="E489" s="23">
        <v>39993</v>
      </c>
      <c r="F489" s="104">
        <f t="shared" si="53"/>
        <v>2122</v>
      </c>
      <c r="G489" s="23">
        <v>41036</v>
      </c>
      <c r="H489" s="25">
        <v>42115</v>
      </c>
      <c r="I489" s="104">
        <f t="shared" si="52"/>
        <v>1043</v>
      </c>
      <c r="J489" s="19">
        <f t="shared" si="58"/>
        <v>1079</v>
      </c>
      <c r="K489" t="s">
        <v>69</v>
      </c>
      <c r="L489" s="24">
        <v>6.09</v>
      </c>
      <c r="M489" s="19">
        <f t="shared" si="54"/>
        <v>1</v>
      </c>
      <c r="N489" s="19">
        <f t="shared" si="55"/>
        <v>1</v>
      </c>
      <c r="O489" s="19">
        <f t="shared" si="56"/>
        <v>1</v>
      </c>
      <c r="P489" s="19">
        <f t="shared" si="57"/>
        <v>1</v>
      </c>
      <c r="Q489" s="24">
        <v>88</v>
      </c>
      <c r="R489" s="24">
        <v>34</v>
      </c>
      <c r="S489" s="24">
        <v>0</v>
      </c>
      <c r="T489" s="129">
        <v>0</v>
      </c>
      <c r="U489" s="129">
        <v>2</v>
      </c>
      <c r="V489" s="4">
        <v>55</v>
      </c>
      <c r="W489" s="24">
        <v>0</v>
      </c>
      <c r="X489" s="24">
        <v>3.5</v>
      </c>
      <c r="Y489" s="24">
        <v>0.35</v>
      </c>
      <c r="Z489" s="24">
        <v>4.5</v>
      </c>
      <c r="AA489" s="24">
        <v>0.35</v>
      </c>
      <c r="AB489" s="24">
        <v>0</v>
      </c>
      <c r="AC489" s="24">
        <v>0</v>
      </c>
      <c r="AD489" s="24">
        <v>0</v>
      </c>
      <c r="AE489" s="24" t="s">
        <v>63</v>
      </c>
      <c r="AF489" s="146" t="s">
        <v>77</v>
      </c>
      <c r="AG489" s="114" t="s">
        <v>43</v>
      </c>
      <c r="AI489" s="104">
        <v>1220</v>
      </c>
      <c r="AJ489">
        <v>2686</v>
      </c>
    </row>
    <row r="490" spans="2:36" hidden="1" x14ac:dyDescent="0.25">
      <c r="B490" s="24" t="s">
        <v>122</v>
      </c>
      <c r="C490" s="24">
        <v>2</v>
      </c>
      <c r="D490" s="24"/>
      <c r="E490" s="23">
        <v>39993</v>
      </c>
      <c r="F490" s="104">
        <f t="shared" si="53"/>
        <v>2122</v>
      </c>
      <c r="G490" s="23">
        <v>41213</v>
      </c>
      <c r="H490" s="25">
        <v>42115</v>
      </c>
      <c r="I490" s="104">
        <f t="shared" si="52"/>
        <v>1220</v>
      </c>
      <c r="J490" s="19">
        <f t="shared" si="58"/>
        <v>902</v>
      </c>
      <c r="K490" t="s">
        <v>69</v>
      </c>
      <c r="L490" s="24">
        <v>5.85</v>
      </c>
      <c r="M490" s="19">
        <f t="shared" si="54"/>
        <v>1</v>
      </c>
      <c r="N490" s="19">
        <f t="shared" si="55"/>
        <v>1</v>
      </c>
      <c r="O490" s="19">
        <f t="shared" si="56"/>
        <v>1</v>
      </c>
      <c r="P490" s="19">
        <f t="shared" si="57"/>
        <v>1</v>
      </c>
      <c r="Q490" s="24">
        <v>99</v>
      </c>
      <c r="R490" s="24">
        <v>0</v>
      </c>
      <c r="S490" s="24">
        <v>0</v>
      </c>
      <c r="T490" s="129">
        <v>0</v>
      </c>
      <c r="U490" s="129">
        <v>0</v>
      </c>
      <c r="V490" s="4">
        <v>55</v>
      </c>
      <c r="W490" s="24">
        <v>0</v>
      </c>
      <c r="X490" s="24">
        <v>3.5</v>
      </c>
      <c r="Y490" s="24">
        <v>0.35</v>
      </c>
      <c r="Z490" s="24">
        <v>4</v>
      </c>
      <c r="AA490" s="24">
        <v>0.35</v>
      </c>
      <c r="AB490" s="24">
        <v>0</v>
      </c>
      <c r="AC490" s="24">
        <v>0</v>
      </c>
      <c r="AD490" s="24">
        <v>0</v>
      </c>
      <c r="AE490" s="24" t="s">
        <v>63</v>
      </c>
      <c r="AF490" s="114" t="s">
        <v>42</v>
      </c>
      <c r="AG490" s="114" t="s">
        <v>43</v>
      </c>
      <c r="AI490" s="104">
        <v>1330</v>
      </c>
      <c r="AJ490">
        <v>2687</v>
      </c>
    </row>
    <row r="491" spans="2:36" hidden="1" x14ac:dyDescent="0.25">
      <c r="B491" s="24" t="s">
        <v>122</v>
      </c>
      <c r="C491" s="24">
        <v>2</v>
      </c>
      <c r="D491" s="24"/>
      <c r="E491" s="23">
        <v>39993</v>
      </c>
      <c r="F491" s="104">
        <f t="shared" si="53"/>
        <v>2122</v>
      </c>
      <c r="G491" s="27">
        <v>41323</v>
      </c>
      <c r="H491" s="25">
        <v>42115</v>
      </c>
      <c r="I491" s="104">
        <f t="shared" si="52"/>
        <v>1330</v>
      </c>
      <c r="J491" s="19">
        <f t="shared" si="58"/>
        <v>792</v>
      </c>
      <c r="K491" t="s">
        <v>69</v>
      </c>
      <c r="L491" s="24">
        <v>5.65</v>
      </c>
      <c r="M491" s="19">
        <f t="shared" si="54"/>
        <v>1</v>
      </c>
      <c r="N491" s="19">
        <f t="shared" si="55"/>
        <v>1</v>
      </c>
      <c r="O491" s="19">
        <f t="shared" si="56"/>
        <v>1</v>
      </c>
      <c r="P491" s="19">
        <f t="shared" si="57"/>
        <v>1</v>
      </c>
      <c r="Q491" s="24">
        <v>99</v>
      </c>
      <c r="R491" s="24">
        <v>0</v>
      </c>
      <c r="S491" s="24">
        <v>0</v>
      </c>
      <c r="T491" s="129">
        <v>0</v>
      </c>
      <c r="U491" s="129">
        <v>0</v>
      </c>
      <c r="V491" s="24">
        <v>60</v>
      </c>
      <c r="W491" s="24">
        <v>1</v>
      </c>
      <c r="X491" s="24">
        <v>3.5</v>
      </c>
      <c r="Y491" s="24">
        <v>0.35</v>
      </c>
      <c r="Z491" s="24">
        <v>2.5</v>
      </c>
      <c r="AA491" s="24">
        <v>0.35</v>
      </c>
      <c r="AB491" s="24">
        <v>0</v>
      </c>
      <c r="AC491" s="24">
        <v>0</v>
      </c>
      <c r="AD491" s="24">
        <v>0</v>
      </c>
      <c r="AE491" s="24" t="s">
        <v>47</v>
      </c>
      <c r="AF491" s="114" t="s">
        <v>42</v>
      </c>
      <c r="AG491" s="114" t="s">
        <v>28</v>
      </c>
      <c r="AI491" s="104">
        <v>1481</v>
      </c>
      <c r="AJ491">
        <v>2689</v>
      </c>
    </row>
    <row r="492" spans="2:36" hidden="1" x14ac:dyDescent="0.25">
      <c r="B492" s="24" t="s">
        <v>122</v>
      </c>
      <c r="C492" s="24">
        <v>2</v>
      </c>
      <c r="D492" s="24"/>
      <c r="E492" s="23">
        <v>39993</v>
      </c>
      <c r="F492" s="104">
        <f t="shared" si="53"/>
        <v>2122</v>
      </c>
      <c r="G492" s="27">
        <v>41474</v>
      </c>
      <c r="H492" s="25">
        <v>42115</v>
      </c>
      <c r="I492" s="104">
        <f t="shared" si="52"/>
        <v>1481</v>
      </c>
      <c r="J492" s="19">
        <f t="shared" si="58"/>
        <v>641</v>
      </c>
      <c r="K492" t="s">
        <v>69</v>
      </c>
      <c r="L492" s="24">
        <v>5.32</v>
      </c>
      <c r="M492" s="19">
        <f t="shared" si="54"/>
        <v>1</v>
      </c>
      <c r="N492" s="19">
        <f t="shared" si="55"/>
        <v>1</v>
      </c>
      <c r="O492" s="19">
        <f t="shared" si="56"/>
        <v>1</v>
      </c>
      <c r="P492" s="19">
        <f t="shared" si="57"/>
        <v>1</v>
      </c>
      <c r="Q492" s="24">
        <v>99</v>
      </c>
      <c r="R492" s="24">
        <v>1</v>
      </c>
      <c r="S492" s="24">
        <v>0</v>
      </c>
      <c r="T492" s="129">
        <v>0</v>
      </c>
      <c r="U492" s="129">
        <v>1</v>
      </c>
      <c r="V492" s="24">
        <v>60</v>
      </c>
      <c r="W492" s="24">
        <v>1</v>
      </c>
      <c r="X492" s="24">
        <v>3.5</v>
      </c>
      <c r="Y492" s="24">
        <v>0.35</v>
      </c>
      <c r="Z492" s="24">
        <v>2.5</v>
      </c>
      <c r="AA492" s="24">
        <v>0.35</v>
      </c>
      <c r="AB492" s="24">
        <v>0</v>
      </c>
      <c r="AC492" s="24">
        <v>0</v>
      </c>
      <c r="AD492" s="24">
        <v>0</v>
      </c>
      <c r="AE492" s="24" t="s">
        <v>47</v>
      </c>
      <c r="AF492" s="114" t="s">
        <v>46</v>
      </c>
      <c r="AG492" s="114" t="s">
        <v>28</v>
      </c>
      <c r="AI492" s="104">
        <v>1485</v>
      </c>
      <c r="AJ492">
        <v>2702</v>
      </c>
    </row>
    <row r="493" spans="2:36" hidden="1" x14ac:dyDescent="0.25">
      <c r="B493" s="24" t="s">
        <v>122</v>
      </c>
      <c r="C493" s="24">
        <v>2</v>
      </c>
      <c r="E493" s="27">
        <v>39993</v>
      </c>
      <c r="F493" s="104">
        <f t="shared" si="53"/>
        <v>2122</v>
      </c>
      <c r="G493" s="25">
        <v>41478</v>
      </c>
      <c r="H493" s="25">
        <v>42115</v>
      </c>
      <c r="I493" s="104">
        <f t="shared" si="52"/>
        <v>1485</v>
      </c>
      <c r="J493" s="19">
        <f t="shared" si="58"/>
        <v>637</v>
      </c>
      <c r="K493" t="s">
        <v>69</v>
      </c>
      <c r="L493" s="4">
        <v>5.31</v>
      </c>
      <c r="M493" s="19">
        <f t="shared" si="54"/>
        <v>1</v>
      </c>
      <c r="N493" s="19">
        <f t="shared" si="55"/>
        <v>1</v>
      </c>
      <c r="O493" s="19">
        <f t="shared" si="56"/>
        <v>1</v>
      </c>
      <c r="P493" s="19">
        <f t="shared" si="57"/>
        <v>1</v>
      </c>
      <c r="Q493" s="4">
        <v>100</v>
      </c>
      <c r="R493" s="4">
        <v>16</v>
      </c>
      <c r="S493" s="24">
        <v>0</v>
      </c>
      <c r="T493" s="125">
        <v>0</v>
      </c>
      <c r="U493" s="125">
        <v>0</v>
      </c>
      <c r="V493" s="4">
        <v>55</v>
      </c>
      <c r="W493" s="4">
        <v>0</v>
      </c>
      <c r="X493" s="4">
        <v>3.5</v>
      </c>
      <c r="Y493" s="4">
        <v>0.35</v>
      </c>
      <c r="Z493" s="4">
        <v>2.5</v>
      </c>
      <c r="AA493" s="4">
        <v>0.35</v>
      </c>
      <c r="AB493" s="24">
        <v>0</v>
      </c>
      <c r="AC493" s="24">
        <v>0</v>
      </c>
      <c r="AD493" s="24">
        <v>0</v>
      </c>
      <c r="AE493" s="4" t="s">
        <v>63</v>
      </c>
      <c r="AF493" s="118" t="s">
        <v>42</v>
      </c>
      <c r="AG493" s="118" t="s">
        <v>285</v>
      </c>
      <c r="AI493" s="104">
        <v>1493</v>
      </c>
      <c r="AJ493">
        <v>2722</v>
      </c>
    </row>
    <row r="494" spans="2:36" hidden="1" x14ac:dyDescent="0.25">
      <c r="B494" s="24" t="s">
        <v>122</v>
      </c>
      <c r="C494" s="24">
        <v>2</v>
      </c>
      <c r="D494" s="24"/>
      <c r="E494" s="23">
        <v>39993</v>
      </c>
      <c r="F494" s="104">
        <f t="shared" si="53"/>
        <v>2122</v>
      </c>
      <c r="G494" s="27">
        <v>41486</v>
      </c>
      <c r="H494" s="25">
        <v>42115</v>
      </c>
      <c r="I494" s="104">
        <f t="shared" si="52"/>
        <v>1493</v>
      </c>
      <c r="J494" s="19">
        <f t="shared" si="58"/>
        <v>629</v>
      </c>
      <c r="K494" t="s">
        <v>69</v>
      </c>
      <c r="L494" s="24">
        <v>5.31</v>
      </c>
      <c r="M494" s="19">
        <f t="shared" si="54"/>
        <v>1</v>
      </c>
      <c r="N494" s="19">
        <f t="shared" si="55"/>
        <v>1</v>
      </c>
      <c r="O494" s="19">
        <f t="shared" si="56"/>
        <v>1</v>
      </c>
      <c r="P494" s="19">
        <f t="shared" si="57"/>
        <v>1</v>
      </c>
      <c r="Q494" s="24">
        <v>99</v>
      </c>
      <c r="R494" s="24">
        <v>5</v>
      </c>
      <c r="S494" s="24">
        <v>0</v>
      </c>
      <c r="T494" s="129">
        <v>0</v>
      </c>
      <c r="U494" s="129">
        <v>8</v>
      </c>
      <c r="V494" s="24">
        <v>60</v>
      </c>
      <c r="W494" s="24">
        <v>1</v>
      </c>
      <c r="X494" s="24">
        <v>3.5</v>
      </c>
      <c r="Y494" s="24">
        <v>0.35</v>
      </c>
      <c r="Z494" s="24">
        <v>2.5</v>
      </c>
      <c r="AA494" s="24">
        <v>0.35</v>
      </c>
      <c r="AB494" s="24">
        <v>0</v>
      </c>
      <c r="AC494" s="24">
        <v>0</v>
      </c>
      <c r="AD494" s="24">
        <v>0</v>
      </c>
      <c r="AE494" s="24" t="s">
        <v>47</v>
      </c>
      <c r="AF494" s="114" t="s">
        <v>129</v>
      </c>
      <c r="AG494" s="114" t="s">
        <v>28</v>
      </c>
      <c r="AI494" s="104">
        <v>1527</v>
      </c>
      <c r="AJ494">
        <v>2723</v>
      </c>
    </row>
    <row r="495" spans="2:36" hidden="1" x14ac:dyDescent="0.25">
      <c r="B495" s="24" t="s">
        <v>122</v>
      </c>
      <c r="C495" s="24">
        <v>2</v>
      </c>
      <c r="D495" s="24"/>
      <c r="E495" s="23">
        <v>39993</v>
      </c>
      <c r="F495" s="104">
        <f t="shared" si="53"/>
        <v>2122</v>
      </c>
      <c r="G495" s="27">
        <v>41520</v>
      </c>
      <c r="H495" s="25">
        <v>42115</v>
      </c>
      <c r="I495" s="104">
        <f t="shared" si="52"/>
        <v>1527</v>
      </c>
      <c r="J495" s="19">
        <f t="shared" si="58"/>
        <v>595</v>
      </c>
      <c r="K495" t="s">
        <v>69</v>
      </c>
      <c r="L495" s="24">
        <v>5.28</v>
      </c>
      <c r="M495" s="19">
        <f t="shared" si="54"/>
        <v>1</v>
      </c>
      <c r="N495" s="19">
        <f t="shared" si="55"/>
        <v>1</v>
      </c>
      <c r="O495" s="19">
        <f t="shared" si="56"/>
        <v>1</v>
      </c>
      <c r="P495" s="19">
        <f t="shared" si="57"/>
        <v>1</v>
      </c>
      <c r="Q495" s="24">
        <v>100</v>
      </c>
      <c r="R495" s="24">
        <v>0</v>
      </c>
      <c r="S495" s="24">
        <v>0</v>
      </c>
      <c r="T495" s="129">
        <v>0</v>
      </c>
      <c r="U495" s="129">
        <v>1</v>
      </c>
      <c r="V495" s="24">
        <v>60</v>
      </c>
      <c r="W495" s="24">
        <v>1</v>
      </c>
      <c r="X495" s="24">
        <v>3.5</v>
      </c>
      <c r="Y495" s="24">
        <v>0.35</v>
      </c>
      <c r="Z495" s="24">
        <v>2.5</v>
      </c>
      <c r="AA495" s="24">
        <v>0.35</v>
      </c>
      <c r="AB495" s="24">
        <v>0</v>
      </c>
      <c r="AC495" s="24">
        <v>0</v>
      </c>
      <c r="AD495" s="24">
        <v>0</v>
      </c>
      <c r="AE495" s="24" t="s">
        <v>47</v>
      </c>
      <c r="AF495" s="114" t="s">
        <v>46</v>
      </c>
      <c r="AG495" s="114" t="s">
        <v>28</v>
      </c>
      <c r="AI495" s="104">
        <v>1653</v>
      </c>
      <c r="AJ495">
        <v>2728</v>
      </c>
    </row>
    <row r="496" spans="2:36" hidden="1" x14ac:dyDescent="0.25">
      <c r="B496" s="24" t="s">
        <v>122</v>
      </c>
      <c r="C496" s="24">
        <v>2</v>
      </c>
      <c r="E496" s="27">
        <v>39993</v>
      </c>
      <c r="F496" s="104">
        <f t="shared" si="53"/>
        <v>2122</v>
      </c>
      <c r="G496" s="25">
        <v>41646</v>
      </c>
      <c r="H496" s="25">
        <v>42115</v>
      </c>
      <c r="I496" s="104">
        <f t="shared" si="52"/>
        <v>1653</v>
      </c>
      <c r="J496" s="19">
        <f t="shared" si="58"/>
        <v>469</v>
      </c>
      <c r="K496" t="s">
        <v>69</v>
      </c>
      <c r="L496" s="4">
        <v>5.18</v>
      </c>
      <c r="M496" s="19">
        <f t="shared" si="54"/>
        <v>0</v>
      </c>
      <c r="N496" s="19">
        <f t="shared" si="55"/>
        <v>1</v>
      </c>
      <c r="O496" s="19">
        <f t="shared" si="56"/>
        <v>1</v>
      </c>
      <c r="P496" s="19">
        <f t="shared" si="57"/>
        <v>1</v>
      </c>
      <c r="Q496" s="4">
        <v>100</v>
      </c>
      <c r="R496" s="4">
        <v>4</v>
      </c>
      <c r="S496" s="24">
        <v>0</v>
      </c>
      <c r="T496" s="125">
        <v>0</v>
      </c>
      <c r="U496" s="125">
        <v>7</v>
      </c>
      <c r="V496" s="4">
        <v>55</v>
      </c>
      <c r="W496" s="4">
        <v>0</v>
      </c>
      <c r="X496" s="4">
        <v>4</v>
      </c>
      <c r="Y496" s="4">
        <v>0.35</v>
      </c>
      <c r="Z496" s="4">
        <v>3.5</v>
      </c>
      <c r="AA496" s="4">
        <v>0.35</v>
      </c>
      <c r="AB496" s="24">
        <v>0</v>
      </c>
      <c r="AC496" s="24">
        <v>0</v>
      </c>
      <c r="AD496" s="24">
        <v>0</v>
      </c>
      <c r="AE496" s="4" t="s">
        <v>132</v>
      </c>
      <c r="AF496" s="118" t="s">
        <v>74</v>
      </c>
      <c r="AG496" s="118" t="s">
        <v>285</v>
      </c>
      <c r="AI496" s="104">
        <v>1772</v>
      </c>
      <c r="AJ496">
        <v>2730</v>
      </c>
    </row>
    <row r="497" spans="2:36" hidden="1" x14ac:dyDescent="0.25">
      <c r="B497" s="24" t="s">
        <v>122</v>
      </c>
      <c r="C497" s="24">
        <v>2</v>
      </c>
      <c r="D497" s="24"/>
      <c r="E497" s="23">
        <v>39993</v>
      </c>
      <c r="F497" s="104">
        <f t="shared" si="53"/>
        <v>2122</v>
      </c>
      <c r="G497" s="27">
        <v>41765</v>
      </c>
      <c r="H497" s="25">
        <v>42115</v>
      </c>
      <c r="I497" s="104">
        <f t="shared" si="52"/>
        <v>1772</v>
      </c>
      <c r="J497" s="19">
        <f t="shared" si="58"/>
        <v>350</v>
      </c>
      <c r="K497" t="s">
        <v>69</v>
      </c>
      <c r="L497" s="24">
        <v>5.15</v>
      </c>
      <c r="M497" s="19">
        <f t="shared" si="54"/>
        <v>0</v>
      </c>
      <c r="N497" s="19">
        <f t="shared" si="55"/>
        <v>0</v>
      </c>
      <c r="O497" s="19">
        <f t="shared" si="56"/>
        <v>1</v>
      </c>
      <c r="P497" s="19">
        <f t="shared" si="57"/>
        <v>1</v>
      </c>
      <c r="Q497" s="24">
        <v>99</v>
      </c>
      <c r="R497" s="24">
        <v>12</v>
      </c>
      <c r="S497" s="24">
        <v>0</v>
      </c>
      <c r="T497" s="129">
        <v>0</v>
      </c>
      <c r="U497" s="129">
        <v>10</v>
      </c>
      <c r="V497" s="24">
        <v>60</v>
      </c>
      <c r="W497" s="24">
        <v>1</v>
      </c>
      <c r="X497" s="24">
        <v>4</v>
      </c>
      <c r="Y497" s="24">
        <v>0.35</v>
      </c>
      <c r="Z497" s="24">
        <v>3.5</v>
      </c>
      <c r="AA497" s="24">
        <v>0.35</v>
      </c>
      <c r="AB497" s="24">
        <v>0</v>
      </c>
      <c r="AC497" s="24">
        <v>0</v>
      </c>
      <c r="AD497" s="24">
        <v>0</v>
      </c>
      <c r="AE497" s="24" t="s">
        <v>47</v>
      </c>
      <c r="AF497" s="114" t="s">
        <v>130</v>
      </c>
      <c r="AG497" s="114" t="s">
        <v>28</v>
      </c>
      <c r="AI497" s="104">
        <v>1982</v>
      </c>
      <c r="AJ497">
        <v>2732</v>
      </c>
    </row>
    <row r="498" spans="2:36" hidden="1" x14ac:dyDescent="0.25">
      <c r="B498" s="24" t="s">
        <v>122</v>
      </c>
      <c r="C498" s="24">
        <v>2</v>
      </c>
      <c r="D498" s="24"/>
      <c r="E498" s="23">
        <v>39993</v>
      </c>
      <c r="F498" s="104">
        <f t="shared" si="53"/>
        <v>2122</v>
      </c>
      <c r="G498" s="27">
        <v>41975</v>
      </c>
      <c r="H498" s="25">
        <v>42115</v>
      </c>
      <c r="I498" s="104">
        <f t="shared" si="52"/>
        <v>1982</v>
      </c>
      <c r="J498" s="19">
        <f t="shared" si="58"/>
        <v>140</v>
      </c>
      <c r="K498" t="s">
        <v>69</v>
      </c>
      <c r="L498" s="24">
        <v>5.14</v>
      </c>
      <c r="M498" s="19">
        <f t="shared" si="54"/>
        <v>0</v>
      </c>
      <c r="N498" s="19">
        <f t="shared" si="55"/>
        <v>0</v>
      </c>
      <c r="O498" s="19">
        <f t="shared" si="56"/>
        <v>0</v>
      </c>
      <c r="P498" s="19">
        <f t="shared" si="57"/>
        <v>1</v>
      </c>
      <c r="Q498" s="24">
        <f>52+48</f>
        <v>100</v>
      </c>
      <c r="R498" s="24">
        <f>52+47</f>
        <v>99</v>
      </c>
      <c r="S498" s="24">
        <v>0</v>
      </c>
      <c r="T498" s="129">
        <v>0</v>
      </c>
      <c r="U498" s="129">
        <v>0</v>
      </c>
      <c r="V498" s="24">
        <v>55</v>
      </c>
      <c r="W498" s="24">
        <v>1</v>
      </c>
      <c r="X498" s="24">
        <v>4</v>
      </c>
      <c r="Y498" s="24">
        <v>0.35</v>
      </c>
      <c r="Z498" s="24">
        <v>3.5</v>
      </c>
      <c r="AA498" s="24">
        <v>0.35</v>
      </c>
      <c r="AB498" s="24">
        <v>0</v>
      </c>
      <c r="AC498" s="24">
        <v>0</v>
      </c>
      <c r="AD498" s="24">
        <v>0</v>
      </c>
      <c r="AE498" s="24" t="s">
        <v>132</v>
      </c>
      <c r="AF498" s="114" t="s">
        <v>42</v>
      </c>
      <c r="AG498" s="114" t="s">
        <v>28</v>
      </c>
      <c r="AI498" s="104">
        <v>2030</v>
      </c>
      <c r="AJ498">
        <v>2738</v>
      </c>
    </row>
    <row r="499" spans="2:36" hidden="1" x14ac:dyDescent="0.25">
      <c r="B499" s="24" t="s">
        <v>122</v>
      </c>
      <c r="C499" s="24">
        <v>2</v>
      </c>
      <c r="D499" s="24"/>
      <c r="E499" s="23">
        <v>39993</v>
      </c>
      <c r="F499" s="104">
        <f t="shared" si="53"/>
        <v>2122</v>
      </c>
      <c r="G499" s="27">
        <v>42023</v>
      </c>
      <c r="H499" s="25">
        <v>42115</v>
      </c>
      <c r="I499" s="104">
        <f t="shared" si="52"/>
        <v>2030</v>
      </c>
      <c r="J499" s="19">
        <f t="shared" si="58"/>
        <v>92</v>
      </c>
      <c r="K499" t="s">
        <v>69</v>
      </c>
      <c r="L499" s="24">
        <v>5.13</v>
      </c>
      <c r="M499" s="19">
        <f t="shared" si="54"/>
        <v>0</v>
      </c>
      <c r="N499" s="19">
        <f t="shared" si="55"/>
        <v>0</v>
      </c>
      <c r="O499" s="19">
        <f t="shared" si="56"/>
        <v>0</v>
      </c>
      <c r="P499" s="19">
        <f t="shared" si="57"/>
        <v>1</v>
      </c>
      <c r="Q499" s="24">
        <f>57+42</f>
        <v>99</v>
      </c>
      <c r="R499" s="24">
        <f>56+42</f>
        <v>98</v>
      </c>
      <c r="S499" s="24">
        <v>0</v>
      </c>
      <c r="T499" s="127">
        <v>1</v>
      </c>
      <c r="U499" s="127">
        <v>3</v>
      </c>
      <c r="V499" s="24">
        <v>55</v>
      </c>
      <c r="W499" s="24">
        <v>1</v>
      </c>
      <c r="X499" s="24">
        <v>4</v>
      </c>
      <c r="Y499" s="24">
        <v>0.35</v>
      </c>
      <c r="Z499" s="24">
        <v>3.5</v>
      </c>
      <c r="AA499" s="24">
        <v>0.35</v>
      </c>
      <c r="AB499" s="24">
        <v>0</v>
      </c>
      <c r="AC499" s="24">
        <v>0</v>
      </c>
      <c r="AD499" s="24">
        <v>0</v>
      </c>
      <c r="AE499" s="24" t="s">
        <v>132</v>
      </c>
      <c r="AF499" s="138" t="s">
        <v>131</v>
      </c>
      <c r="AG499" s="114" t="s">
        <v>28</v>
      </c>
      <c r="AI499" s="104">
        <v>2060</v>
      </c>
      <c r="AJ499">
        <v>2766</v>
      </c>
    </row>
    <row r="500" spans="2:36" hidden="1" x14ac:dyDescent="0.25">
      <c r="B500" s="24" t="s">
        <v>122</v>
      </c>
      <c r="C500" s="24">
        <v>2</v>
      </c>
      <c r="E500" s="27">
        <v>39993</v>
      </c>
      <c r="F500" s="104">
        <f t="shared" si="53"/>
        <v>2122</v>
      </c>
      <c r="G500" s="27">
        <v>42053</v>
      </c>
      <c r="H500" s="25">
        <v>42115</v>
      </c>
      <c r="I500" s="104">
        <f t="shared" si="52"/>
        <v>2060</v>
      </c>
      <c r="J500" s="19">
        <f t="shared" si="58"/>
        <v>62</v>
      </c>
      <c r="K500" t="s">
        <v>69</v>
      </c>
      <c r="L500" s="24">
        <v>5.13</v>
      </c>
      <c r="M500" s="19">
        <f t="shared" si="54"/>
        <v>0</v>
      </c>
      <c r="N500" s="19">
        <f t="shared" si="55"/>
        <v>0</v>
      </c>
      <c r="O500" s="19">
        <f t="shared" si="56"/>
        <v>0</v>
      </c>
      <c r="P500" s="19">
        <f t="shared" si="57"/>
        <v>0</v>
      </c>
      <c r="Q500" s="24">
        <f>59+41</f>
        <v>100</v>
      </c>
      <c r="R500" s="24">
        <f>59+40</f>
        <v>99</v>
      </c>
      <c r="S500" s="24">
        <v>0</v>
      </c>
      <c r="T500" s="127">
        <v>4</v>
      </c>
      <c r="U500" s="127">
        <v>26</v>
      </c>
      <c r="V500" s="24">
        <v>55</v>
      </c>
      <c r="W500" s="4">
        <v>0</v>
      </c>
      <c r="X500" s="24">
        <v>2.5</v>
      </c>
      <c r="Y500" s="24">
        <v>0.6</v>
      </c>
      <c r="Z500" s="24">
        <v>2.5</v>
      </c>
      <c r="AA500" s="24">
        <v>0.5</v>
      </c>
      <c r="AB500" s="24">
        <v>0</v>
      </c>
      <c r="AC500" s="24">
        <v>0</v>
      </c>
      <c r="AD500" s="24">
        <v>0</v>
      </c>
      <c r="AE500" s="24" t="s">
        <v>132</v>
      </c>
      <c r="AF500" s="145" t="s">
        <v>310</v>
      </c>
      <c r="AG500" s="118" t="s">
        <v>285</v>
      </c>
      <c r="AI500" s="104">
        <v>2074</v>
      </c>
      <c r="AJ500">
        <v>2772</v>
      </c>
    </row>
    <row r="501" spans="2:36" hidden="1" x14ac:dyDescent="0.25">
      <c r="B501" s="24" t="s">
        <v>122</v>
      </c>
      <c r="C501" s="24">
        <v>2</v>
      </c>
      <c r="D501" s="24"/>
      <c r="E501" s="23">
        <v>39993</v>
      </c>
      <c r="F501" s="104">
        <f t="shared" si="53"/>
        <v>2122</v>
      </c>
      <c r="G501" s="27">
        <v>42067</v>
      </c>
      <c r="H501" s="25">
        <v>42115</v>
      </c>
      <c r="I501" s="104">
        <f t="shared" si="52"/>
        <v>2074</v>
      </c>
      <c r="J501" s="19">
        <f t="shared" si="58"/>
        <v>48</v>
      </c>
      <c r="K501" t="s">
        <v>69</v>
      </c>
      <c r="L501" s="24">
        <v>5.13</v>
      </c>
      <c r="M501" s="19">
        <f t="shared" si="54"/>
        <v>0</v>
      </c>
      <c r="N501" s="19">
        <f t="shared" si="55"/>
        <v>0</v>
      </c>
      <c r="O501" s="19">
        <f t="shared" si="56"/>
        <v>0</v>
      </c>
      <c r="P501" s="19">
        <f t="shared" si="57"/>
        <v>0</v>
      </c>
      <c r="Q501" s="24">
        <f>70+29</f>
        <v>99</v>
      </c>
      <c r="R501" s="24">
        <f>70+29</f>
        <v>99</v>
      </c>
      <c r="S501" s="24">
        <v>0</v>
      </c>
      <c r="T501" s="129">
        <v>0</v>
      </c>
      <c r="U501" s="129">
        <v>1</v>
      </c>
      <c r="V501" s="24">
        <v>55</v>
      </c>
      <c r="W501" s="24">
        <v>1</v>
      </c>
      <c r="X501" s="24">
        <v>4</v>
      </c>
      <c r="Y501" s="24">
        <v>0.35</v>
      </c>
      <c r="Z501" s="24">
        <v>3.5</v>
      </c>
      <c r="AA501" s="24">
        <v>0.35</v>
      </c>
      <c r="AB501" s="24">
        <v>0</v>
      </c>
      <c r="AC501" s="24">
        <v>0</v>
      </c>
      <c r="AD501" s="24">
        <v>0</v>
      </c>
      <c r="AE501" s="24" t="s">
        <v>132</v>
      </c>
      <c r="AF501" s="114" t="s">
        <v>46</v>
      </c>
      <c r="AG501" s="114" t="s">
        <v>28</v>
      </c>
      <c r="AI501" s="104">
        <v>2122</v>
      </c>
      <c r="AJ501">
        <v>2778</v>
      </c>
    </row>
    <row r="502" spans="2:36" hidden="1" x14ac:dyDescent="0.25">
      <c r="B502" s="24" t="s">
        <v>122</v>
      </c>
      <c r="C502" s="24">
        <v>2</v>
      </c>
      <c r="E502" s="27">
        <v>39993</v>
      </c>
      <c r="F502" s="104">
        <f t="shared" si="53"/>
        <v>2122</v>
      </c>
      <c r="G502" s="25">
        <v>42115</v>
      </c>
      <c r="H502" s="25">
        <v>42115</v>
      </c>
      <c r="I502" s="104">
        <f t="shared" si="52"/>
        <v>2122</v>
      </c>
      <c r="J502" s="19">
        <f t="shared" si="58"/>
        <v>0</v>
      </c>
      <c r="K502" t="s">
        <v>69</v>
      </c>
      <c r="L502" s="4">
        <v>5.1100000000000003</v>
      </c>
      <c r="M502" s="19">
        <f t="shared" si="54"/>
        <v>0</v>
      </c>
      <c r="N502" s="19">
        <f t="shared" si="55"/>
        <v>0</v>
      </c>
      <c r="O502" s="19">
        <f t="shared" si="56"/>
        <v>0</v>
      </c>
      <c r="P502" s="19">
        <f t="shared" si="57"/>
        <v>0</v>
      </c>
      <c r="Q502" s="4">
        <v>95</v>
      </c>
      <c r="R502" s="4">
        <v>99</v>
      </c>
      <c r="S502" s="24">
        <v>0</v>
      </c>
      <c r="T502" s="125">
        <v>0</v>
      </c>
      <c r="U502" s="125">
        <v>0</v>
      </c>
      <c r="V502" s="4">
        <v>60</v>
      </c>
      <c r="W502" s="4">
        <v>0</v>
      </c>
      <c r="X502" s="24">
        <v>2.5</v>
      </c>
      <c r="Y502" s="24">
        <v>0.6</v>
      </c>
      <c r="Z502" s="24">
        <v>2.5</v>
      </c>
      <c r="AA502" s="24">
        <v>0.5</v>
      </c>
      <c r="AB502" s="24">
        <v>0</v>
      </c>
      <c r="AC502" s="24">
        <v>0</v>
      </c>
      <c r="AD502" s="24">
        <v>0</v>
      </c>
      <c r="AE502" s="4" t="s">
        <v>47</v>
      </c>
      <c r="AF502" s="118" t="s">
        <v>42</v>
      </c>
      <c r="AG502" s="118" t="s">
        <v>285</v>
      </c>
      <c r="AI502" s="104">
        <v>602</v>
      </c>
      <c r="AJ502">
        <v>2785</v>
      </c>
    </row>
    <row r="503" spans="2:36" hidden="1" x14ac:dyDescent="0.25">
      <c r="B503" s="24" t="s">
        <v>162</v>
      </c>
      <c r="C503" s="24">
        <v>1</v>
      </c>
      <c r="D503" s="24"/>
      <c r="E503" s="23">
        <v>40085</v>
      </c>
      <c r="F503" s="104">
        <f t="shared" si="53"/>
        <v>1799</v>
      </c>
      <c r="G503" s="23">
        <v>40687</v>
      </c>
      <c r="H503" s="27">
        <v>41884</v>
      </c>
      <c r="I503" s="104">
        <f t="shared" si="52"/>
        <v>602</v>
      </c>
      <c r="J503" s="19">
        <f t="shared" si="58"/>
        <v>1197</v>
      </c>
      <c r="K503" t="s">
        <v>69</v>
      </c>
      <c r="L503" s="24">
        <v>6.41</v>
      </c>
      <c r="M503" s="19">
        <f t="shared" si="54"/>
        <v>1</v>
      </c>
      <c r="N503" s="19">
        <f t="shared" si="55"/>
        <v>1</v>
      </c>
      <c r="O503" s="19">
        <f t="shared" si="56"/>
        <v>1</v>
      </c>
      <c r="P503" s="19">
        <f t="shared" si="57"/>
        <v>1</v>
      </c>
      <c r="Q503" s="24">
        <v>0</v>
      </c>
      <c r="R503" s="24">
        <v>1</v>
      </c>
      <c r="S503" s="24">
        <v>0</v>
      </c>
      <c r="T503" s="129">
        <v>0</v>
      </c>
      <c r="U503" s="129">
        <v>0</v>
      </c>
      <c r="V503" s="24">
        <v>50</v>
      </c>
      <c r="W503" s="24">
        <v>0</v>
      </c>
      <c r="X503" s="24">
        <v>0</v>
      </c>
      <c r="Y503" s="24">
        <v>0</v>
      </c>
      <c r="Z503" s="24">
        <v>2.5</v>
      </c>
      <c r="AA503" s="24">
        <v>0.5</v>
      </c>
      <c r="AB503" s="24">
        <v>0</v>
      </c>
      <c r="AC503" s="24">
        <v>0</v>
      </c>
      <c r="AD503" s="24">
        <v>0</v>
      </c>
      <c r="AE503" s="24">
        <v>50</v>
      </c>
      <c r="AF503" s="114" t="s">
        <v>42</v>
      </c>
      <c r="AG503" s="114" t="s">
        <v>69</v>
      </c>
      <c r="AI503" s="104">
        <v>791</v>
      </c>
      <c r="AJ503">
        <v>2791</v>
      </c>
    </row>
    <row r="504" spans="2:36" hidden="1" x14ac:dyDescent="0.25">
      <c r="B504" s="24" t="s">
        <v>162</v>
      </c>
      <c r="C504" s="24">
        <v>1</v>
      </c>
      <c r="D504" s="24"/>
      <c r="E504" s="23">
        <v>40085</v>
      </c>
      <c r="F504" s="104">
        <f t="shared" si="53"/>
        <v>1799</v>
      </c>
      <c r="G504" s="23">
        <v>40876</v>
      </c>
      <c r="H504" s="27">
        <v>41884</v>
      </c>
      <c r="I504" s="104">
        <f t="shared" si="52"/>
        <v>791</v>
      </c>
      <c r="J504" s="19">
        <f t="shared" si="58"/>
        <v>1008</v>
      </c>
      <c r="K504" t="s">
        <v>69</v>
      </c>
      <c r="L504" s="40">
        <v>6.37</v>
      </c>
      <c r="M504" s="19">
        <f t="shared" si="54"/>
        <v>1</v>
      </c>
      <c r="N504" s="19">
        <f t="shared" si="55"/>
        <v>1</v>
      </c>
      <c r="O504" s="19">
        <f t="shared" si="56"/>
        <v>1</v>
      </c>
      <c r="P504" s="19">
        <f t="shared" si="57"/>
        <v>1</v>
      </c>
      <c r="Q504" s="24">
        <v>0</v>
      </c>
      <c r="R504" s="24">
        <v>1</v>
      </c>
      <c r="S504" s="24">
        <v>0</v>
      </c>
      <c r="T504" s="129">
        <v>0</v>
      </c>
      <c r="U504" s="129">
        <v>0</v>
      </c>
      <c r="V504" s="24">
        <v>50</v>
      </c>
      <c r="W504" s="24">
        <v>0</v>
      </c>
      <c r="X504" s="24">
        <v>0</v>
      </c>
      <c r="Y504" s="24">
        <v>0</v>
      </c>
      <c r="Z504" s="24">
        <v>2.5</v>
      </c>
      <c r="AA504" s="24">
        <v>0.5</v>
      </c>
      <c r="AB504" s="24">
        <v>0</v>
      </c>
      <c r="AC504" s="24">
        <v>0</v>
      </c>
      <c r="AD504" s="24">
        <v>0</v>
      </c>
      <c r="AE504" s="24">
        <v>50</v>
      </c>
      <c r="AF504" s="114" t="s">
        <v>42</v>
      </c>
      <c r="AG504" s="114" t="s">
        <v>69</v>
      </c>
      <c r="AI504" s="104">
        <v>987</v>
      </c>
      <c r="AJ504">
        <v>2794</v>
      </c>
    </row>
    <row r="505" spans="2:36" hidden="1" x14ac:dyDescent="0.25">
      <c r="B505" s="24" t="s">
        <v>162</v>
      </c>
      <c r="C505" s="24">
        <v>1</v>
      </c>
      <c r="D505" s="24"/>
      <c r="E505" s="23">
        <v>40085</v>
      </c>
      <c r="F505" s="104">
        <f t="shared" si="53"/>
        <v>1799</v>
      </c>
      <c r="G505" s="27">
        <v>41072</v>
      </c>
      <c r="H505" s="27">
        <v>41884</v>
      </c>
      <c r="I505" s="104">
        <f t="shared" si="52"/>
        <v>987</v>
      </c>
      <c r="J505" s="19">
        <f t="shared" si="58"/>
        <v>812</v>
      </c>
      <c r="K505" t="s">
        <v>69</v>
      </c>
      <c r="L505" s="40">
        <v>6.3</v>
      </c>
      <c r="M505" s="19">
        <f t="shared" si="54"/>
        <v>1</v>
      </c>
      <c r="N505" s="19">
        <f t="shared" si="55"/>
        <v>1</v>
      </c>
      <c r="O505" s="19">
        <f t="shared" si="56"/>
        <v>1</v>
      </c>
      <c r="P505" s="19">
        <f t="shared" si="57"/>
        <v>1</v>
      </c>
      <c r="Q505" s="24">
        <v>0</v>
      </c>
      <c r="R505" s="24">
        <v>0</v>
      </c>
      <c r="S505" s="24">
        <v>0</v>
      </c>
      <c r="T505" s="129">
        <v>0</v>
      </c>
      <c r="U505" s="129">
        <v>0</v>
      </c>
      <c r="V505" s="24">
        <v>50</v>
      </c>
      <c r="W505" s="24">
        <v>0</v>
      </c>
      <c r="X505" s="24">
        <v>0</v>
      </c>
      <c r="Y505" s="24">
        <v>0</v>
      </c>
      <c r="Z505" s="24">
        <v>2.5</v>
      </c>
      <c r="AA505" s="24">
        <v>0.5</v>
      </c>
      <c r="AB505" s="24">
        <v>0</v>
      </c>
      <c r="AC505" s="24">
        <v>0</v>
      </c>
      <c r="AD505" s="24">
        <v>0</v>
      </c>
      <c r="AE505" s="24">
        <v>50</v>
      </c>
      <c r="AF505" s="114" t="s">
        <v>42</v>
      </c>
      <c r="AG505" s="114" t="s">
        <v>69</v>
      </c>
      <c r="AI505" s="104">
        <v>1169</v>
      </c>
      <c r="AJ505">
        <v>2806</v>
      </c>
    </row>
    <row r="506" spans="2:36" hidden="1" x14ac:dyDescent="0.25">
      <c r="B506" s="24" t="s">
        <v>162</v>
      </c>
      <c r="C506" s="24">
        <v>1</v>
      </c>
      <c r="D506" s="24"/>
      <c r="E506" s="23">
        <v>40085</v>
      </c>
      <c r="F506" s="104">
        <f t="shared" si="53"/>
        <v>1799</v>
      </c>
      <c r="G506" s="27">
        <v>41254</v>
      </c>
      <c r="H506" s="27">
        <v>41884</v>
      </c>
      <c r="I506" s="104">
        <f t="shared" si="52"/>
        <v>1169</v>
      </c>
      <c r="J506" s="19">
        <f t="shared" si="58"/>
        <v>630</v>
      </c>
      <c r="K506" t="s">
        <v>69</v>
      </c>
      <c r="L506" s="24">
        <v>6.13</v>
      </c>
      <c r="M506" s="19">
        <f t="shared" si="54"/>
        <v>1</v>
      </c>
      <c r="N506" s="19">
        <f t="shared" si="55"/>
        <v>1</v>
      </c>
      <c r="O506" s="19">
        <f t="shared" si="56"/>
        <v>1</v>
      </c>
      <c r="P506" s="19">
        <f t="shared" si="57"/>
        <v>1</v>
      </c>
      <c r="Q506" s="24">
        <v>0</v>
      </c>
      <c r="R506" s="24">
        <v>0</v>
      </c>
      <c r="S506" s="24">
        <v>0</v>
      </c>
      <c r="T506" s="129">
        <v>0</v>
      </c>
      <c r="U506" s="129">
        <v>0</v>
      </c>
      <c r="V506" s="24">
        <v>50</v>
      </c>
      <c r="W506" s="24">
        <v>0</v>
      </c>
      <c r="X506" s="24">
        <v>0</v>
      </c>
      <c r="Y506" s="24">
        <v>0</v>
      </c>
      <c r="Z506" s="24">
        <v>2.5</v>
      </c>
      <c r="AA506" s="24">
        <v>0.5</v>
      </c>
      <c r="AB506" s="24">
        <v>0</v>
      </c>
      <c r="AC506" s="24">
        <v>0</v>
      </c>
      <c r="AD506" s="24">
        <v>0</v>
      </c>
      <c r="AE506" s="24">
        <v>50</v>
      </c>
      <c r="AF506" s="114" t="s">
        <v>42</v>
      </c>
      <c r="AG506" s="114" t="s">
        <v>69</v>
      </c>
      <c r="AI506" s="104">
        <v>1351</v>
      </c>
      <c r="AJ506">
        <v>2812</v>
      </c>
    </row>
    <row r="507" spans="2:36" hidden="1" x14ac:dyDescent="0.25">
      <c r="B507" s="24" t="s">
        <v>162</v>
      </c>
      <c r="C507" s="24">
        <v>1</v>
      </c>
      <c r="D507" s="24"/>
      <c r="E507" s="23">
        <v>40085</v>
      </c>
      <c r="F507" s="104">
        <f t="shared" si="53"/>
        <v>1799</v>
      </c>
      <c r="G507" s="27">
        <v>41436</v>
      </c>
      <c r="H507" s="27">
        <v>41884</v>
      </c>
      <c r="I507" s="104">
        <f t="shared" si="52"/>
        <v>1351</v>
      </c>
      <c r="J507" s="19">
        <f t="shared" si="58"/>
        <v>448</v>
      </c>
      <c r="K507" t="s">
        <v>69</v>
      </c>
      <c r="L507" s="24">
        <v>5.92</v>
      </c>
      <c r="M507" s="19">
        <f t="shared" si="54"/>
        <v>0</v>
      </c>
      <c r="N507" s="19">
        <f t="shared" si="55"/>
        <v>1</v>
      </c>
      <c r="O507" s="19">
        <f t="shared" si="56"/>
        <v>1</v>
      </c>
      <c r="P507" s="19">
        <f t="shared" si="57"/>
        <v>1</v>
      </c>
      <c r="Q507" s="24">
        <v>0</v>
      </c>
      <c r="R507" s="24">
        <v>0</v>
      </c>
      <c r="S507" s="24">
        <v>0</v>
      </c>
      <c r="T507" s="129">
        <v>0</v>
      </c>
      <c r="U507" s="129">
        <v>0</v>
      </c>
      <c r="V507" s="24">
        <v>50</v>
      </c>
      <c r="W507" s="24">
        <v>0</v>
      </c>
      <c r="X507" s="24">
        <v>0</v>
      </c>
      <c r="Y507" s="24">
        <v>0</v>
      </c>
      <c r="Z507" s="24">
        <v>2.5</v>
      </c>
      <c r="AA507" s="24">
        <v>0.5</v>
      </c>
      <c r="AB507" s="24">
        <v>0</v>
      </c>
      <c r="AC507" s="24">
        <v>0</v>
      </c>
      <c r="AD507" s="24">
        <v>0</v>
      </c>
      <c r="AE507" s="24">
        <v>50</v>
      </c>
      <c r="AF507" s="114" t="s">
        <v>42</v>
      </c>
      <c r="AG507" s="114" t="s">
        <v>69</v>
      </c>
      <c r="AI507" s="104">
        <v>1589</v>
      </c>
      <c r="AJ507">
        <v>2852</v>
      </c>
    </row>
    <row r="508" spans="2:36" hidden="1" x14ac:dyDescent="0.25">
      <c r="B508" s="24" t="s">
        <v>162</v>
      </c>
      <c r="C508" s="24">
        <v>1</v>
      </c>
      <c r="D508" s="24"/>
      <c r="E508" s="23">
        <v>40085</v>
      </c>
      <c r="F508" s="104">
        <f t="shared" si="53"/>
        <v>1799</v>
      </c>
      <c r="G508" s="27">
        <v>41674</v>
      </c>
      <c r="H508" s="27">
        <v>41884</v>
      </c>
      <c r="I508" s="104">
        <f t="shared" si="52"/>
        <v>1589</v>
      </c>
      <c r="J508" s="19">
        <f t="shared" si="58"/>
        <v>210</v>
      </c>
      <c r="K508" t="s">
        <v>69</v>
      </c>
      <c r="L508" s="24">
        <v>5.51</v>
      </c>
      <c r="M508" s="19">
        <f t="shared" si="54"/>
        <v>0</v>
      </c>
      <c r="N508" s="19">
        <f t="shared" si="55"/>
        <v>0</v>
      </c>
      <c r="O508" s="19">
        <f t="shared" si="56"/>
        <v>1</v>
      </c>
      <c r="P508" s="19">
        <f t="shared" si="57"/>
        <v>1</v>
      </c>
      <c r="Q508" s="24">
        <v>0</v>
      </c>
      <c r="R508" s="24">
        <v>0</v>
      </c>
      <c r="S508" s="24">
        <v>0</v>
      </c>
      <c r="T508" s="129">
        <v>0</v>
      </c>
      <c r="U508" s="129">
        <v>0</v>
      </c>
      <c r="V508" s="24">
        <v>50</v>
      </c>
      <c r="W508" s="24">
        <v>0</v>
      </c>
      <c r="X508" s="24">
        <v>0</v>
      </c>
      <c r="Y508" s="24">
        <v>0</v>
      </c>
      <c r="Z508" s="24">
        <v>2.5</v>
      </c>
      <c r="AA508" s="24">
        <v>0.5</v>
      </c>
      <c r="AB508" s="24">
        <v>0</v>
      </c>
      <c r="AC508" s="24">
        <v>0</v>
      </c>
      <c r="AD508" s="24">
        <v>0</v>
      </c>
      <c r="AE508" s="24">
        <v>50</v>
      </c>
      <c r="AF508" s="114" t="s">
        <v>42</v>
      </c>
      <c r="AG508" s="114" t="s">
        <v>69</v>
      </c>
      <c r="AI508" s="104">
        <v>1799</v>
      </c>
      <c r="AJ508">
        <v>2863</v>
      </c>
    </row>
    <row r="509" spans="2:36" hidden="1" x14ac:dyDescent="0.25">
      <c r="B509" s="24" t="s">
        <v>162</v>
      </c>
      <c r="C509" s="24">
        <v>1</v>
      </c>
      <c r="D509" s="24"/>
      <c r="E509" s="23">
        <v>40085</v>
      </c>
      <c r="F509" s="104">
        <f t="shared" si="53"/>
        <v>1799</v>
      </c>
      <c r="G509" s="27">
        <v>41884</v>
      </c>
      <c r="H509" s="27">
        <v>41884</v>
      </c>
      <c r="I509" s="104">
        <f t="shared" si="52"/>
        <v>1799</v>
      </c>
      <c r="J509" s="19">
        <f t="shared" si="58"/>
        <v>0</v>
      </c>
      <c r="K509" t="s">
        <v>69</v>
      </c>
      <c r="L509" s="24">
        <v>5.27</v>
      </c>
      <c r="M509" s="19">
        <f t="shared" si="54"/>
        <v>0</v>
      </c>
      <c r="N509" s="19">
        <f t="shared" si="55"/>
        <v>0</v>
      </c>
      <c r="O509" s="19">
        <f t="shared" si="56"/>
        <v>0</v>
      </c>
      <c r="P509" s="19">
        <f t="shared" si="57"/>
        <v>0</v>
      </c>
      <c r="Q509" s="24">
        <v>0</v>
      </c>
      <c r="R509" s="24">
        <v>0</v>
      </c>
      <c r="S509" s="24">
        <v>0</v>
      </c>
      <c r="T509" s="129">
        <v>0</v>
      </c>
      <c r="U509" s="129">
        <v>0</v>
      </c>
      <c r="V509" s="24">
        <v>50</v>
      </c>
      <c r="W509" s="24">
        <v>0</v>
      </c>
      <c r="X509" s="24">
        <v>0</v>
      </c>
      <c r="Y509" s="24">
        <v>0</v>
      </c>
      <c r="Z509" s="24">
        <v>2.5</v>
      </c>
      <c r="AA509" s="24">
        <v>0.5</v>
      </c>
      <c r="AB509" s="24">
        <v>0</v>
      </c>
      <c r="AC509" s="24">
        <v>0</v>
      </c>
      <c r="AD509" s="24">
        <v>0</v>
      </c>
      <c r="AE509" s="24">
        <v>50</v>
      </c>
      <c r="AF509" s="114" t="s">
        <v>42</v>
      </c>
      <c r="AG509" s="114" t="s">
        <v>69</v>
      </c>
      <c r="AI509" s="104">
        <v>204</v>
      </c>
      <c r="AJ509">
        <v>2869</v>
      </c>
    </row>
    <row r="510" spans="2:36" hidden="1" x14ac:dyDescent="0.25">
      <c r="B510" s="24" t="s">
        <v>248</v>
      </c>
      <c r="C510" s="24">
        <v>1</v>
      </c>
      <c r="E510" s="27">
        <v>40133</v>
      </c>
      <c r="F510" s="104">
        <f t="shared" si="53"/>
        <v>2003</v>
      </c>
      <c r="G510" s="25">
        <v>40337</v>
      </c>
      <c r="H510" s="25">
        <v>42136</v>
      </c>
      <c r="I510" s="104">
        <f t="shared" si="52"/>
        <v>204</v>
      </c>
      <c r="J510" s="19">
        <f t="shared" si="58"/>
        <v>1799</v>
      </c>
      <c r="K510" t="s">
        <v>69</v>
      </c>
      <c r="L510" s="24">
        <v>6.43</v>
      </c>
      <c r="M510" s="19">
        <f t="shared" si="54"/>
        <v>1</v>
      </c>
      <c r="N510" s="19">
        <f t="shared" si="55"/>
        <v>1</v>
      </c>
      <c r="O510" s="19">
        <f t="shared" si="56"/>
        <v>1</v>
      </c>
      <c r="P510" s="19">
        <f t="shared" si="57"/>
        <v>1</v>
      </c>
      <c r="Q510" s="24">
        <v>0</v>
      </c>
      <c r="R510" s="24">
        <f>63+24</f>
        <v>87</v>
      </c>
      <c r="S510" s="24">
        <v>0</v>
      </c>
      <c r="T510" s="127">
        <v>0</v>
      </c>
      <c r="U510" s="127">
        <v>0</v>
      </c>
      <c r="V510" s="24">
        <v>70</v>
      </c>
      <c r="W510" s="24">
        <v>1</v>
      </c>
      <c r="X510" s="24">
        <v>0</v>
      </c>
      <c r="Y510" s="24">
        <v>0</v>
      </c>
      <c r="Z510" s="24">
        <v>2.5</v>
      </c>
      <c r="AA510" s="24">
        <v>0.5</v>
      </c>
      <c r="AB510" s="24">
        <v>0</v>
      </c>
      <c r="AC510" s="24">
        <v>0</v>
      </c>
      <c r="AD510" s="24">
        <v>0</v>
      </c>
      <c r="AE510" s="24" t="s">
        <v>105</v>
      </c>
      <c r="AF510" s="138" t="s">
        <v>42</v>
      </c>
      <c r="AG510" s="114">
        <v>1</v>
      </c>
      <c r="AI510" s="104">
        <v>568</v>
      </c>
      <c r="AJ510">
        <v>2905</v>
      </c>
    </row>
    <row r="511" spans="2:36" hidden="1" x14ac:dyDescent="0.25">
      <c r="B511" s="24" t="s">
        <v>248</v>
      </c>
      <c r="C511" s="24">
        <v>1</v>
      </c>
      <c r="E511" s="27">
        <v>40133</v>
      </c>
      <c r="F511" s="104">
        <f t="shared" si="53"/>
        <v>2003</v>
      </c>
      <c r="G511" s="25">
        <v>40701</v>
      </c>
      <c r="H511" s="25">
        <v>42136</v>
      </c>
      <c r="I511" s="104">
        <f t="shared" si="52"/>
        <v>568</v>
      </c>
      <c r="J511" s="19">
        <f t="shared" si="58"/>
        <v>1435</v>
      </c>
      <c r="K511" t="s">
        <v>69</v>
      </c>
      <c r="L511" s="4">
        <v>6.34</v>
      </c>
      <c r="M511" s="19">
        <f t="shared" si="54"/>
        <v>1</v>
      </c>
      <c r="N511" s="19">
        <f t="shared" si="55"/>
        <v>1</v>
      </c>
      <c r="O511" s="19">
        <f t="shared" si="56"/>
        <v>1</v>
      </c>
      <c r="P511" s="19">
        <f t="shared" si="57"/>
        <v>1</v>
      </c>
      <c r="Q511" s="24">
        <v>0</v>
      </c>
      <c r="R511" s="4">
        <f>65+25</f>
        <v>90</v>
      </c>
      <c r="S511" s="24">
        <v>0</v>
      </c>
      <c r="T511" s="127">
        <v>0</v>
      </c>
      <c r="U511" s="127">
        <v>0</v>
      </c>
      <c r="V511" s="24">
        <v>70</v>
      </c>
      <c r="W511" s="24">
        <v>1</v>
      </c>
      <c r="X511" s="24">
        <v>0</v>
      </c>
      <c r="Y511" s="24">
        <v>0</v>
      </c>
      <c r="Z511" s="24">
        <v>2.5</v>
      </c>
      <c r="AA511" s="24">
        <v>0.5</v>
      </c>
      <c r="AB511" s="24">
        <v>0</v>
      </c>
      <c r="AC511" s="24">
        <v>0</v>
      </c>
      <c r="AD511" s="24">
        <v>0</v>
      </c>
      <c r="AE511" s="24" t="s">
        <v>105</v>
      </c>
      <c r="AF511" s="138" t="s">
        <v>42</v>
      </c>
      <c r="AG511" s="114">
        <v>1</v>
      </c>
      <c r="AI511" s="104">
        <v>792</v>
      </c>
      <c r="AJ511">
        <v>2922</v>
      </c>
    </row>
    <row r="512" spans="2:36" hidden="1" x14ac:dyDescent="0.25">
      <c r="B512" s="24" t="s">
        <v>248</v>
      </c>
      <c r="C512" s="24">
        <v>1</v>
      </c>
      <c r="E512" s="27">
        <v>40133</v>
      </c>
      <c r="F512" s="104">
        <f t="shared" si="53"/>
        <v>2003</v>
      </c>
      <c r="G512" s="25">
        <v>40925</v>
      </c>
      <c r="H512" s="25">
        <v>42136</v>
      </c>
      <c r="I512" s="104">
        <f t="shared" si="52"/>
        <v>792</v>
      </c>
      <c r="J512" s="19">
        <f t="shared" si="58"/>
        <v>1211</v>
      </c>
      <c r="K512" t="s">
        <v>69</v>
      </c>
      <c r="L512" s="4">
        <v>6.19</v>
      </c>
      <c r="M512" s="19">
        <f t="shared" si="54"/>
        <v>1</v>
      </c>
      <c r="N512" s="19">
        <f t="shared" si="55"/>
        <v>1</v>
      </c>
      <c r="O512" s="19">
        <f t="shared" si="56"/>
        <v>1</v>
      </c>
      <c r="P512" s="19">
        <f t="shared" si="57"/>
        <v>1</v>
      </c>
      <c r="Q512" s="24">
        <v>0</v>
      </c>
      <c r="R512" s="4">
        <f>64+26</f>
        <v>90</v>
      </c>
      <c r="S512" s="24">
        <v>0</v>
      </c>
      <c r="T512" s="127">
        <v>0</v>
      </c>
      <c r="U512" s="127">
        <v>0</v>
      </c>
      <c r="V512" s="24">
        <v>70</v>
      </c>
      <c r="W512" s="24">
        <v>1</v>
      </c>
      <c r="X512" s="24">
        <v>0</v>
      </c>
      <c r="Y512" s="24">
        <v>0</v>
      </c>
      <c r="Z512" s="24">
        <v>2.5</v>
      </c>
      <c r="AA512" s="24">
        <v>0.5</v>
      </c>
      <c r="AB512" s="24">
        <v>0</v>
      </c>
      <c r="AC512" s="24">
        <v>0</v>
      </c>
      <c r="AD512" s="24">
        <v>0</v>
      </c>
      <c r="AE512" s="24" t="s">
        <v>105</v>
      </c>
      <c r="AF512" s="138" t="s">
        <v>42</v>
      </c>
      <c r="AG512" s="114">
        <v>1</v>
      </c>
      <c r="AI512" s="104">
        <v>974</v>
      </c>
      <c r="AJ512">
        <v>2937</v>
      </c>
    </row>
    <row r="513" spans="2:36" hidden="1" x14ac:dyDescent="0.25">
      <c r="B513" s="24" t="s">
        <v>248</v>
      </c>
      <c r="C513" s="24">
        <v>1</v>
      </c>
      <c r="E513" s="27">
        <v>40133</v>
      </c>
      <c r="F513" s="104">
        <f t="shared" si="53"/>
        <v>2003</v>
      </c>
      <c r="G513" s="25">
        <v>41107</v>
      </c>
      <c r="H513" s="25">
        <v>42136</v>
      </c>
      <c r="I513" s="104">
        <f t="shared" ref="I513:I517" si="59">G513-E513</f>
        <v>974</v>
      </c>
      <c r="J513" s="19">
        <f t="shared" si="58"/>
        <v>1029</v>
      </c>
      <c r="K513" t="s">
        <v>69</v>
      </c>
      <c r="L513" s="4">
        <v>5.93</v>
      </c>
      <c r="M513" s="19">
        <f t="shared" si="54"/>
        <v>1</v>
      </c>
      <c r="N513" s="19">
        <f t="shared" si="55"/>
        <v>1</v>
      </c>
      <c r="O513" s="19">
        <f t="shared" si="56"/>
        <v>1</v>
      </c>
      <c r="P513" s="19">
        <f t="shared" si="57"/>
        <v>1</v>
      </c>
      <c r="Q513" s="24">
        <v>0</v>
      </c>
      <c r="R513" s="4">
        <f>56+30</f>
        <v>86</v>
      </c>
      <c r="S513" s="24">
        <v>0</v>
      </c>
      <c r="T513" s="127">
        <v>0</v>
      </c>
      <c r="U513" s="127">
        <v>0</v>
      </c>
      <c r="V513" s="24">
        <v>60</v>
      </c>
      <c r="W513" s="24">
        <v>1</v>
      </c>
      <c r="X513" s="24">
        <v>0</v>
      </c>
      <c r="Y513" s="24">
        <v>0</v>
      </c>
      <c r="Z513" s="24">
        <v>2.5</v>
      </c>
      <c r="AA513" s="24">
        <v>0.5</v>
      </c>
      <c r="AB513" s="24">
        <v>0</v>
      </c>
      <c r="AC513" s="24">
        <v>0</v>
      </c>
      <c r="AD513" s="24">
        <v>0</v>
      </c>
      <c r="AE513" s="24" t="s">
        <v>47</v>
      </c>
      <c r="AF513" s="138" t="s">
        <v>42</v>
      </c>
      <c r="AG513" s="114">
        <v>1</v>
      </c>
      <c r="AI513" s="104">
        <v>1257</v>
      </c>
      <c r="AJ513">
        <v>2937</v>
      </c>
    </row>
    <row r="514" spans="2:36" hidden="1" x14ac:dyDescent="0.25">
      <c r="B514" s="24" t="s">
        <v>248</v>
      </c>
      <c r="C514" s="24">
        <v>1</v>
      </c>
      <c r="E514" s="27">
        <v>40133</v>
      </c>
      <c r="F514" s="104">
        <f t="shared" si="53"/>
        <v>2003</v>
      </c>
      <c r="G514" s="25">
        <v>41390</v>
      </c>
      <c r="H514" s="25">
        <v>42136</v>
      </c>
      <c r="I514" s="104">
        <f t="shared" si="59"/>
        <v>1257</v>
      </c>
      <c r="J514" s="19">
        <f t="shared" si="58"/>
        <v>746</v>
      </c>
      <c r="K514" t="s">
        <v>69</v>
      </c>
      <c r="L514" s="4">
        <v>5.39</v>
      </c>
      <c r="M514" s="19">
        <f t="shared" si="54"/>
        <v>1</v>
      </c>
      <c r="N514" s="19">
        <f t="shared" si="55"/>
        <v>1</v>
      </c>
      <c r="O514" s="19">
        <f t="shared" si="56"/>
        <v>1</v>
      </c>
      <c r="P514" s="19">
        <f t="shared" si="57"/>
        <v>1</v>
      </c>
      <c r="Q514" s="24">
        <v>0</v>
      </c>
      <c r="R514" s="4">
        <f>56+31</f>
        <v>87</v>
      </c>
      <c r="S514" s="24">
        <v>0</v>
      </c>
      <c r="T514" s="127">
        <v>0</v>
      </c>
      <c r="U514" s="127">
        <v>0</v>
      </c>
      <c r="V514" s="24">
        <v>60</v>
      </c>
      <c r="W514" s="24">
        <v>1</v>
      </c>
      <c r="X514" s="24">
        <v>0</v>
      </c>
      <c r="Y514" s="24">
        <v>0</v>
      </c>
      <c r="Z514" s="24">
        <v>2.5</v>
      </c>
      <c r="AA514" s="24">
        <v>0.5</v>
      </c>
      <c r="AB514" s="24">
        <v>0</v>
      </c>
      <c r="AC514" s="24">
        <v>0</v>
      </c>
      <c r="AD514" s="24">
        <v>0</v>
      </c>
      <c r="AE514" s="24" t="s">
        <v>47</v>
      </c>
      <c r="AF514" s="138" t="s">
        <v>42</v>
      </c>
      <c r="AG514" s="114">
        <v>1</v>
      </c>
      <c r="AI514" s="104">
        <v>1464</v>
      </c>
      <c r="AJ514">
        <v>2947</v>
      </c>
    </row>
    <row r="515" spans="2:36" hidden="1" x14ac:dyDescent="0.25">
      <c r="B515" s="24" t="s">
        <v>248</v>
      </c>
      <c r="C515" s="24">
        <v>1</v>
      </c>
      <c r="E515" s="27">
        <v>40133</v>
      </c>
      <c r="F515" s="104">
        <f t="shared" ref="F515:F524" si="60">H515-E515</f>
        <v>2003</v>
      </c>
      <c r="G515" s="25">
        <v>41597</v>
      </c>
      <c r="H515" s="25">
        <v>42136</v>
      </c>
      <c r="I515" s="104">
        <f t="shared" si="59"/>
        <v>1464</v>
      </c>
      <c r="J515" s="19">
        <f t="shared" si="58"/>
        <v>539</v>
      </c>
      <c r="K515" t="s">
        <v>69</v>
      </c>
      <c r="L515" s="4">
        <v>5.2</v>
      </c>
      <c r="M515" s="19">
        <f t="shared" ref="M515:M524" si="61">IF($J515&gt;540,1,0)</f>
        <v>0</v>
      </c>
      <c r="N515" s="19">
        <f t="shared" ref="N515:N524" si="62">IF($J515&gt;360,1,0)</f>
        <v>1</v>
      </c>
      <c r="O515" s="19">
        <f t="shared" ref="O515:O524" si="63">IF($J515&gt;180,1,0)</f>
        <v>1</v>
      </c>
      <c r="P515" s="19">
        <f t="shared" ref="P515:P524" si="64">IF($J515&gt;90,1,0)</f>
        <v>1</v>
      </c>
      <c r="Q515" s="24">
        <v>0</v>
      </c>
      <c r="R515" s="4">
        <f>57+30</f>
        <v>87</v>
      </c>
      <c r="S515" s="24">
        <v>0</v>
      </c>
      <c r="T515" s="127">
        <v>0</v>
      </c>
      <c r="U515" s="127">
        <v>0</v>
      </c>
      <c r="V515" s="24">
        <v>60</v>
      </c>
      <c r="W515" s="24">
        <v>1</v>
      </c>
      <c r="X515" s="24">
        <v>0</v>
      </c>
      <c r="Y515" s="24">
        <v>0</v>
      </c>
      <c r="Z515" s="24">
        <v>2.5</v>
      </c>
      <c r="AA515" s="24">
        <v>0.5</v>
      </c>
      <c r="AB515" s="24">
        <v>0</v>
      </c>
      <c r="AC515" s="24">
        <v>0</v>
      </c>
      <c r="AD515" s="24">
        <v>0</v>
      </c>
      <c r="AE515" s="24" t="s">
        <v>47</v>
      </c>
      <c r="AF515" s="138" t="s">
        <v>42</v>
      </c>
      <c r="AG515" s="114">
        <v>1</v>
      </c>
      <c r="AI515" s="104">
        <v>1814</v>
      </c>
      <c r="AJ515">
        <v>2970</v>
      </c>
    </row>
    <row r="516" spans="2:36" hidden="1" x14ac:dyDescent="0.25">
      <c r="B516" s="24" t="s">
        <v>248</v>
      </c>
      <c r="C516" s="24">
        <v>1</v>
      </c>
      <c r="E516" s="27">
        <v>40133</v>
      </c>
      <c r="F516" s="104">
        <f t="shared" si="60"/>
        <v>2003</v>
      </c>
      <c r="G516" s="25">
        <v>41947</v>
      </c>
      <c r="H516" s="25">
        <v>42136</v>
      </c>
      <c r="I516" s="104">
        <f t="shared" si="59"/>
        <v>1814</v>
      </c>
      <c r="J516" s="19">
        <f t="shared" si="58"/>
        <v>189</v>
      </c>
      <c r="K516" t="s">
        <v>69</v>
      </c>
      <c r="L516" s="4">
        <v>5.14</v>
      </c>
      <c r="M516" s="19">
        <f t="shared" si="61"/>
        <v>0</v>
      </c>
      <c r="N516" s="19">
        <f t="shared" si="62"/>
        <v>0</v>
      </c>
      <c r="O516" s="19">
        <f t="shared" si="63"/>
        <v>1</v>
      </c>
      <c r="P516" s="19">
        <f t="shared" si="64"/>
        <v>1</v>
      </c>
      <c r="Q516" s="24">
        <v>0</v>
      </c>
      <c r="R516" s="4">
        <f>54+37</f>
        <v>91</v>
      </c>
      <c r="S516" s="24">
        <v>0</v>
      </c>
      <c r="T516" s="127">
        <v>0</v>
      </c>
      <c r="U516" s="127">
        <v>0</v>
      </c>
      <c r="V516" s="24">
        <v>60</v>
      </c>
      <c r="W516" s="24">
        <v>1</v>
      </c>
      <c r="X516" s="24">
        <v>0</v>
      </c>
      <c r="Y516" s="24">
        <v>0</v>
      </c>
      <c r="Z516" s="24">
        <v>2.5</v>
      </c>
      <c r="AA516" s="24">
        <v>0.5</v>
      </c>
      <c r="AB516" s="24">
        <v>0</v>
      </c>
      <c r="AC516" s="24">
        <v>0</v>
      </c>
      <c r="AD516" s="24">
        <v>0</v>
      </c>
      <c r="AE516" s="24" t="s">
        <v>47</v>
      </c>
      <c r="AF516" s="138" t="s">
        <v>42</v>
      </c>
      <c r="AG516" s="114">
        <v>1</v>
      </c>
      <c r="AI516" s="104">
        <v>2003</v>
      </c>
      <c r="AJ516">
        <v>3040</v>
      </c>
    </row>
    <row r="517" spans="2:36" hidden="1" x14ac:dyDescent="0.25">
      <c r="B517" s="24" t="s">
        <v>248</v>
      </c>
      <c r="C517" s="24">
        <v>1</v>
      </c>
      <c r="E517" s="27">
        <v>40133</v>
      </c>
      <c r="F517" s="104">
        <f t="shared" si="60"/>
        <v>2003</v>
      </c>
      <c r="G517" s="25">
        <v>42136</v>
      </c>
      <c r="H517" s="25">
        <v>42136</v>
      </c>
      <c r="I517" s="104">
        <f t="shared" si="59"/>
        <v>2003</v>
      </c>
      <c r="J517" s="19">
        <f t="shared" si="58"/>
        <v>0</v>
      </c>
      <c r="K517" t="s">
        <v>69</v>
      </c>
      <c r="L517" s="4">
        <v>5.1100000000000003</v>
      </c>
      <c r="M517" s="19">
        <f t="shared" si="61"/>
        <v>0</v>
      </c>
      <c r="N517" s="19">
        <f t="shared" si="62"/>
        <v>0</v>
      </c>
      <c r="O517" s="19">
        <f t="shared" si="63"/>
        <v>0</v>
      </c>
      <c r="P517" s="19">
        <f t="shared" si="64"/>
        <v>0</v>
      </c>
      <c r="Q517" s="4">
        <v>0</v>
      </c>
      <c r="R517" s="4">
        <f>39+7</f>
        <v>46</v>
      </c>
      <c r="S517" s="4">
        <v>0</v>
      </c>
      <c r="T517" s="127">
        <v>0</v>
      </c>
      <c r="U517" s="127">
        <v>0</v>
      </c>
      <c r="V517" s="24">
        <v>60</v>
      </c>
      <c r="W517" s="24">
        <v>1</v>
      </c>
      <c r="X517" s="24">
        <v>0</v>
      </c>
      <c r="Y517" s="24">
        <v>0</v>
      </c>
      <c r="Z517" s="24">
        <v>2.5</v>
      </c>
      <c r="AA517" s="24">
        <v>0.5</v>
      </c>
      <c r="AB517" s="24">
        <v>0</v>
      </c>
      <c r="AC517" s="24">
        <v>0</v>
      </c>
      <c r="AD517" s="4">
        <v>0</v>
      </c>
      <c r="AE517" s="24" t="s">
        <v>47</v>
      </c>
      <c r="AF517" s="138" t="s">
        <v>42</v>
      </c>
      <c r="AG517" s="114">
        <v>1</v>
      </c>
      <c r="AI517" s="104">
        <v>675</v>
      </c>
      <c r="AJ517">
        <v>3043</v>
      </c>
    </row>
    <row r="518" spans="2:36" hidden="1" x14ac:dyDescent="0.25">
      <c r="B518" s="24" t="s">
        <v>153</v>
      </c>
      <c r="C518" s="24">
        <v>2</v>
      </c>
      <c r="D518" s="24"/>
      <c r="E518" s="23">
        <v>40141</v>
      </c>
      <c r="F518" s="104">
        <f t="shared" si="60"/>
        <v>1617</v>
      </c>
      <c r="G518" s="23">
        <v>40816</v>
      </c>
      <c r="H518" s="88">
        <v>41758</v>
      </c>
      <c r="I518" s="104">
        <f t="shared" ref="I518:I523" si="65">G518-E518</f>
        <v>675</v>
      </c>
      <c r="J518" s="19">
        <f t="shared" si="58"/>
        <v>942</v>
      </c>
      <c r="K518" t="s">
        <v>69</v>
      </c>
      <c r="L518" s="24">
        <v>6.36</v>
      </c>
      <c r="M518" s="19">
        <f t="shared" si="61"/>
        <v>1</v>
      </c>
      <c r="N518" s="19">
        <f t="shared" si="62"/>
        <v>1</v>
      </c>
      <c r="O518" s="19">
        <f t="shared" si="63"/>
        <v>1</v>
      </c>
      <c r="P518" s="19">
        <f t="shared" si="64"/>
        <v>1</v>
      </c>
      <c r="Q518" s="24">
        <v>22</v>
      </c>
      <c r="R518" s="24">
        <v>50</v>
      </c>
      <c r="S518" s="24">
        <v>0</v>
      </c>
      <c r="T518" s="129">
        <v>0</v>
      </c>
      <c r="U518" s="129">
        <v>0</v>
      </c>
      <c r="V518" s="24">
        <v>50</v>
      </c>
      <c r="W518" s="24">
        <v>0</v>
      </c>
      <c r="X518" s="24">
        <v>2.5</v>
      </c>
      <c r="Y518" s="24">
        <v>0.35</v>
      </c>
      <c r="Z518" s="24">
        <v>2.5</v>
      </c>
      <c r="AA518" s="24">
        <v>0.5</v>
      </c>
      <c r="AB518" s="24">
        <v>0</v>
      </c>
      <c r="AC518" s="24">
        <v>0</v>
      </c>
      <c r="AD518" s="24">
        <v>0</v>
      </c>
      <c r="AE518" s="24" t="s">
        <v>67</v>
      </c>
      <c r="AF518" s="114" t="s">
        <v>42</v>
      </c>
      <c r="AG518" s="114" t="s">
        <v>69</v>
      </c>
      <c r="AI518" s="104">
        <v>731</v>
      </c>
      <c r="AJ518">
        <v>3047</v>
      </c>
    </row>
    <row r="519" spans="2:36" hidden="1" x14ac:dyDescent="0.25">
      <c r="B519" s="24" t="s">
        <v>153</v>
      </c>
      <c r="C519" s="24">
        <v>2</v>
      </c>
      <c r="D519" s="24"/>
      <c r="E519" s="23">
        <v>40141</v>
      </c>
      <c r="F519" s="104">
        <f t="shared" si="60"/>
        <v>1617</v>
      </c>
      <c r="G519" s="23">
        <v>40872</v>
      </c>
      <c r="H519" s="78">
        <v>41758</v>
      </c>
      <c r="I519" s="104">
        <f t="shared" si="65"/>
        <v>731</v>
      </c>
      <c r="J519" s="19">
        <f t="shared" ref="J519:J524" si="66">H519-G519</f>
        <v>886</v>
      </c>
      <c r="K519" t="s">
        <v>69</v>
      </c>
      <c r="L519" s="39">
        <v>6.29</v>
      </c>
      <c r="M519" s="19">
        <f t="shared" si="61"/>
        <v>1</v>
      </c>
      <c r="N519" s="19">
        <f t="shared" si="62"/>
        <v>1</v>
      </c>
      <c r="O519" s="19">
        <f t="shared" si="63"/>
        <v>1</v>
      </c>
      <c r="P519" s="19">
        <f t="shared" si="64"/>
        <v>1</v>
      </c>
      <c r="Q519" s="24">
        <v>0</v>
      </c>
      <c r="R519" s="24">
        <v>52</v>
      </c>
      <c r="S519" s="24">
        <v>0</v>
      </c>
      <c r="T519" s="129">
        <v>0</v>
      </c>
      <c r="U519" s="129">
        <v>0</v>
      </c>
      <c r="V519" s="24">
        <v>50</v>
      </c>
      <c r="W519" s="24">
        <v>0</v>
      </c>
      <c r="X519" s="24">
        <v>2.5</v>
      </c>
      <c r="Y519" s="24">
        <v>0.35</v>
      </c>
      <c r="Z519" s="24">
        <v>2.5</v>
      </c>
      <c r="AA519" s="24">
        <v>0.5</v>
      </c>
      <c r="AB519" s="24">
        <v>0</v>
      </c>
      <c r="AC519" s="24">
        <v>0</v>
      </c>
      <c r="AD519" s="24">
        <v>0</v>
      </c>
      <c r="AE519" s="24" t="s">
        <v>67</v>
      </c>
      <c r="AF519" s="114" t="s">
        <v>42</v>
      </c>
      <c r="AG519" s="114" t="s">
        <v>69</v>
      </c>
      <c r="AI519" s="104">
        <v>785</v>
      </c>
      <c r="AJ519">
        <v>3049</v>
      </c>
    </row>
    <row r="520" spans="2:36" hidden="1" x14ac:dyDescent="0.25">
      <c r="B520" s="83" t="s">
        <v>153</v>
      </c>
      <c r="C520" s="83">
        <v>2</v>
      </c>
      <c r="D520" s="83"/>
      <c r="E520" s="81">
        <v>40141</v>
      </c>
      <c r="F520" s="104">
        <f t="shared" si="60"/>
        <v>1617</v>
      </c>
      <c r="G520" s="88">
        <v>40926</v>
      </c>
      <c r="H520" s="78">
        <v>41758</v>
      </c>
      <c r="I520" s="104">
        <f t="shared" si="65"/>
        <v>785</v>
      </c>
      <c r="J520" s="19">
        <f t="shared" si="66"/>
        <v>832</v>
      </c>
      <c r="K520" t="s">
        <v>69</v>
      </c>
      <c r="L520" s="93">
        <v>6.32</v>
      </c>
      <c r="M520" s="19">
        <f t="shared" si="61"/>
        <v>1</v>
      </c>
      <c r="N520" s="19">
        <f t="shared" si="62"/>
        <v>1</v>
      </c>
      <c r="O520" s="19">
        <f t="shared" si="63"/>
        <v>1</v>
      </c>
      <c r="P520" s="19">
        <f t="shared" si="64"/>
        <v>1</v>
      </c>
      <c r="Q520" s="83">
        <v>10</v>
      </c>
      <c r="R520" s="83">
        <v>97</v>
      </c>
      <c r="S520" s="83">
        <v>0</v>
      </c>
      <c r="T520" s="133">
        <v>0</v>
      </c>
      <c r="U520" s="133">
        <v>0</v>
      </c>
      <c r="V520" s="24">
        <v>50</v>
      </c>
      <c r="W520" s="83">
        <v>0</v>
      </c>
      <c r="X520" s="83">
        <v>2.5</v>
      </c>
      <c r="Y520" s="83">
        <v>0.35</v>
      </c>
      <c r="Z520" s="83">
        <v>2.5</v>
      </c>
      <c r="AA520" s="83">
        <v>0.5</v>
      </c>
      <c r="AB520" s="83">
        <v>0</v>
      </c>
      <c r="AC520" s="83">
        <v>0</v>
      </c>
      <c r="AD520" s="83">
        <v>0</v>
      </c>
      <c r="AE520" s="83" t="s">
        <v>67</v>
      </c>
      <c r="AF520" s="116" t="s">
        <v>42</v>
      </c>
      <c r="AG520" s="116" t="s">
        <v>69</v>
      </c>
      <c r="AI520" s="104">
        <v>1015</v>
      </c>
      <c r="AJ520">
        <v>3116</v>
      </c>
    </row>
    <row r="521" spans="2:36" hidden="1" x14ac:dyDescent="0.25">
      <c r="B521" s="19" t="s">
        <v>153</v>
      </c>
      <c r="C521" s="19">
        <v>2</v>
      </c>
      <c r="D521" s="19"/>
      <c r="E521" s="22">
        <v>40141</v>
      </c>
      <c r="F521" s="104">
        <f t="shared" si="60"/>
        <v>1617</v>
      </c>
      <c r="G521" s="78">
        <v>41156</v>
      </c>
      <c r="H521" s="78">
        <v>41758</v>
      </c>
      <c r="I521" s="104">
        <f t="shared" si="65"/>
        <v>1015</v>
      </c>
      <c r="J521" s="19">
        <f t="shared" si="66"/>
        <v>602</v>
      </c>
      <c r="K521" t="s">
        <v>69</v>
      </c>
      <c r="L521" s="19">
        <v>6.03</v>
      </c>
      <c r="M521" s="19">
        <f t="shared" si="61"/>
        <v>1</v>
      </c>
      <c r="N521" s="19">
        <f t="shared" si="62"/>
        <v>1</v>
      </c>
      <c r="O521" s="19">
        <f t="shared" si="63"/>
        <v>1</v>
      </c>
      <c r="P521" s="19">
        <f t="shared" si="64"/>
        <v>1</v>
      </c>
      <c r="Q521" s="19">
        <f>36+47</f>
        <v>83</v>
      </c>
      <c r="R521" s="19">
        <f>53+46</f>
        <v>99</v>
      </c>
      <c r="S521" s="19">
        <v>0</v>
      </c>
      <c r="T521" s="104">
        <v>0</v>
      </c>
      <c r="U521" s="104">
        <v>0</v>
      </c>
      <c r="V521" s="24">
        <v>50</v>
      </c>
      <c r="W521" s="19">
        <v>1</v>
      </c>
      <c r="X521" s="19">
        <v>2.5</v>
      </c>
      <c r="Y521" s="19">
        <v>0.35</v>
      </c>
      <c r="Z521" s="19">
        <v>2.5</v>
      </c>
      <c r="AA521" s="19">
        <v>0.5</v>
      </c>
      <c r="AB521" s="19">
        <v>0</v>
      </c>
      <c r="AC521" s="19">
        <v>0</v>
      </c>
      <c r="AD521" s="19">
        <v>0</v>
      </c>
      <c r="AE521" s="19" t="s">
        <v>67</v>
      </c>
      <c r="AF521" s="111" t="s">
        <v>42</v>
      </c>
      <c r="AG521" s="111" t="s">
        <v>28</v>
      </c>
      <c r="AI521" s="104">
        <v>1302</v>
      </c>
      <c r="AJ521">
        <v>3183</v>
      </c>
    </row>
    <row r="522" spans="2:36" hidden="1" x14ac:dyDescent="0.25">
      <c r="B522" s="24" t="s">
        <v>153</v>
      </c>
      <c r="C522" s="24">
        <v>2</v>
      </c>
      <c r="D522" s="24"/>
      <c r="E522" s="22">
        <v>40141</v>
      </c>
      <c r="F522" s="104">
        <f t="shared" si="60"/>
        <v>1617</v>
      </c>
      <c r="G522" s="78">
        <v>41443</v>
      </c>
      <c r="H522" s="78">
        <v>41758</v>
      </c>
      <c r="I522" s="104">
        <f t="shared" si="65"/>
        <v>1302</v>
      </c>
      <c r="J522" s="19">
        <f t="shared" si="66"/>
        <v>315</v>
      </c>
      <c r="K522" t="s">
        <v>69</v>
      </c>
      <c r="L522" s="19">
        <v>5.58</v>
      </c>
      <c r="M522" s="19">
        <f t="shared" si="61"/>
        <v>0</v>
      </c>
      <c r="N522" s="19">
        <f t="shared" si="62"/>
        <v>0</v>
      </c>
      <c r="O522" s="19">
        <f t="shared" si="63"/>
        <v>1</v>
      </c>
      <c r="P522" s="19">
        <f t="shared" si="64"/>
        <v>1</v>
      </c>
      <c r="Q522" s="19">
        <f>38+43</f>
        <v>81</v>
      </c>
      <c r="R522" s="19">
        <f>57+43</f>
        <v>100</v>
      </c>
      <c r="S522" s="19">
        <v>0</v>
      </c>
      <c r="T522" s="104">
        <v>0</v>
      </c>
      <c r="U522" s="104">
        <v>0</v>
      </c>
      <c r="V522" s="24">
        <v>50</v>
      </c>
      <c r="W522" s="19">
        <v>1</v>
      </c>
      <c r="X522" s="19">
        <v>2.5</v>
      </c>
      <c r="Y522" s="19">
        <v>0.35</v>
      </c>
      <c r="Z522" s="19">
        <v>2.5</v>
      </c>
      <c r="AA522" s="19">
        <v>0.5</v>
      </c>
      <c r="AB522" s="19">
        <v>0</v>
      </c>
      <c r="AC522" s="19">
        <v>0</v>
      </c>
      <c r="AD522" s="19">
        <v>0</v>
      </c>
      <c r="AE522" s="19" t="s">
        <v>67</v>
      </c>
      <c r="AF522" s="111" t="s">
        <v>42</v>
      </c>
      <c r="AG522" s="111" t="s">
        <v>28</v>
      </c>
      <c r="AI522" s="104">
        <v>1463</v>
      </c>
      <c r="AJ522">
        <v>3281</v>
      </c>
    </row>
    <row r="523" spans="2:36" hidden="1" x14ac:dyDescent="0.25">
      <c r="B523" s="24" t="s">
        <v>153</v>
      </c>
      <c r="C523" s="24">
        <v>2</v>
      </c>
      <c r="D523" s="24"/>
      <c r="E523" s="22">
        <v>40141</v>
      </c>
      <c r="F523" s="104">
        <f t="shared" si="60"/>
        <v>1617</v>
      </c>
      <c r="G523" s="78">
        <v>41604</v>
      </c>
      <c r="H523" s="78">
        <v>41758</v>
      </c>
      <c r="I523" s="104">
        <f t="shared" si="65"/>
        <v>1463</v>
      </c>
      <c r="J523" s="19">
        <f t="shared" si="66"/>
        <v>154</v>
      </c>
      <c r="K523" t="s">
        <v>69</v>
      </c>
      <c r="L523" s="19">
        <v>5.3</v>
      </c>
      <c r="M523" s="19">
        <f t="shared" si="61"/>
        <v>0</v>
      </c>
      <c r="N523" s="19">
        <f t="shared" si="62"/>
        <v>0</v>
      </c>
      <c r="O523" s="19">
        <f t="shared" si="63"/>
        <v>0</v>
      </c>
      <c r="P523" s="19">
        <f t="shared" si="64"/>
        <v>1</v>
      </c>
      <c r="Q523" s="19">
        <f>40+43</f>
        <v>83</v>
      </c>
      <c r="R523" s="19">
        <f>56+43</f>
        <v>99</v>
      </c>
      <c r="S523" s="19">
        <v>0</v>
      </c>
      <c r="T523" s="104">
        <v>0</v>
      </c>
      <c r="U523" s="104">
        <v>0</v>
      </c>
      <c r="V523" s="24">
        <v>50</v>
      </c>
      <c r="W523" s="19" t="s">
        <v>395</v>
      </c>
      <c r="X523" s="19">
        <v>2.5</v>
      </c>
      <c r="Y523" s="19">
        <v>0.35</v>
      </c>
      <c r="Z523" s="19">
        <v>2.5</v>
      </c>
      <c r="AA523" s="19">
        <v>0.5</v>
      </c>
      <c r="AB523" s="19">
        <v>0</v>
      </c>
      <c r="AC523" s="19">
        <v>0</v>
      </c>
      <c r="AD523" s="19">
        <v>0</v>
      </c>
      <c r="AE523" s="19" t="s">
        <v>67</v>
      </c>
      <c r="AF523" s="111" t="s">
        <v>42</v>
      </c>
      <c r="AG523" s="111" t="s">
        <v>28</v>
      </c>
      <c r="AI523" s="104">
        <v>1617</v>
      </c>
      <c r="AJ523">
        <v>3414</v>
      </c>
    </row>
    <row r="524" spans="2:36" hidden="1" x14ac:dyDescent="0.25">
      <c r="B524" s="24" t="s">
        <v>153</v>
      </c>
      <c r="C524" s="24">
        <v>2</v>
      </c>
      <c r="D524" s="24"/>
      <c r="E524" s="22">
        <v>40141</v>
      </c>
      <c r="F524" s="104">
        <f t="shared" si="60"/>
        <v>1617</v>
      </c>
      <c r="G524" s="78">
        <v>41758</v>
      </c>
      <c r="H524" s="78">
        <v>41758</v>
      </c>
      <c r="I524" s="104">
        <f>G524-E524</f>
        <v>1617</v>
      </c>
      <c r="J524" s="19">
        <f t="shared" si="66"/>
        <v>0</v>
      </c>
      <c r="K524" t="s">
        <v>69</v>
      </c>
      <c r="L524" s="19">
        <v>5.2</v>
      </c>
      <c r="M524" s="19">
        <f t="shared" si="61"/>
        <v>0</v>
      </c>
      <c r="N524" s="19">
        <f t="shared" si="62"/>
        <v>0</v>
      </c>
      <c r="O524" s="19">
        <f t="shared" si="63"/>
        <v>0</v>
      </c>
      <c r="P524" s="19">
        <f t="shared" si="64"/>
        <v>0</v>
      </c>
      <c r="Q524" s="19">
        <f>63+23</f>
        <v>86</v>
      </c>
      <c r="R524" s="19">
        <f>76+23</f>
        <v>99</v>
      </c>
      <c r="S524" s="19">
        <v>0</v>
      </c>
      <c r="T524" s="104">
        <v>0</v>
      </c>
      <c r="U524" s="104">
        <v>0</v>
      </c>
      <c r="V524" s="24">
        <v>50</v>
      </c>
      <c r="W524" s="19">
        <v>1</v>
      </c>
      <c r="X524" s="19">
        <v>2.5</v>
      </c>
      <c r="Y524" s="19">
        <v>0.35</v>
      </c>
      <c r="Z524" s="19">
        <v>2.5</v>
      </c>
      <c r="AA524" s="19">
        <v>0.5</v>
      </c>
      <c r="AB524" s="19">
        <v>0</v>
      </c>
      <c r="AC524" s="19">
        <v>0</v>
      </c>
      <c r="AD524" s="19">
        <v>0</v>
      </c>
      <c r="AE524" s="19" t="s">
        <v>67</v>
      </c>
      <c r="AF524" s="111" t="s">
        <v>42</v>
      </c>
      <c r="AG524" s="111" t="s">
        <v>28</v>
      </c>
    </row>
    <row r="525" spans="2:36" ht="39" hidden="1" x14ac:dyDescent="0.3">
      <c r="B525" s="75" t="s">
        <v>0</v>
      </c>
      <c r="C525" s="76" t="s">
        <v>3</v>
      </c>
      <c r="D525" s="76" t="s">
        <v>4</v>
      </c>
      <c r="E525" s="8" t="s">
        <v>6</v>
      </c>
      <c r="F525" s="8"/>
      <c r="G525" s="11" t="s">
        <v>9</v>
      </c>
      <c r="H525" s="11" t="s">
        <v>10</v>
      </c>
      <c r="I525" s="11"/>
      <c r="J525" s="11"/>
      <c r="K525" s="11"/>
      <c r="L525" s="3" t="s">
        <v>11</v>
      </c>
      <c r="M525" s="3"/>
      <c r="N525" s="3"/>
      <c r="O525" s="3"/>
      <c r="P525" s="3"/>
      <c r="Q525" s="149" t="s">
        <v>12</v>
      </c>
      <c r="R525" s="149" t="s">
        <v>13</v>
      </c>
      <c r="S525" s="149" t="s">
        <v>14</v>
      </c>
      <c r="T525" s="123"/>
      <c r="U525" s="123"/>
      <c r="V525" s="149"/>
      <c r="W525" s="149" t="s">
        <v>18</v>
      </c>
      <c r="X525" s="149" t="s">
        <v>19</v>
      </c>
      <c r="Y525" s="149" t="s">
        <v>20</v>
      </c>
      <c r="Z525" s="149" t="s">
        <v>21</v>
      </c>
      <c r="AA525" s="149" t="s">
        <v>22</v>
      </c>
      <c r="AB525" s="149" t="s">
        <v>23</v>
      </c>
      <c r="AC525" s="149" t="s">
        <v>24</v>
      </c>
      <c r="AD525" s="54" t="s">
        <v>15</v>
      </c>
      <c r="AE525" s="149" t="s">
        <v>17</v>
      </c>
      <c r="AF525" s="148"/>
      <c r="AG525" s="121" t="s">
        <v>18</v>
      </c>
    </row>
    <row r="526" spans="2:36" hidden="1" x14ac:dyDescent="0.25"/>
    <row r="527" spans="2:36" ht="52" hidden="1" x14ac:dyDescent="0.25">
      <c r="I527" s="33" t="s">
        <v>376</v>
      </c>
    </row>
  </sheetData>
  <autoFilter ref="A1:AJ527">
    <filterColumn colId="10">
      <filters>
        <filter val="si"/>
      </filters>
    </filterColumn>
  </autoFilter>
  <sortState ref="AJ1:AJ523">
    <sortCondition ref="AJ1:AJ52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73"/>
  <sheetViews>
    <sheetView topLeftCell="A2130" zoomScale="80" zoomScaleNormal="80" workbookViewId="0">
      <selection activeCell="C2151" sqref="C2151"/>
    </sheetView>
  </sheetViews>
  <sheetFormatPr baseColWidth="10" defaultColWidth="9.1796875" defaultRowHeight="12.5" x14ac:dyDescent="0.25"/>
  <cols>
    <col min="1" max="1" width="8.453125"/>
    <col min="2" max="2" width="27.1796875"/>
    <col min="3" max="3" width="27.26953125" style="57" customWidth="1"/>
    <col min="4" max="4" width="28.453125" style="1"/>
    <col min="5" max="5" width="12.26953125" style="1" customWidth="1"/>
    <col min="6" max="6" width="13.54296875" style="1"/>
    <col min="7" max="7" width="11.26953125" style="1"/>
    <col min="8" max="8" width="12.81640625" style="1"/>
    <col min="9" max="9" width="15.453125" style="1"/>
    <col min="10" max="10" width="10.7265625" style="1"/>
    <col min="11" max="11" width="16.26953125" style="1"/>
    <col min="12" max="12" width="14.1796875" style="1"/>
    <col min="13" max="13" width="16.453125" style="1"/>
    <col min="14" max="14" width="15.7265625" style="1" customWidth="1"/>
    <col min="15" max="15" width="14" style="1" customWidth="1"/>
    <col min="16" max="16" width="8.453125" style="1"/>
    <col min="17" max="17" width="17.7265625" style="1" customWidth="1"/>
    <col min="18" max="18" width="8.453125" style="1"/>
    <col min="19" max="1025" width="8.453125"/>
  </cols>
  <sheetData>
    <row r="1" spans="2:31" ht="18" customHeight="1" x14ac:dyDescent="0.25">
      <c r="C1" s="56"/>
      <c r="D1"/>
      <c r="E1"/>
      <c r="F1"/>
      <c r="G1"/>
      <c r="H1"/>
      <c r="I1"/>
      <c r="J1" s="2"/>
      <c r="K1"/>
      <c r="L1"/>
      <c r="M1"/>
      <c r="N1"/>
      <c r="O1"/>
      <c r="P1"/>
      <c r="Q1"/>
      <c r="R1"/>
    </row>
    <row r="2" spans="2:31" ht="18" customHeight="1" x14ac:dyDescent="0.3">
      <c r="B2" s="3" t="s">
        <v>0</v>
      </c>
      <c r="C2" s="57" t="s">
        <v>1</v>
      </c>
      <c r="D2"/>
      <c r="E2"/>
      <c r="F2"/>
      <c r="G2"/>
      <c r="H2"/>
      <c r="I2"/>
      <c r="J2" s="2"/>
      <c r="K2" s="5">
        <v>568</v>
      </c>
      <c r="L2" s="6" t="s">
        <v>2</v>
      </c>
      <c r="M2" s="6"/>
      <c r="N2" s="7"/>
      <c r="O2"/>
      <c r="P2"/>
      <c r="Q2"/>
      <c r="R2"/>
    </row>
    <row r="3" spans="2:31" ht="18" customHeight="1" x14ac:dyDescent="0.3">
      <c r="B3" s="8" t="s">
        <v>3</v>
      </c>
      <c r="C3" s="57">
        <v>3</v>
      </c>
      <c r="D3"/>
      <c r="E3"/>
      <c r="F3"/>
      <c r="G3"/>
      <c r="H3"/>
      <c r="I3"/>
      <c r="J3" s="2"/>
      <c r="K3" s="50">
        <v>4.8</v>
      </c>
      <c r="L3" s="49" t="s">
        <v>372</v>
      </c>
      <c r="M3"/>
      <c r="N3"/>
      <c r="O3"/>
      <c r="P3"/>
      <c r="Q3"/>
      <c r="R3"/>
    </row>
    <row r="4" spans="2:31" ht="18" customHeight="1" x14ac:dyDescent="0.3">
      <c r="B4" s="8" t="s">
        <v>4</v>
      </c>
      <c r="C4" s="57" t="s">
        <v>5</v>
      </c>
      <c r="D4"/>
      <c r="E4"/>
      <c r="F4"/>
      <c r="G4"/>
      <c r="H4"/>
      <c r="I4"/>
      <c r="J4" s="2"/>
      <c r="K4" s="50">
        <v>6.4</v>
      </c>
      <c r="L4" s="51" t="s">
        <v>373</v>
      </c>
      <c r="M4"/>
      <c r="N4"/>
      <c r="O4"/>
      <c r="P4"/>
      <c r="Q4"/>
      <c r="R4"/>
    </row>
    <row r="5" spans="2:31" ht="18" customHeight="1" x14ac:dyDescent="0.25">
      <c r="B5" s="8" t="s">
        <v>6</v>
      </c>
      <c r="C5" s="58">
        <v>39120</v>
      </c>
      <c r="D5" s="9" t="s">
        <v>7</v>
      </c>
      <c r="E5"/>
      <c r="F5"/>
      <c r="G5"/>
      <c r="H5"/>
      <c r="I5"/>
      <c r="J5" s="2"/>
      <c r="K5"/>
      <c r="L5"/>
      <c r="M5"/>
      <c r="N5"/>
      <c r="O5"/>
      <c r="P5"/>
      <c r="Q5"/>
      <c r="R5"/>
    </row>
    <row r="6" spans="2:31" ht="18" customHeight="1" x14ac:dyDescent="0.25">
      <c r="B6" s="8" t="s">
        <v>8</v>
      </c>
      <c r="C6" s="59">
        <v>41156</v>
      </c>
      <c r="D6"/>
      <c r="E6"/>
      <c r="F6"/>
      <c r="G6"/>
      <c r="H6"/>
      <c r="I6"/>
      <c r="J6" s="2"/>
      <c r="K6"/>
      <c r="L6"/>
      <c r="M6"/>
      <c r="N6"/>
      <c r="O6"/>
      <c r="P6"/>
      <c r="Q6"/>
      <c r="R6"/>
    </row>
    <row r="7" spans="2:31" ht="18" customHeight="1" x14ac:dyDescent="0.3">
      <c r="B7" s="11" t="s">
        <v>9</v>
      </c>
      <c r="C7" s="59">
        <v>40190</v>
      </c>
      <c r="D7" s="10">
        <v>40253</v>
      </c>
      <c r="E7" s="10">
        <v>40351</v>
      </c>
      <c r="F7" s="10">
        <v>40750</v>
      </c>
      <c r="G7" s="10">
        <v>40960</v>
      </c>
      <c r="H7" s="10">
        <v>41156</v>
      </c>
      <c r="I7"/>
      <c r="J7" s="2"/>
      <c r="K7" s="53" t="s">
        <v>375</v>
      </c>
      <c r="L7" t="s">
        <v>374</v>
      </c>
      <c r="M7"/>
      <c r="N7"/>
      <c r="O7"/>
      <c r="P7"/>
      <c r="Q7"/>
      <c r="R7"/>
      <c r="AE7" s="10">
        <v>41156</v>
      </c>
    </row>
    <row r="8" spans="2:31" ht="21.4" customHeight="1" x14ac:dyDescent="0.3">
      <c r="B8" s="11" t="s">
        <v>8</v>
      </c>
      <c r="C8" s="60">
        <f>C7-$C6</f>
        <v>-966</v>
      </c>
      <c r="D8" s="12">
        <f>D7-$C$6</f>
        <v>-903</v>
      </c>
      <c r="E8" s="12">
        <f>E7-$C$6</f>
        <v>-805</v>
      </c>
      <c r="F8" s="12">
        <f>F7-$C$6</f>
        <v>-406</v>
      </c>
      <c r="G8" s="12">
        <f>G7-$C$6</f>
        <v>-196</v>
      </c>
      <c r="H8" s="12">
        <f>H7-$C$6</f>
        <v>0</v>
      </c>
      <c r="I8"/>
      <c r="J8" s="2"/>
      <c r="K8"/>
      <c r="L8"/>
      <c r="M8"/>
      <c r="N8"/>
      <c r="O8"/>
      <c r="P8"/>
      <c r="Q8"/>
      <c r="R8"/>
      <c r="AE8" s="12">
        <v>0</v>
      </c>
    </row>
    <row r="9" spans="2:31" ht="21.4" customHeight="1" x14ac:dyDescent="0.3">
      <c r="B9" s="11" t="s">
        <v>10</v>
      </c>
      <c r="C9" s="60">
        <f t="shared" ref="C9:H9" si="0">C7-$C5</f>
        <v>1070</v>
      </c>
      <c r="D9" s="12">
        <f t="shared" si="0"/>
        <v>1133</v>
      </c>
      <c r="E9" s="12">
        <f t="shared" si="0"/>
        <v>1231</v>
      </c>
      <c r="F9" s="12">
        <f t="shared" si="0"/>
        <v>1630</v>
      </c>
      <c r="G9" s="12">
        <f t="shared" si="0"/>
        <v>1840</v>
      </c>
      <c r="H9" s="12">
        <f t="shared" si="0"/>
        <v>2036</v>
      </c>
      <c r="I9"/>
      <c r="J9" s="2"/>
      <c r="K9"/>
      <c r="L9"/>
      <c r="M9"/>
      <c r="N9"/>
      <c r="O9"/>
      <c r="P9"/>
      <c r="Q9"/>
      <c r="R9"/>
      <c r="AE9" s="12">
        <v>2036</v>
      </c>
    </row>
    <row r="10" spans="2:31" ht="16" customHeight="1" x14ac:dyDescent="0.3">
      <c r="B10" s="3" t="s">
        <v>11</v>
      </c>
      <c r="C10" s="60">
        <v>5.22</v>
      </c>
      <c r="D10" s="12">
        <v>5.21</v>
      </c>
      <c r="E10" s="12">
        <v>5.19</v>
      </c>
      <c r="F10" s="12">
        <v>5.1100000000000003</v>
      </c>
      <c r="G10" s="12">
        <v>5.07</v>
      </c>
      <c r="H10" s="12">
        <v>4.6900000000000004</v>
      </c>
      <c r="I10"/>
      <c r="J10" s="2"/>
      <c r="K10"/>
      <c r="L10"/>
      <c r="M10"/>
      <c r="N10"/>
      <c r="O10"/>
      <c r="P10"/>
      <c r="Q10"/>
      <c r="R10"/>
      <c r="AE10" s="12">
        <v>4.6900000000000004</v>
      </c>
    </row>
    <row r="11" spans="2:31" ht="18" customHeight="1" x14ac:dyDescent="0.3">
      <c r="B11" s="3" t="s">
        <v>12</v>
      </c>
      <c r="C11" s="60">
        <v>19</v>
      </c>
      <c r="D11" s="12">
        <v>19</v>
      </c>
      <c r="E11" s="12">
        <v>11</v>
      </c>
      <c r="F11" s="12">
        <v>11</v>
      </c>
      <c r="G11" s="12">
        <v>10</v>
      </c>
      <c r="H11" s="12">
        <v>19</v>
      </c>
      <c r="I11"/>
      <c r="J11" s="2"/>
      <c r="K11"/>
      <c r="L11"/>
      <c r="M11"/>
      <c r="N11"/>
      <c r="O11"/>
      <c r="P11"/>
      <c r="Q11"/>
      <c r="R11"/>
      <c r="AE11" s="12">
        <v>19</v>
      </c>
    </row>
    <row r="12" spans="2:31" ht="18" customHeight="1" x14ac:dyDescent="0.3">
      <c r="B12" s="3" t="s">
        <v>13</v>
      </c>
      <c r="C12" s="60">
        <v>98</v>
      </c>
      <c r="D12" s="12">
        <v>98</v>
      </c>
      <c r="E12" s="12">
        <v>99</v>
      </c>
      <c r="F12" s="12">
        <v>98</v>
      </c>
      <c r="G12" s="12">
        <v>96</v>
      </c>
      <c r="H12" s="12">
        <v>98</v>
      </c>
      <c r="I12"/>
      <c r="J12" s="2"/>
      <c r="K12"/>
      <c r="L12"/>
      <c r="M12"/>
      <c r="N12"/>
      <c r="O12"/>
      <c r="P12"/>
      <c r="Q12"/>
      <c r="R12"/>
      <c r="AE12" s="12">
        <v>98</v>
      </c>
    </row>
    <row r="13" spans="2:31" ht="18" customHeight="1" x14ac:dyDescent="0.3">
      <c r="B13" s="3" t="s">
        <v>14</v>
      </c>
      <c r="C13" s="60">
        <v>98</v>
      </c>
      <c r="D13" s="12">
        <v>98</v>
      </c>
      <c r="E13" s="12">
        <v>99</v>
      </c>
      <c r="F13" s="12">
        <v>98</v>
      </c>
      <c r="G13" s="12">
        <v>96</v>
      </c>
      <c r="H13" s="12">
        <v>98</v>
      </c>
      <c r="I13"/>
      <c r="J13" s="2"/>
      <c r="K13"/>
      <c r="L13"/>
      <c r="M13"/>
      <c r="N13"/>
      <c r="O13"/>
      <c r="P13"/>
      <c r="Q13"/>
      <c r="R13"/>
      <c r="AE13" s="12">
        <v>98</v>
      </c>
    </row>
    <row r="14" spans="2:31" ht="18" customHeight="1" x14ac:dyDescent="0.25">
      <c r="B14" s="8"/>
      <c r="C14" s="60"/>
      <c r="D14" s="12"/>
      <c r="E14" s="12"/>
      <c r="F14" s="12"/>
      <c r="G14" s="12"/>
      <c r="H14" s="12"/>
      <c r="I14"/>
      <c r="J14" s="2"/>
      <c r="K14"/>
      <c r="L14"/>
      <c r="M14"/>
      <c r="N14"/>
      <c r="O14"/>
      <c r="P14"/>
      <c r="Q14"/>
      <c r="R14"/>
      <c r="AE14" s="12"/>
    </row>
    <row r="15" spans="2:31" ht="18" customHeight="1" x14ac:dyDescent="0.3">
      <c r="B15" s="11" t="s">
        <v>15</v>
      </c>
      <c r="C15" s="60" t="s">
        <v>16</v>
      </c>
      <c r="D15" s="12" t="s">
        <v>16</v>
      </c>
      <c r="E15" s="12" t="s">
        <v>16</v>
      </c>
      <c r="F15" s="12" t="s">
        <v>16</v>
      </c>
      <c r="G15" s="12" t="s">
        <v>16</v>
      </c>
      <c r="H15" s="12" t="s">
        <v>16</v>
      </c>
      <c r="I15"/>
      <c r="J15" s="2"/>
      <c r="K15"/>
      <c r="L15"/>
      <c r="M15"/>
      <c r="N15"/>
      <c r="O15"/>
      <c r="P15"/>
      <c r="Q15"/>
      <c r="R15"/>
      <c r="AE15" s="12" t="s">
        <v>16</v>
      </c>
    </row>
    <row r="16" spans="2:31" ht="18" customHeight="1" x14ac:dyDescent="0.3">
      <c r="B16" s="3" t="s">
        <v>17</v>
      </c>
      <c r="C16" s="60">
        <v>60</v>
      </c>
      <c r="D16" s="12">
        <v>60</v>
      </c>
      <c r="E16" s="12">
        <v>60</v>
      </c>
      <c r="F16" s="12">
        <v>60</v>
      </c>
      <c r="G16" s="12">
        <v>60</v>
      </c>
      <c r="H16" s="12">
        <v>60</v>
      </c>
      <c r="I16"/>
      <c r="J16" s="2"/>
      <c r="K16"/>
      <c r="L16"/>
      <c r="M16"/>
      <c r="N16"/>
      <c r="O16"/>
      <c r="P16"/>
      <c r="Q16"/>
      <c r="R16"/>
      <c r="AE16" s="12">
        <v>60</v>
      </c>
    </row>
    <row r="17" spans="2:31" ht="18" customHeight="1" x14ac:dyDescent="0.3">
      <c r="B17" s="3" t="s">
        <v>18</v>
      </c>
      <c r="C17" s="60">
        <v>120</v>
      </c>
      <c r="D17" s="12">
        <v>120</v>
      </c>
      <c r="E17" s="12">
        <v>120</v>
      </c>
      <c r="F17" s="12">
        <v>120</v>
      </c>
      <c r="G17" s="12">
        <v>120</v>
      </c>
      <c r="H17" s="12">
        <v>120</v>
      </c>
      <c r="I17"/>
      <c r="J17" s="2"/>
      <c r="K17"/>
      <c r="L17"/>
      <c r="M17"/>
      <c r="N17"/>
      <c r="O17"/>
      <c r="P17"/>
      <c r="Q17"/>
      <c r="R17"/>
      <c r="AE17" s="12">
        <v>120</v>
      </c>
    </row>
    <row r="18" spans="2:31" ht="18" customHeight="1" x14ac:dyDescent="0.25">
      <c r="C18" s="60"/>
      <c r="D18" s="12"/>
      <c r="E18" s="12"/>
      <c r="F18" s="12"/>
      <c r="G18" s="12"/>
      <c r="H18" s="12"/>
      <c r="I18"/>
      <c r="J18" s="2"/>
      <c r="K18"/>
      <c r="L18"/>
      <c r="M18"/>
      <c r="N18"/>
      <c r="O18"/>
      <c r="P18"/>
      <c r="Q18"/>
      <c r="R18"/>
      <c r="AE18" s="12"/>
    </row>
    <row r="19" spans="2:31" ht="18" customHeight="1" x14ac:dyDescent="0.3">
      <c r="B19" s="3" t="s">
        <v>19</v>
      </c>
      <c r="C19" s="60">
        <v>2</v>
      </c>
      <c r="D19" s="12">
        <v>2</v>
      </c>
      <c r="E19" s="12">
        <v>2</v>
      </c>
      <c r="F19" s="12">
        <v>2</v>
      </c>
      <c r="G19" s="12">
        <v>2</v>
      </c>
      <c r="H19" s="12">
        <v>2</v>
      </c>
      <c r="I19"/>
      <c r="J19" s="2"/>
      <c r="K19"/>
      <c r="L19"/>
      <c r="M19"/>
      <c r="N19"/>
      <c r="O19"/>
      <c r="P19"/>
      <c r="Q19"/>
      <c r="R19"/>
      <c r="AE19" s="12">
        <v>2</v>
      </c>
    </row>
    <row r="20" spans="2:31" ht="18" customHeight="1" x14ac:dyDescent="0.3">
      <c r="B20" s="3" t="s">
        <v>20</v>
      </c>
      <c r="C20" s="60">
        <v>0.35</v>
      </c>
      <c r="D20" s="12">
        <v>0.35</v>
      </c>
      <c r="E20" s="12">
        <v>0.35</v>
      </c>
      <c r="F20" s="12">
        <v>0.35</v>
      </c>
      <c r="G20" s="12">
        <v>0.35</v>
      </c>
      <c r="H20" s="12">
        <v>0.35</v>
      </c>
      <c r="I20"/>
      <c r="J20" s="2"/>
      <c r="K20"/>
      <c r="L20"/>
      <c r="M20"/>
      <c r="N20"/>
      <c r="O20"/>
      <c r="P20"/>
      <c r="Q20"/>
      <c r="R20"/>
      <c r="AE20" s="12">
        <v>0.35</v>
      </c>
    </row>
    <row r="21" spans="2:31" ht="18" customHeight="1" x14ac:dyDescent="0.3">
      <c r="B21" s="3" t="s">
        <v>21</v>
      </c>
      <c r="C21" s="60">
        <v>2.5</v>
      </c>
      <c r="D21" s="12">
        <v>2.5</v>
      </c>
      <c r="E21" s="12">
        <v>2.5</v>
      </c>
      <c r="F21" s="12">
        <v>2.5</v>
      </c>
      <c r="G21" s="12">
        <v>2.5</v>
      </c>
      <c r="H21" s="12">
        <v>2.5</v>
      </c>
      <c r="I21"/>
      <c r="J21" s="2"/>
      <c r="K21"/>
      <c r="L21"/>
      <c r="M21"/>
      <c r="N21"/>
      <c r="O21"/>
      <c r="P21"/>
      <c r="Q21"/>
      <c r="R21"/>
      <c r="AE21" s="12">
        <v>2.5</v>
      </c>
    </row>
    <row r="22" spans="2:31" ht="18" customHeight="1" x14ac:dyDescent="0.3">
      <c r="B22" s="3" t="s">
        <v>22</v>
      </c>
      <c r="C22" s="60">
        <v>0.35</v>
      </c>
      <c r="D22" s="12">
        <v>0.35</v>
      </c>
      <c r="E22" s="12">
        <v>0.35</v>
      </c>
      <c r="F22" s="12">
        <v>0.5</v>
      </c>
      <c r="G22" s="12">
        <v>0.35</v>
      </c>
      <c r="H22" s="12">
        <v>0.35</v>
      </c>
      <c r="I22"/>
      <c r="J22" s="2"/>
      <c r="K22"/>
      <c r="L22"/>
      <c r="M22"/>
      <c r="N22"/>
      <c r="O22"/>
      <c r="P22"/>
      <c r="Q22"/>
      <c r="R22"/>
      <c r="AE22" s="12">
        <v>0.35</v>
      </c>
    </row>
    <row r="23" spans="2:31" ht="18" customHeight="1" x14ac:dyDescent="0.3">
      <c r="B23" s="3" t="s">
        <v>23</v>
      </c>
      <c r="C23" s="60">
        <v>2</v>
      </c>
      <c r="D23" s="12">
        <v>2</v>
      </c>
      <c r="E23" s="12">
        <v>2</v>
      </c>
      <c r="F23" s="12">
        <v>2</v>
      </c>
      <c r="G23" s="12">
        <v>2</v>
      </c>
      <c r="H23" s="12">
        <v>2</v>
      </c>
      <c r="I23"/>
      <c r="J23" s="2"/>
      <c r="K23"/>
      <c r="L23"/>
      <c r="M23"/>
      <c r="N23"/>
      <c r="O23"/>
      <c r="P23"/>
      <c r="Q23"/>
      <c r="R23"/>
      <c r="AE23" s="12">
        <v>2</v>
      </c>
    </row>
    <row r="24" spans="2:31" ht="18" customHeight="1" x14ac:dyDescent="0.3">
      <c r="B24" s="3" t="s">
        <v>24</v>
      </c>
      <c r="C24" s="60">
        <v>0.35</v>
      </c>
      <c r="D24" s="12">
        <v>0.35</v>
      </c>
      <c r="E24" s="12">
        <v>0.35</v>
      </c>
      <c r="F24" s="12">
        <v>0.35</v>
      </c>
      <c r="G24" s="12">
        <v>0.35</v>
      </c>
      <c r="H24" s="12">
        <v>0.35</v>
      </c>
      <c r="I24"/>
      <c r="J24" s="2"/>
      <c r="K24"/>
      <c r="L24"/>
      <c r="M24"/>
      <c r="N24"/>
      <c r="O24"/>
      <c r="P24"/>
      <c r="Q24"/>
      <c r="R24"/>
      <c r="AE24" s="12">
        <v>0.35</v>
      </c>
    </row>
    <row r="25" spans="2:31" ht="18" customHeight="1" x14ac:dyDescent="0.25">
      <c r="C25" s="56"/>
      <c r="D25"/>
      <c r="E25"/>
      <c r="F25"/>
      <c r="G25"/>
      <c r="H25"/>
      <c r="I25"/>
      <c r="J25" s="2"/>
      <c r="K25"/>
      <c r="L25"/>
      <c r="M25"/>
      <c r="N25"/>
      <c r="O25"/>
      <c r="P25"/>
      <c r="Q25"/>
      <c r="R25"/>
    </row>
    <row r="26" spans="2:31" ht="18" customHeight="1" x14ac:dyDescent="0.25">
      <c r="C26" s="56"/>
      <c r="D26"/>
      <c r="E26"/>
      <c r="F26"/>
      <c r="G26"/>
      <c r="H26"/>
      <c r="I26"/>
      <c r="J26" s="2"/>
      <c r="K26"/>
      <c r="L26"/>
      <c r="M26"/>
      <c r="N26"/>
      <c r="O26"/>
      <c r="P26"/>
      <c r="Q26"/>
      <c r="R26"/>
    </row>
    <row r="27" spans="2:31" ht="18" customHeight="1" x14ac:dyDescent="0.3">
      <c r="B27" s="3" t="s">
        <v>0</v>
      </c>
      <c r="C27" s="57" t="s">
        <v>25</v>
      </c>
      <c r="D27"/>
      <c r="E27"/>
      <c r="F27"/>
      <c r="G27"/>
      <c r="H27"/>
      <c r="I27"/>
      <c r="J27" s="2"/>
      <c r="K27"/>
      <c r="L27"/>
      <c r="M27"/>
      <c r="N27"/>
      <c r="O27"/>
      <c r="P27"/>
      <c r="Q27"/>
      <c r="R27"/>
    </row>
    <row r="28" spans="2:31" ht="18" customHeight="1" x14ac:dyDescent="0.25">
      <c r="B28" s="8" t="s">
        <v>3</v>
      </c>
      <c r="C28" s="57">
        <v>3</v>
      </c>
      <c r="D28"/>
      <c r="E28"/>
      <c r="F28"/>
      <c r="G28"/>
      <c r="H28"/>
      <c r="I28"/>
      <c r="J28" s="2"/>
      <c r="K28"/>
      <c r="L28"/>
      <c r="M28"/>
      <c r="N28"/>
      <c r="O28"/>
      <c r="P28"/>
      <c r="Q28"/>
      <c r="R28"/>
    </row>
    <row r="29" spans="2:31" ht="18" customHeight="1" x14ac:dyDescent="0.25">
      <c r="B29" s="8" t="s">
        <v>4</v>
      </c>
      <c r="C29" s="57" t="s">
        <v>26</v>
      </c>
      <c r="D29"/>
      <c r="E29"/>
      <c r="F29"/>
      <c r="G29"/>
      <c r="H29"/>
      <c r="I29"/>
      <c r="J29" s="2"/>
      <c r="K29"/>
      <c r="L29"/>
      <c r="M29"/>
      <c r="N29"/>
      <c r="O29"/>
      <c r="P29"/>
      <c r="Q29"/>
      <c r="R29"/>
    </row>
    <row r="30" spans="2:31" ht="18" customHeight="1" x14ac:dyDescent="0.25">
      <c r="B30" s="8" t="s">
        <v>6</v>
      </c>
      <c r="C30" s="61">
        <v>39238</v>
      </c>
      <c r="D30"/>
      <c r="E30"/>
      <c r="F30"/>
      <c r="G30"/>
      <c r="H30"/>
      <c r="I30"/>
      <c r="J30" s="2"/>
      <c r="K30"/>
      <c r="L30"/>
      <c r="M30"/>
      <c r="N30"/>
      <c r="O30"/>
      <c r="P30"/>
      <c r="Q30"/>
      <c r="R30"/>
    </row>
    <row r="31" spans="2:31" ht="18" customHeight="1" x14ac:dyDescent="0.25">
      <c r="B31" s="8" t="s">
        <v>8</v>
      </c>
      <c r="C31" s="59">
        <v>41751</v>
      </c>
      <c r="D31"/>
      <c r="E31"/>
      <c r="F31"/>
      <c r="G31"/>
      <c r="H31"/>
      <c r="I31"/>
      <c r="J31" s="2"/>
      <c r="K31"/>
      <c r="L31"/>
      <c r="M31"/>
      <c r="N31"/>
      <c r="O31"/>
      <c r="P31"/>
      <c r="Q31"/>
      <c r="R31"/>
    </row>
    <row r="32" spans="2:31" ht="18" customHeight="1" x14ac:dyDescent="0.25">
      <c r="B32" s="8" t="s">
        <v>27</v>
      </c>
      <c r="C32" s="59" t="s">
        <v>28</v>
      </c>
      <c r="D32"/>
      <c r="E32"/>
      <c r="F32"/>
      <c r="G32"/>
      <c r="H32"/>
      <c r="I32"/>
      <c r="J32" s="2"/>
      <c r="K32"/>
      <c r="L32"/>
      <c r="M32"/>
      <c r="N32"/>
      <c r="O32"/>
      <c r="P32"/>
      <c r="Q32"/>
      <c r="R32"/>
    </row>
    <row r="33" spans="2:31" ht="18" customHeight="1" x14ac:dyDescent="0.3">
      <c r="B33" s="14" t="s">
        <v>9</v>
      </c>
      <c r="C33" s="62">
        <v>40106</v>
      </c>
      <c r="D33" s="15">
        <v>40288</v>
      </c>
      <c r="E33" s="15">
        <v>40799</v>
      </c>
      <c r="F33" s="15">
        <v>40932</v>
      </c>
      <c r="G33" s="15">
        <v>41107</v>
      </c>
      <c r="H33" s="15">
        <v>41303</v>
      </c>
      <c r="I33" s="15">
        <v>41380</v>
      </c>
      <c r="J33" s="16">
        <v>41486</v>
      </c>
      <c r="K33" s="15">
        <v>41568</v>
      </c>
      <c r="L33" s="15">
        <v>41751</v>
      </c>
      <c r="M33"/>
      <c r="N33"/>
      <c r="O33"/>
      <c r="P33"/>
      <c r="Q33"/>
      <c r="R33"/>
      <c r="AE33" s="15">
        <v>41303</v>
      </c>
    </row>
    <row r="34" spans="2:31" ht="28" customHeight="1" x14ac:dyDescent="0.3">
      <c r="B34" s="17" t="s">
        <v>29</v>
      </c>
      <c r="C34" s="63">
        <f t="shared" ref="C34:L34" si="1">C33-$C31</f>
        <v>-1645</v>
      </c>
      <c r="D34" s="18">
        <f t="shared" si="1"/>
        <v>-1463</v>
      </c>
      <c r="E34" s="18">
        <f t="shared" si="1"/>
        <v>-952</v>
      </c>
      <c r="F34" s="18">
        <f t="shared" si="1"/>
        <v>-819</v>
      </c>
      <c r="G34" s="18">
        <f t="shared" si="1"/>
        <v>-644</v>
      </c>
      <c r="H34" s="18">
        <f t="shared" si="1"/>
        <v>-448</v>
      </c>
      <c r="I34" s="18">
        <f t="shared" si="1"/>
        <v>-371</v>
      </c>
      <c r="J34" s="18">
        <f t="shared" si="1"/>
        <v>-265</v>
      </c>
      <c r="K34" s="18">
        <f t="shared" si="1"/>
        <v>-183</v>
      </c>
      <c r="L34" s="18">
        <f t="shared" si="1"/>
        <v>0</v>
      </c>
      <c r="M34"/>
      <c r="N34"/>
      <c r="O34"/>
      <c r="P34"/>
      <c r="Q34"/>
      <c r="R34"/>
      <c r="AE34" s="18">
        <v>-448</v>
      </c>
    </row>
    <row r="35" spans="2:31" ht="28" customHeight="1" x14ac:dyDescent="0.3">
      <c r="B35" s="17" t="s">
        <v>10</v>
      </c>
      <c r="C35" s="63">
        <f t="shared" ref="C35:L35" si="2">C33-$C30</f>
        <v>868</v>
      </c>
      <c r="D35" s="18">
        <f t="shared" si="2"/>
        <v>1050</v>
      </c>
      <c r="E35" s="18">
        <f t="shared" si="2"/>
        <v>1561</v>
      </c>
      <c r="F35" s="18">
        <f t="shared" si="2"/>
        <v>1694</v>
      </c>
      <c r="G35" s="18">
        <f t="shared" si="2"/>
        <v>1869</v>
      </c>
      <c r="H35" s="18">
        <f t="shared" si="2"/>
        <v>2065</v>
      </c>
      <c r="I35" s="18">
        <f t="shared" si="2"/>
        <v>2142</v>
      </c>
      <c r="J35" s="18">
        <f t="shared" si="2"/>
        <v>2248</v>
      </c>
      <c r="K35" s="18">
        <f t="shared" si="2"/>
        <v>2330</v>
      </c>
      <c r="L35" s="18">
        <f t="shared" si="2"/>
        <v>2513</v>
      </c>
      <c r="M35"/>
      <c r="N35"/>
      <c r="O35"/>
      <c r="P35"/>
      <c r="Q35"/>
      <c r="R35"/>
      <c r="AE35" s="18">
        <v>2065</v>
      </c>
    </row>
    <row r="36" spans="2:31" ht="18" customHeight="1" x14ac:dyDescent="0.3">
      <c r="B36" s="3" t="s">
        <v>11</v>
      </c>
      <c r="C36" s="60">
        <v>6.15</v>
      </c>
      <c r="D36" s="12">
        <v>5.92</v>
      </c>
      <c r="E36" s="12">
        <v>5.22</v>
      </c>
      <c r="F36" s="12">
        <v>5.18</v>
      </c>
      <c r="G36" s="12">
        <v>5.15</v>
      </c>
      <c r="H36" s="12">
        <v>5.14</v>
      </c>
      <c r="I36" s="12">
        <v>5.13</v>
      </c>
      <c r="J36" s="19">
        <v>5.1100000000000003</v>
      </c>
      <c r="K36" s="12">
        <v>5.05</v>
      </c>
      <c r="L36" s="12">
        <v>4.74</v>
      </c>
      <c r="M36"/>
      <c r="N36"/>
      <c r="O36"/>
      <c r="P36"/>
      <c r="Q36"/>
      <c r="R36"/>
      <c r="AE36" s="12">
        <v>5.14</v>
      </c>
    </row>
    <row r="37" spans="2:31" ht="18" customHeight="1" x14ac:dyDescent="0.3">
      <c r="B37" s="3" t="s">
        <v>12</v>
      </c>
      <c r="C37" s="60">
        <v>3</v>
      </c>
      <c r="D37" s="12">
        <v>3</v>
      </c>
      <c r="E37" s="12">
        <v>6</v>
      </c>
      <c r="F37" s="12">
        <v>4</v>
      </c>
      <c r="G37" s="12">
        <v>5</v>
      </c>
      <c r="H37" s="12">
        <v>4</v>
      </c>
      <c r="I37" s="12">
        <v>5</v>
      </c>
      <c r="J37" s="19">
        <v>7</v>
      </c>
      <c r="K37" s="12">
        <v>8</v>
      </c>
      <c r="L37" s="12">
        <v>2</v>
      </c>
      <c r="M37"/>
      <c r="N37"/>
      <c r="O37"/>
      <c r="P37"/>
      <c r="Q37"/>
      <c r="R37"/>
      <c r="AE37" s="12">
        <v>4</v>
      </c>
    </row>
    <row r="38" spans="2:31" ht="18" customHeight="1" x14ac:dyDescent="0.3">
      <c r="B38" s="3" t="s">
        <v>13</v>
      </c>
      <c r="C38" s="60">
        <v>97</v>
      </c>
      <c r="D38" s="12">
        <v>97</v>
      </c>
      <c r="E38" s="12">
        <v>98</v>
      </c>
      <c r="F38" s="12">
        <v>98</v>
      </c>
      <c r="G38" s="12">
        <v>96</v>
      </c>
      <c r="H38" s="12">
        <v>96</v>
      </c>
      <c r="I38" s="12">
        <v>95</v>
      </c>
      <c r="J38" s="19">
        <v>97</v>
      </c>
      <c r="K38" s="12">
        <v>97</v>
      </c>
      <c r="L38" s="12">
        <v>97</v>
      </c>
      <c r="M38"/>
      <c r="N38"/>
      <c r="O38"/>
      <c r="P38"/>
      <c r="Q38"/>
      <c r="R38"/>
      <c r="AE38" s="12">
        <v>96</v>
      </c>
    </row>
    <row r="39" spans="2:31" ht="18" customHeight="1" x14ac:dyDescent="0.3">
      <c r="B39" s="3" t="s">
        <v>14</v>
      </c>
      <c r="C39" s="60">
        <v>97</v>
      </c>
      <c r="D39" s="12">
        <v>97</v>
      </c>
      <c r="E39" s="12">
        <v>98</v>
      </c>
      <c r="F39" s="12">
        <v>98</v>
      </c>
      <c r="G39" s="12">
        <v>96</v>
      </c>
      <c r="H39" s="12">
        <v>96</v>
      </c>
      <c r="I39" s="12">
        <v>95</v>
      </c>
      <c r="J39" s="19">
        <v>97</v>
      </c>
      <c r="K39" s="12">
        <v>97</v>
      </c>
      <c r="L39" s="12">
        <v>97</v>
      </c>
      <c r="M39"/>
      <c r="N39"/>
      <c r="O39"/>
      <c r="P39"/>
      <c r="Q39"/>
      <c r="R39"/>
      <c r="AE39" s="12">
        <v>96</v>
      </c>
    </row>
    <row r="40" spans="2:31" ht="18" customHeight="1" x14ac:dyDescent="0.25">
      <c r="B40" s="8"/>
      <c r="C40" s="56"/>
      <c r="D40"/>
      <c r="E40" s="12"/>
      <c r="F40" s="12"/>
      <c r="G40" s="12"/>
      <c r="H40" s="12"/>
      <c r="I40" s="12"/>
      <c r="J40" s="19"/>
      <c r="K40"/>
      <c r="L40"/>
      <c r="M40"/>
      <c r="N40"/>
      <c r="O40"/>
      <c r="P40"/>
      <c r="Q40"/>
      <c r="R40"/>
      <c r="AE40" s="12"/>
    </row>
    <row r="41" spans="2:31" ht="18" customHeight="1" x14ac:dyDescent="0.3">
      <c r="B41" s="11" t="s">
        <v>15</v>
      </c>
      <c r="C41" s="60" t="s">
        <v>16</v>
      </c>
      <c r="D41" s="12" t="s">
        <v>16</v>
      </c>
      <c r="E41" s="12" t="s">
        <v>16</v>
      </c>
      <c r="F41" s="12" t="s">
        <v>16</v>
      </c>
      <c r="G41" s="12" t="s">
        <v>16</v>
      </c>
      <c r="H41" s="12" t="s">
        <v>16</v>
      </c>
      <c r="I41" s="12" t="s">
        <v>16</v>
      </c>
      <c r="J41" s="19" t="s">
        <v>16</v>
      </c>
      <c r="K41" s="12" t="s">
        <v>16</v>
      </c>
      <c r="L41" s="12" t="s">
        <v>16</v>
      </c>
      <c r="M41"/>
      <c r="N41"/>
      <c r="O41"/>
      <c r="P41"/>
      <c r="Q41"/>
      <c r="R41"/>
      <c r="AE41" s="12" t="s">
        <v>16</v>
      </c>
    </row>
    <row r="42" spans="2:31" ht="18" customHeight="1" x14ac:dyDescent="0.3">
      <c r="B42" s="3" t="s">
        <v>17</v>
      </c>
      <c r="C42" s="60">
        <v>60</v>
      </c>
      <c r="D42" s="12">
        <v>60</v>
      </c>
      <c r="E42" s="12">
        <v>60</v>
      </c>
      <c r="F42" s="12">
        <v>60</v>
      </c>
      <c r="G42" s="12">
        <v>60</v>
      </c>
      <c r="H42" s="12">
        <v>60</v>
      </c>
      <c r="I42" s="12">
        <v>60</v>
      </c>
      <c r="J42" s="19">
        <v>60</v>
      </c>
      <c r="K42" s="12">
        <v>60</v>
      </c>
      <c r="L42" s="12">
        <v>60</v>
      </c>
      <c r="M42"/>
      <c r="N42"/>
      <c r="O42"/>
      <c r="P42"/>
      <c r="Q42"/>
      <c r="R42"/>
      <c r="AE42" s="12">
        <v>60</v>
      </c>
    </row>
    <row r="43" spans="2:31" ht="18" customHeight="1" x14ac:dyDescent="0.3">
      <c r="B43" s="3" t="s">
        <v>18</v>
      </c>
      <c r="C43" s="60">
        <v>120</v>
      </c>
      <c r="D43" s="12">
        <v>120</v>
      </c>
      <c r="E43" s="12">
        <v>120</v>
      </c>
      <c r="F43" s="12">
        <v>120</v>
      </c>
      <c r="G43" s="12">
        <v>120</v>
      </c>
      <c r="H43" s="12">
        <v>120</v>
      </c>
      <c r="I43" s="12">
        <v>120</v>
      </c>
      <c r="J43" s="19">
        <v>120</v>
      </c>
      <c r="K43" s="12">
        <v>120</v>
      </c>
      <c r="L43" s="12">
        <v>120</v>
      </c>
      <c r="M43"/>
      <c r="N43"/>
      <c r="O43"/>
      <c r="P43"/>
      <c r="Q43"/>
      <c r="R43"/>
      <c r="AE43" s="12">
        <v>120</v>
      </c>
    </row>
    <row r="44" spans="2:31" ht="18" customHeight="1" x14ac:dyDescent="0.25">
      <c r="C44" s="56"/>
      <c r="D44"/>
      <c r="E44" s="12"/>
      <c r="F44" s="12"/>
      <c r="G44" s="12"/>
      <c r="H44" s="12"/>
      <c r="I44" s="12"/>
      <c r="J44" s="19"/>
      <c r="K44"/>
      <c r="L44"/>
      <c r="M44"/>
      <c r="N44"/>
      <c r="O44"/>
      <c r="P44"/>
      <c r="Q44"/>
      <c r="R44"/>
      <c r="AE44" s="12"/>
    </row>
    <row r="45" spans="2:31" ht="18" customHeight="1" x14ac:dyDescent="0.3">
      <c r="B45" s="3" t="s">
        <v>19</v>
      </c>
      <c r="C45" s="60">
        <v>2</v>
      </c>
      <c r="D45" s="12">
        <v>2</v>
      </c>
      <c r="E45" s="12">
        <v>2</v>
      </c>
      <c r="F45" s="12">
        <v>2</v>
      </c>
      <c r="G45" s="12">
        <v>2</v>
      </c>
      <c r="H45" s="12">
        <v>2</v>
      </c>
      <c r="I45" s="12">
        <v>2</v>
      </c>
      <c r="J45" s="19">
        <v>2</v>
      </c>
      <c r="K45" s="12">
        <v>2</v>
      </c>
      <c r="L45" s="12">
        <v>2</v>
      </c>
      <c r="M45"/>
      <c r="N45"/>
      <c r="O45"/>
      <c r="P45"/>
      <c r="Q45"/>
      <c r="R45"/>
      <c r="AE45" s="12">
        <v>2</v>
      </c>
    </row>
    <row r="46" spans="2:31" ht="18" customHeight="1" x14ac:dyDescent="0.3">
      <c r="B46" s="3" t="s">
        <v>20</v>
      </c>
      <c r="C46" s="60">
        <v>0.35</v>
      </c>
      <c r="D46" s="12">
        <v>0.35</v>
      </c>
      <c r="E46" s="12">
        <v>0.35</v>
      </c>
      <c r="F46" s="12">
        <v>0.35</v>
      </c>
      <c r="G46" s="12">
        <v>0.35</v>
      </c>
      <c r="H46" s="12">
        <v>0.35</v>
      </c>
      <c r="I46" s="12">
        <v>0.35</v>
      </c>
      <c r="J46" s="19">
        <v>0.35</v>
      </c>
      <c r="K46" s="12">
        <v>0.35</v>
      </c>
      <c r="L46" s="12">
        <v>0.35</v>
      </c>
      <c r="M46"/>
      <c r="N46"/>
      <c r="O46"/>
      <c r="P46"/>
      <c r="Q46"/>
      <c r="R46"/>
      <c r="AE46" s="12">
        <v>0.35</v>
      </c>
    </row>
    <row r="47" spans="2:31" ht="18" customHeight="1" x14ac:dyDescent="0.3">
      <c r="B47" s="3" t="s">
        <v>21</v>
      </c>
      <c r="C47" s="60">
        <v>2</v>
      </c>
      <c r="D47" s="12">
        <v>2</v>
      </c>
      <c r="E47" s="12">
        <v>2</v>
      </c>
      <c r="F47" s="12">
        <v>2</v>
      </c>
      <c r="G47" s="12">
        <v>2</v>
      </c>
      <c r="H47" s="12">
        <v>2</v>
      </c>
      <c r="I47" s="12">
        <v>2</v>
      </c>
      <c r="J47" s="19">
        <v>2</v>
      </c>
      <c r="K47" s="12">
        <v>2</v>
      </c>
      <c r="L47" s="12">
        <v>2</v>
      </c>
      <c r="M47"/>
      <c r="N47"/>
      <c r="O47"/>
      <c r="P47"/>
      <c r="Q47"/>
      <c r="R47"/>
      <c r="AE47" s="12">
        <v>2</v>
      </c>
    </row>
    <row r="48" spans="2:31" ht="18" customHeight="1" x14ac:dyDescent="0.3">
      <c r="B48" s="3" t="s">
        <v>22</v>
      </c>
      <c r="C48" s="60">
        <v>0.35</v>
      </c>
      <c r="D48" s="12">
        <v>0.35</v>
      </c>
      <c r="E48" s="12">
        <v>0.35</v>
      </c>
      <c r="F48" s="12">
        <v>0.35</v>
      </c>
      <c r="G48" s="12">
        <v>0.35</v>
      </c>
      <c r="H48" s="12">
        <v>0.35</v>
      </c>
      <c r="I48" s="12">
        <v>0.35</v>
      </c>
      <c r="J48" s="19">
        <v>0.35</v>
      </c>
      <c r="K48" s="12">
        <v>0.35</v>
      </c>
      <c r="L48" s="12">
        <v>0.35</v>
      </c>
      <c r="M48"/>
      <c r="N48"/>
      <c r="O48"/>
      <c r="P48"/>
      <c r="Q48"/>
      <c r="R48"/>
      <c r="AE48" s="12">
        <v>0.35</v>
      </c>
    </row>
    <row r="49" spans="2:31" ht="18" customHeight="1" x14ac:dyDescent="0.3">
      <c r="B49" s="3" t="s">
        <v>23</v>
      </c>
      <c r="C49" s="60">
        <v>2</v>
      </c>
      <c r="D49" s="12">
        <v>2</v>
      </c>
      <c r="E49" s="12">
        <v>2</v>
      </c>
      <c r="F49" s="12">
        <v>2</v>
      </c>
      <c r="G49" s="12">
        <v>2</v>
      </c>
      <c r="H49" s="12">
        <v>2</v>
      </c>
      <c r="I49" s="12">
        <v>2</v>
      </c>
      <c r="J49" s="19">
        <v>2</v>
      </c>
      <c r="K49" s="12">
        <v>2</v>
      </c>
      <c r="L49" s="12">
        <v>2</v>
      </c>
      <c r="M49"/>
      <c r="N49"/>
      <c r="O49"/>
      <c r="P49"/>
      <c r="Q49"/>
      <c r="R49"/>
      <c r="AE49" s="12">
        <v>2</v>
      </c>
    </row>
    <row r="50" spans="2:31" ht="18" customHeight="1" x14ac:dyDescent="0.3">
      <c r="B50" s="3" t="s">
        <v>24</v>
      </c>
      <c r="C50" s="60">
        <v>0.35</v>
      </c>
      <c r="D50" s="12">
        <v>0.35</v>
      </c>
      <c r="E50" s="12">
        <v>0.35</v>
      </c>
      <c r="F50" s="12">
        <v>0.35</v>
      </c>
      <c r="G50" s="12">
        <v>0.35</v>
      </c>
      <c r="H50" s="12">
        <v>0.35</v>
      </c>
      <c r="I50" s="12">
        <v>0.35</v>
      </c>
      <c r="J50" s="19">
        <v>0.35</v>
      </c>
      <c r="K50" s="12">
        <v>0.35</v>
      </c>
      <c r="L50" s="12">
        <v>0.35</v>
      </c>
      <c r="M50"/>
      <c r="N50"/>
      <c r="O50"/>
      <c r="P50"/>
      <c r="Q50"/>
      <c r="R50"/>
      <c r="AE50" s="12">
        <v>0.35</v>
      </c>
    </row>
    <row r="51" spans="2:31" ht="18" customHeight="1" x14ac:dyDescent="0.25">
      <c r="C51" s="56"/>
      <c r="D51"/>
      <c r="E51"/>
      <c r="F51"/>
      <c r="G51"/>
      <c r="H51"/>
      <c r="I51"/>
      <c r="J51" s="2"/>
      <c r="K51"/>
      <c r="L51"/>
      <c r="M51"/>
      <c r="N51"/>
      <c r="O51"/>
      <c r="P51"/>
      <c r="Q51"/>
      <c r="R51"/>
    </row>
    <row r="52" spans="2:31" ht="18" customHeight="1" x14ac:dyDescent="0.25">
      <c r="C52" s="56"/>
      <c r="D52"/>
      <c r="E52"/>
      <c r="F52"/>
      <c r="G52"/>
      <c r="H52"/>
      <c r="I52"/>
      <c r="J52" s="2"/>
      <c r="K52"/>
      <c r="L52"/>
      <c r="M52"/>
      <c r="N52"/>
      <c r="O52"/>
      <c r="P52"/>
      <c r="Q52"/>
      <c r="R52"/>
    </row>
    <row r="53" spans="2:31" ht="18" customHeight="1" x14ac:dyDescent="0.3">
      <c r="B53" s="3" t="s">
        <v>0</v>
      </c>
      <c r="C53" s="57" t="s">
        <v>30</v>
      </c>
      <c r="D53" s="20" t="s">
        <v>31</v>
      </c>
      <c r="E53"/>
      <c r="F53"/>
      <c r="G53"/>
      <c r="H53"/>
      <c r="I53"/>
      <c r="J53" s="2"/>
      <c r="K53"/>
      <c r="L53"/>
      <c r="M53"/>
      <c r="N53"/>
      <c r="O53"/>
      <c r="P53"/>
      <c r="Q53"/>
      <c r="R53"/>
    </row>
    <row r="54" spans="2:31" ht="18" customHeight="1" x14ac:dyDescent="0.25">
      <c r="B54" s="8" t="s">
        <v>3</v>
      </c>
      <c r="C54" s="57">
        <v>3</v>
      </c>
      <c r="D54"/>
      <c r="E54"/>
      <c r="F54"/>
      <c r="G54"/>
      <c r="H54"/>
      <c r="I54"/>
      <c r="J54" s="2"/>
      <c r="K54"/>
      <c r="L54"/>
      <c r="M54"/>
      <c r="N54"/>
      <c r="O54"/>
      <c r="P54"/>
      <c r="Q54"/>
      <c r="R54"/>
    </row>
    <row r="55" spans="2:31" ht="18" customHeight="1" x14ac:dyDescent="0.25">
      <c r="B55" s="8" t="s">
        <v>4</v>
      </c>
      <c r="C55" s="57" t="s">
        <v>26</v>
      </c>
      <c r="D55"/>
      <c r="E55"/>
      <c r="F55"/>
      <c r="G55"/>
      <c r="H55"/>
      <c r="I55"/>
      <c r="J55" s="2"/>
      <c r="K55"/>
      <c r="L55"/>
      <c r="M55"/>
      <c r="N55"/>
      <c r="O55"/>
      <c r="P55"/>
      <c r="Q55"/>
      <c r="R55"/>
    </row>
    <row r="56" spans="2:31" ht="18" customHeight="1" x14ac:dyDescent="0.25">
      <c r="B56" s="8" t="s">
        <v>6</v>
      </c>
      <c r="C56" s="61">
        <v>39365</v>
      </c>
      <c r="D56"/>
      <c r="E56"/>
      <c r="F56"/>
      <c r="G56"/>
      <c r="H56"/>
      <c r="I56"/>
      <c r="J56" s="2"/>
      <c r="K56"/>
      <c r="L56"/>
      <c r="M56"/>
      <c r="N56"/>
      <c r="O56"/>
      <c r="P56"/>
      <c r="Q56"/>
      <c r="R56"/>
    </row>
    <row r="57" spans="2:31" ht="18" customHeight="1" x14ac:dyDescent="0.25">
      <c r="B57" s="8" t="s">
        <v>8</v>
      </c>
      <c r="C57" s="59">
        <v>41310</v>
      </c>
      <c r="D57"/>
      <c r="E57"/>
      <c r="F57"/>
      <c r="G57"/>
      <c r="H57"/>
      <c r="I57"/>
      <c r="J57" s="2"/>
      <c r="K57"/>
      <c r="L57"/>
      <c r="M57"/>
      <c r="N57"/>
      <c r="O57"/>
      <c r="P57"/>
      <c r="Q57"/>
      <c r="R57"/>
    </row>
    <row r="58" spans="2:31" ht="28" customHeight="1" x14ac:dyDescent="0.3">
      <c r="B58" s="11" t="s">
        <v>9</v>
      </c>
      <c r="C58" s="59">
        <v>40085</v>
      </c>
      <c r="D58" s="10">
        <v>40274</v>
      </c>
      <c r="E58" s="10">
        <v>40715</v>
      </c>
      <c r="F58" s="10">
        <v>40940</v>
      </c>
      <c r="G58" s="10">
        <v>41107</v>
      </c>
      <c r="H58" s="10">
        <v>41310</v>
      </c>
      <c r="I58"/>
      <c r="J58" s="2"/>
      <c r="K58"/>
      <c r="L58"/>
      <c r="M58"/>
      <c r="N58"/>
      <c r="O58"/>
      <c r="P58"/>
      <c r="Q58"/>
      <c r="R58"/>
      <c r="AE58" s="10">
        <v>41310</v>
      </c>
    </row>
    <row r="59" spans="2:31" ht="29.9" customHeight="1" x14ac:dyDescent="0.3">
      <c r="B59" s="11" t="s">
        <v>29</v>
      </c>
      <c r="C59" s="63">
        <f t="shared" ref="C59:H59" si="3">C58-$C57</f>
        <v>-1225</v>
      </c>
      <c r="D59" s="18">
        <f t="shared" si="3"/>
        <v>-1036</v>
      </c>
      <c r="E59" s="18">
        <f t="shared" si="3"/>
        <v>-595</v>
      </c>
      <c r="F59" s="18">
        <f t="shared" si="3"/>
        <v>-370</v>
      </c>
      <c r="G59" s="18">
        <f t="shared" si="3"/>
        <v>-203</v>
      </c>
      <c r="H59" s="18">
        <f t="shared" si="3"/>
        <v>0</v>
      </c>
      <c r="I59"/>
      <c r="J59" s="2"/>
      <c r="K59"/>
      <c r="L59"/>
      <c r="M59"/>
      <c r="N59"/>
      <c r="O59"/>
      <c r="P59"/>
      <c r="Q59"/>
      <c r="R59"/>
      <c r="AE59" s="18">
        <v>0</v>
      </c>
    </row>
    <row r="60" spans="2:31" ht="27" customHeight="1" x14ac:dyDescent="0.3">
      <c r="B60" s="11" t="s">
        <v>10</v>
      </c>
      <c r="C60" s="63">
        <f t="shared" ref="C60:H60" si="4">C58-$C56</f>
        <v>720</v>
      </c>
      <c r="D60" s="18">
        <f t="shared" si="4"/>
        <v>909</v>
      </c>
      <c r="E60" s="18">
        <f t="shared" si="4"/>
        <v>1350</v>
      </c>
      <c r="F60" s="18">
        <f t="shared" si="4"/>
        <v>1575</v>
      </c>
      <c r="G60" s="18">
        <f t="shared" si="4"/>
        <v>1742</v>
      </c>
      <c r="H60" s="18">
        <f t="shared" si="4"/>
        <v>1945</v>
      </c>
      <c r="I60"/>
      <c r="J60" s="2"/>
      <c r="K60"/>
      <c r="L60"/>
      <c r="M60"/>
      <c r="N60"/>
      <c r="O60"/>
      <c r="P60"/>
      <c r="Q60"/>
      <c r="R60"/>
      <c r="AE60" s="18">
        <v>1945</v>
      </c>
    </row>
    <row r="61" spans="2:31" ht="18" customHeight="1" x14ac:dyDescent="0.3">
      <c r="B61" s="3" t="s">
        <v>11</v>
      </c>
      <c r="C61" s="60">
        <v>6.29</v>
      </c>
      <c r="D61" s="12">
        <v>6.12</v>
      </c>
      <c r="E61" s="12">
        <v>5.37</v>
      </c>
      <c r="F61" s="12">
        <v>5.2</v>
      </c>
      <c r="G61" s="12">
        <v>5.15</v>
      </c>
      <c r="H61" s="12">
        <v>5.14</v>
      </c>
      <c r="I61"/>
      <c r="J61" s="2"/>
      <c r="K61"/>
      <c r="L61"/>
      <c r="M61"/>
      <c r="N61"/>
      <c r="O61"/>
      <c r="P61"/>
      <c r="Q61"/>
      <c r="R61"/>
      <c r="AE61" s="12">
        <v>5.14</v>
      </c>
    </row>
    <row r="62" spans="2:31" ht="18" customHeight="1" x14ac:dyDescent="0.3">
      <c r="B62" s="3" t="s">
        <v>12</v>
      </c>
      <c r="C62" s="60">
        <v>2</v>
      </c>
      <c r="D62" s="12">
        <v>2</v>
      </c>
      <c r="E62" s="12">
        <v>4</v>
      </c>
      <c r="F62" s="12">
        <v>20</v>
      </c>
      <c r="G62" s="12">
        <v>14</v>
      </c>
      <c r="H62" s="12">
        <v>7</v>
      </c>
      <c r="I62"/>
      <c r="J62" s="2"/>
      <c r="K62"/>
      <c r="L62"/>
      <c r="M62"/>
      <c r="N62"/>
      <c r="O62"/>
      <c r="P62"/>
      <c r="Q62"/>
      <c r="R62"/>
      <c r="AE62" s="12">
        <v>7</v>
      </c>
    </row>
    <row r="63" spans="2:31" ht="18" customHeight="1" x14ac:dyDescent="0.3">
      <c r="B63" s="3" t="s">
        <v>13</v>
      </c>
      <c r="C63" s="60">
        <v>97</v>
      </c>
      <c r="D63" s="12">
        <v>99</v>
      </c>
      <c r="E63" s="12">
        <v>97</v>
      </c>
      <c r="F63" s="12">
        <v>93</v>
      </c>
      <c r="G63" s="12">
        <v>79</v>
      </c>
      <c r="H63" s="12">
        <v>98</v>
      </c>
      <c r="I63"/>
      <c r="J63" s="2"/>
      <c r="K63"/>
      <c r="L63"/>
      <c r="M63"/>
      <c r="N63"/>
      <c r="O63"/>
      <c r="P63"/>
      <c r="Q63"/>
      <c r="R63"/>
      <c r="AE63" s="12">
        <v>98</v>
      </c>
    </row>
    <row r="64" spans="2:31" ht="18" customHeight="1" x14ac:dyDescent="0.3">
      <c r="B64" s="3" t="s">
        <v>14</v>
      </c>
      <c r="C64" s="60">
        <v>97</v>
      </c>
      <c r="D64" s="12">
        <v>99</v>
      </c>
      <c r="E64" s="12">
        <v>97</v>
      </c>
      <c r="F64" s="12">
        <v>93</v>
      </c>
      <c r="G64" s="12">
        <v>79</v>
      </c>
      <c r="H64" s="12">
        <v>98</v>
      </c>
      <c r="I64"/>
      <c r="J64" s="2"/>
      <c r="K64"/>
      <c r="L64"/>
      <c r="M64"/>
      <c r="N64"/>
      <c r="O64"/>
      <c r="P64"/>
      <c r="Q64"/>
      <c r="R64"/>
      <c r="AE64" s="12">
        <v>98</v>
      </c>
    </row>
    <row r="65" spans="2:31" ht="18" customHeight="1" x14ac:dyDescent="0.25">
      <c r="B65" s="8"/>
      <c r="C65" s="60"/>
      <c r="D65" s="12"/>
      <c r="E65" s="12"/>
      <c r="F65" s="12"/>
      <c r="G65" s="12"/>
      <c r="H65" s="12"/>
      <c r="I65"/>
      <c r="J65" s="2"/>
      <c r="K65"/>
      <c r="L65"/>
      <c r="M65"/>
      <c r="N65"/>
      <c r="O65"/>
      <c r="P65"/>
      <c r="Q65"/>
      <c r="R65"/>
      <c r="AE65" s="12"/>
    </row>
    <row r="66" spans="2:31" ht="18" customHeight="1" x14ac:dyDescent="0.3">
      <c r="B66" s="11" t="s">
        <v>15</v>
      </c>
      <c r="C66" s="60"/>
      <c r="D66" s="12"/>
      <c r="E66" s="12"/>
      <c r="F66" s="12"/>
      <c r="G66" s="12"/>
      <c r="H66" s="12"/>
      <c r="I66"/>
      <c r="J66" s="2"/>
      <c r="K66"/>
      <c r="L66"/>
      <c r="M66"/>
      <c r="N66"/>
      <c r="O66"/>
      <c r="P66"/>
      <c r="Q66"/>
      <c r="R66"/>
      <c r="AE66" s="12"/>
    </row>
    <row r="67" spans="2:31" ht="18" customHeight="1" x14ac:dyDescent="0.3">
      <c r="B67" s="3" t="s">
        <v>17</v>
      </c>
      <c r="C67" s="60">
        <v>60</v>
      </c>
      <c r="D67" s="12">
        <v>60</v>
      </c>
      <c r="E67" s="12">
        <v>60</v>
      </c>
      <c r="F67" s="12">
        <v>60</v>
      </c>
      <c r="G67" s="12">
        <v>60</v>
      </c>
      <c r="H67" s="12">
        <v>60</v>
      </c>
      <c r="I67"/>
      <c r="J67" s="2"/>
      <c r="K67"/>
      <c r="L67"/>
      <c r="M67"/>
      <c r="N67"/>
      <c r="O67"/>
      <c r="P67"/>
      <c r="Q67"/>
      <c r="R67"/>
      <c r="AE67" s="12">
        <v>60</v>
      </c>
    </row>
    <row r="68" spans="2:31" ht="18" customHeight="1" x14ac:dyDescent="0.3">
      <c r="B68" s="3" t="s">
        <v>18</v>
      </c>
      <c r="C68" s="60">
        <v>120</v>
      </c>
      <c r="D68" s="12">
        <v>120</v>
      </c>
      <c r="E68" s="12">
        <v>120</v>
      </c>
      <c r="F68" s="12">
        <v>120</v>
      </c>
      <c r="G68" s="12">
        <v>120</v>
      </c>
      <c r="H68" s="12">
        <v>120</v>
      </c>
      <c r="I68"/>
      <c r="J68" s="2"/>
      <c r="K68"/>
      <c r="L68"/>
      <c r="M68"/>
      <c r="N68"/>
      <c r="O68"/>
      <c r="P68"/>
      <c r="Q68"/>
      <c r="R68"/>
      <c r="AE68" s="12">
        <v>120</v>
      </c>
    </row>
    <row r="69" spans="2:31" ht="18" customHeight="1" x14ac:dyDescent="0.25">
      <c r="C69" s="60"/>
      <c r="D69" s="12"/>
      <c r="E69" s="12"/>
      <c r="F69" s="12"/>
      <c r="G69" s="12"/>
      <c r="H69" s="12"/>
      <c r="I69"/>
      <c r="J69" s="2"/>
      <c r="K69"/>
      <c r="L69"/>
      <c r="M69"/>
      <c r="N69"/>
      <c r="O69"/>
      <c r="P69"/>
      <c r="Q69"/>
      <c r="R69"/>
      <c r="AE69" s="12"/>
    </row>
    <row r="70" spans="2:31" ht="18" customHeight="1" x14ac:dyDescent="0.3">
      <c r="B70" s="3" t="s">
        <v>19</v>
      </c>
      <c r="C70" s="60">
        <v>2.5</v>
      </c>
      <c r="D70" s="12">
        <v>2.5</v>
      </c>
      <c r="E70" s="12">
        <v>2.5</v>
      </c>
      <c r="F70" s="12">
        <v>2.5</v>
      </c>
      <c r="G70" s="12">
        <v>2.5</v>
      </c>
      <c r="H70" s="12">
        <v>2.5</v>
      </c>
      <c r="I70"/>
      <c r="J70" s="2"/>
      <c r="K70"/>
      <c r="L70"/>
      <c r="M70"/>
      <c r="N70"/>
      <c r="O70"/>
      <c r="P70"/>
      <c r="Q70"/>
      <c r="R70"/>
      <c r="AE70" s="12">
        <v>2.5</v>
      </c>
    </row>
    <row r="71" spans="2:31" ht="18" customHeight="1" x14ac:dyDescent="0.3">
      <c r="B71" s="3" t="s">
        <v>20</v>
      </c>
      <c r="C71" s="60">
        <v>0.35</v>
      </c>
      <c r="D71" s="12">
        <v>0.35</v>
      </c>
      <c r="E71" s="12">
        <v>0.35</v>
      </c>
      <c r="F71" s="12">
        <v>0.35</v>
      </c>
      <c r="G71" s="12">
        <v>0.35</v>
      </c>
      <c r="H71" s="12">
        <v>0.35</v>
      </c>
      <c r="I71"/>
      <c r="J71" s="2"/>
      <c r="K71"/>
      <c r="L71"/>
      <c r="M71"/>
      <c r="N71"/>
      <c r="O71"/>
      <c r="P71"/>
      <c r="Q71"/>
      <c r="R71"/>
      <c r="AE71" s="12">
        <v>0.35</v>
      </c>
    </row>
    <row r="72" spans="2:31" ht="18" customHeight="1" x14ac:dyDescent="0.3">
      <c r="B72" s="3" t="s">
        <v>21</v>
      </c>
      <c r="C72" s="60">
        <v>2.5</v>
      </c>
      <c r="D72" s="12">
        <v>2.5</v>
      </c>
      <c r="E72" s="12">
        <v>2.5</v>
      </c>
      <c r="F72" s="12">
        <v>2.5</v>
      </c>
      <c r="G72" s="12">
        <v>2.5</v>
      </c>
      <c r="H72" s="12">
        <v>2.5</v>
      </c>
      <c r="I72"/>
      <c r="J72" s="2"/>
      <c r="K72"/>
      <c r="L72"/>
      <c r="M72"/>
      <c r="N72"/>
      <c r="O72"/>
      <c r="P72"/>
      <c r="Q72"/>
      <c r="R72"/>
      <c r="AE72" s="12">
        <v>2.5</v>
      </c>
    </row>
    <row r="73" spans="2:31" ht="18" customHeight="1" x14ac:dyDescent="0.3">
      <c r="B73" s="3" t="s">
        <v>22</v>
      </c>
      <c r="C73" s="60">
        <v>0.35</v>
      </c>
      <c r="D73" s="12">
        <v>0.35</v>
      </c>
      <c r="E73" s="12">
        <v>0.35</v>
      </c>
      <c r="F73" s="12">
        <v>0.35</v>
      </c>
      <c r="G73" s="12">
        <v>0.35</v>
      </c>
      <c r="H73" s="12">
        <v>0.35</v>
      </c>
      <c r="I73"/>
      <c r="J73" s="2"/>
      <c r="K73"/>
      <c r="L73"/>
      <c r="M73"/>
      <c r="N73"/>
      <c r="O73"/>
      <c r="P73"/>
      <c r="Q73"/>
      <c r="R73"/>
      <c r="AE73" s="12">
        <v>0.35</v>
      </c>
    </row>
    <row r="74" spans="2:31" ht="18" customHeight="1" x14ac:dyDescent="0.3">
      <c r="B74" s="3" t="s">
        <v>23</v>
      </c>
      <c r="C74" s="60">
        <v>2</v>
      </c>
      <c r="D74" s="12">
        <v>2</v>
      </c>
      <c r="E74" s="12">
        <v>2</v>
      </c>
      <c r="F74" s="12">
        <v>2</v>
      </c>
      <c r="G74" s="12">
        <v>2</v>
      </c>
      <c r="H74" s="12">
        <v>2</v>
      </c>
      <c r="I74"/>
      <c r="J74" s="2"/>
      <c r="K74"/>
      <c r="L74"/>
      <c r="M74"/>
      <c r="N74"/>
      <c r="O74"/>
      <c r="P74"/>
      <c r="Q74"/>
      <c r="R74"/>
      <c r="AE74" s="12">
        <v>2</v>
      </c>
    </row>
    <row r="75" spans="2:31" ht="18" customHeight="1" x14ac:dyDescent="0.3">
      <c r="B75" s="3" t="s">
        <v>24</v>
      </c>
      <c r="C75" s="60">
        <v>0.35</v>
      </c>
      <c r="D75" s="12">
        <v>0.35</v>
      </c>
      <c r="E75" s="12">
        <v>0.35</v>
      </c>
      <c r="F75" s="12">
        <v>0.35</v>
      </c>
      <c r="G75" s="12">
        <v>0.35</v>
      </c>
      <c r="H75" s="12">
        <v>0.35</v>
      </c>
      <c r="I75"/>
      <c r="J75" s="2"/>
      <c r="K75"/>
      <c r="L75"/>
      <c r="M75"/>
      <c r="N75"/>
      <c r="O75"/>
      <c r="P75"/>
      <c r="Q75"/>
      <c r="R75"/>
      <c r="AE75" s="12">
        <v>0.35</v>
      </c>
    </row>
    <row r="76" spans="2:31" ht="18" customHeight="1" x14ac:dyDescent="0.25">
      <c r="C76" s="56"/>
      <c r="D76"/>
      <c r="E76"/>
      <c r="F76"/>
      <c r="G76"/>
      <c r="H76"/>
      <c r="I76"/>
      <c r="J76" s="2"/>
      <c r="K76"/>
      <c r="L76"/>
      <c r="M76"/>
      <c r="N76"/>
      <c r="O76"/>
      <c r="P76"/>
      <c r="Q76"/>
      <c r="R76"/>
    </row>
    <row r="77" spans="2:31" ht="18" customHeight="1" x14ac:dyDescent="0.3">
      <c r="B77" s="3" t="s">
        <v>0</v>
      </c>
      <c r="C77" s="60" t="s">
        <v>32</v>
      </c>
      <c r="D77"/>
      <c r="E77"/>
      <c r="F77"/>
      <c r="G77"/>
      <c r="H77"/>
      <c r="I77"/>
      <c r="J77" s="2"/>
      <c r="K77"/>
      <c r="L77"/>
      <c r="M77"/>
      <c r="N77"/>
      <c r="O77"/>
      <c r="P77"/>
      <c r="Q77"/>
      <c r="R77"/>
    </row>
    <row r="78" spans="2:31" ht="18" customHeight="1" x14ac:dyDescent="0.25">
      <c r="B78" s="8" t="s">
        <v>3</v>
      </c>
      <c r="C78" s="60">
        <v>3</v>
      </c>
      <c r="D78"/>
      <c r="E78"/>
      <c r="F78"/>
      <c r="G78"/>
      <c r="H78"/>
      <c r="I78"/>
      <c r="J78" s="2"/>
      <c r="K78"/>
      <c r="L78"/>
      <c r="M78"/>
      <c r="N78"/>
      <c r="O78"/>
      <c r="P78"/>
      <c r="Q78"/>
      <c r="R78"/>
    </row>
    <row r="79" spans="2:31" ht="18" customHeight="1" x14ac:dyDescent="0.25">
      <c r="B79" s="8" t="s">
        <v>4</v>
      </c>
      <c r="C79" s="60" t="s">
        <v>26</v>
      </c>
      <c r="D79"/>
      <c r="E79"/>
      <c r="F79"/>
      <c r="G79"/>
      <c r="H79"/>
      <c r="I79"/>
      <c r="J79" s="2"/>
      <c r="K79"/>
      <c r="L79"/>
      <c r="M79"/>
      <c r="N79"/>
      <c r="O79"/>
      <c r="P79"/>
      <c r="Q79"/>
      <c r="R79"/>
    </row>
    <row r="80" spans="2:31" ht="18" customHeight="1" x14ac:dyDescent="0.25">
      <c r="B80" s="8" t="s">
        <v>6</v>
      </c>
      <c r="C80" s="59">
        <v>39511</v>
      </c>
      <c r="D80"/>
      <c r="E80"/>
      <c r="F80"/>
      <c r="G80"/>
      <c r="H80"/>
      <c r="I80"/>
      <c r="J80" s="2"/>
      <c r="K80"/>
      <c r="L80"/>
      <c r="M80"/>
      <c r="N80"/>
      <c r="O80"/>
      <c r="P80"/>
      <c r="Q80"/>
      <c r="R80"/>
    </row>
    <row r="81" spans="2:31" ht="18" customHeight="1" x14ac:dyDescent="0.3">
      <c r="B81" s="11" t="s">
        <v>9</v>
      </c>
      <c r="C81" s="59">
        <v>40239</v>
      </c>
      <c r="D81" s="10">
        <v>40696</v>
      </c>
      <c r="E81" s="10">
        <v>40813</v>
      </c>
      <c r="F81" s="10">
        <v>41121</v>
      </c>
      <c r="G81" s="10">
        <v>41212</v>
      </c>
      <c r="H81" s="10">
        <v>41324</v>
      </c>
      <c r="I81" s="10">
        <v>41450</v>
      </c>
      <c r="J81" s="22">
        <v>41528</v>
      </c>
      <c r="K81" s="10">
        <v>41695</v>
      </c>
      <c r="L81" s="10">
        <v>41905</v>
      </c>
      <c r="M81" s="10">
        <v>41985</v>
      </c>
      <c r="N81"/>
      <c r="O81"/>
      <c r="P81"/>
      <c r="Q81"/>
      <c r="R81"/>
      <c r="AE81" s="10">
        <v>41324</v>
      </c>
    </row>
    <row r="82" spans="2:31" ht="18" customHeight="1" x14ac:dyDescent="0.3">
      <c r="B82" s="11" t="s">
        <v>8</v>
      </c>
      <c r="C82" s="60"/>
      <c r="D82" s="12"/>
      <c r="E82" s="12"/>
      <c r="F82" s="12"/>
      <c r="G82" s="12"/>
      <c r="H82" s="12"/>
      <c r="I82" s="12"/>
      <c r="J82" s="19"/>
      <c r="K82" s="12"/>
      <c r="L82" s="12"/>
      <c r="M82" s="12"/>
      <c r="N82"/>
      <c r="O82"/>
      <c r="P82"/>
      <c r="Q82"/>
      <c r="R82"/>
      <c r="AE82" s="12"/>
    </row>
    <row r="83" spans="2:31" ht="18" customHeight="1" x14ac:dyDescent="0.3">
      <c r="B83" s="3" t="s">
        <v>11</v>
      </c>
      <c r="C83" s="60">
        <v>6.36</v>
      </c>
      <c r="D83" s="12">
        <v>5.83</v>
      </c>
      <c r="E83" s="12">
        <v>5.75</v>
      </c>
      <c r="F83" s="12">
        <v>5.25</v>
      </c>
      <c r="G83" s="12">
        <v>5.2</v>
      </c>
      <c r="H83" s="12">
        <v>5.17</v>
      </c>
      <c r="I83" s="12">
        <v>5.15</v>
      </c>
      <c r="J83" s="19">
        <v>5.15</v>
      </c>
      <c r="K83" s="12">
        <v>5.14</v>
      </c>
      <c r="L83" s="12">
        <v>5.0999999999999996</v>
      </c>
      <c r="M83" s="12">
        <v>5.04</v>
      </c>
      <c r="N83"/>
      <c r="O83"/>
      <c r="P83"/>
      <c r="Q83"/>
      <c r="R83"/>
      <c r="AE83" s="12">
        <v>5.17</v>
      </c>
    </row>
    <row r="84" spans="2:31" ht="18" customHeight="1" x14ac:dyDescent="0.3">
      <c r="B84" s="3" t="s">
        <v>12</v>
      </c>
      <c r="C84" s="60">
        <v>2</v>
      </c>
      <c r="D84" s="12">
        <v>4</v>
      </c>
      <c r="E84" s="12">
        <v>14</v>
      </c>
      <c r="F84" s="12">
        <v>6</v>
      </c>
      <c r="G84" s="12">
        <v>6</v>
      </c>
      <c r="H84" s="12">
        <v>2</v>
      </c>
      <c r="I84" s="12">
        <v>2</v>
      </c>
      <c r="J84" s="19">
        <v>3</v>
      </c>
      <c r="K84" s="12">
        <v>2</v>
      </c>
      <c r="L84" s="12">
        <v>3</v>
      </c>
      <c r="M84" s="12">
        <v>1</v>
      </c>
      <c r="N84"/>
      <c r="O84"/>
      <c r="P84"/>
      <c r="Q84"/>
      <c r="R84"/>
      <c r="AE84" s="12">
        <v>2</v>
      </c>
    </row>
    <row r="85" spans="2:31" ht="18" customHeight="1" x14ac:dyDescent="0.3">
      <c r="B85" s="3" t="s">
        <v>13</v>
      </c>
      <c r="C85" s="60">
        <v>99</v>
      </c>
      <c r="D85" s="12">
        <v>99</v>
      </c>
      <c r="E85" s="12">
        <v>98</v>
      </c>
      <c r="F85" s="12">
        <v>98</v>
      </c>
      <c r="G85" s="12">
        <v>98</v>
      </c>
      <c r="H85" s="12">
        <v>99</v>
      </c>
      <c r="I85" s="12">
        <v>99</v>
      </c>
      <c r="J85" s="19">
        <v>100</v>
      </c>
      <c r="K85" s="12">
        <v>99</v>
      </c>
      <c r="L85" s="12">
        <v>99</v>
      </c>
      <c r="M85" s="12">
        <v>99</v>
      </c>
      <c r="N85"/>
      <c r="O85"/>
      <c r="P85"/>
      <c r="Q85"/>
      <c r="R85"/>
      <c r="AE85" s="12">
        <v>99</v>
      </c>
    </row>
    <row r="86" spans="2:31" ht="18" customHeight="1" x14ac:dyDescent="0.3">
      <c r="B86" s="3" t="s">
        <v>14</v>
      </c>
      <c r="C86" s="60">
        <v>99</v>
      </c>
      <c r="D86" s="12">
        <v>99</v>
      </c>
      <c r="E86" s="12">
        <v>98</v>
      </c>
      <c r="F86" s="12">
        <v>98</v>
      </c>
      <c r="G86" s="12">
        <v>98</v>
      </c>
      <c r="H86" s="12">
        <v>99</v>
      </c>
      <c r="I86" s="12">
        <v>99</v>
      </c>
      <c r="J86" s="19">
        <v>100</v>
      </c>
      <c r="K86" s="12">
        <v>99</v>
      </c>
      <c r="L86" s="12">
        <v>99</v>
      </c>
      <c r="M86" s="12">
        <v>99</v>
      </c>
      <c r="N86"/>
      <c r="O86"/>
      <c r="P86"/>
      <c r="Q86"/>
      <c r="R86"/>
      <c r="AE86" s="12">
        <v>99</v>
      </c>
    </row>
    <row r="87" spans="2:31" ht="18" customHeight="1" x14ac:dyDescent="0.25">
      <c r="B87" s="8"/>
      <c r="C87" s="60"/>
      <c r="D87" s="12"/>
      <c r="E87" s="12"/>
      <c r="F87" s="12"/>
      <c r="G87" s="12"/>
      <c r="H87" s="12"/>
      <c r="I87" s="12"/>
      <c r="J87" s="19"/>
      <c r="K87" s="12"/>
      <c r="L87" s="12"/>
      <c r="M87" s="12"/>
      <c r="N87"/>
      <c r="O87"/>
      <c r="P87"/>
      <c r="Q87"/>
      <c r="R87"/>
      <c r="AE87" s="12"/>
    </row>
    <row r="88" spans="2:31" ht="18" customHeight="1" x14ac:dyDescent="0.3">
      <c r="B88" s="11" t="s">
        <v>15</v>
      </c>
      <c r="C88" s="60"/>
      <c r="D88" s="12"/>
      <c r="E88" s="12"/>
      <c r="F88" s="12"/>
      <c r="G88" s="12"/>
      <c r="H88" s="12"/>
      <c r="I88" s="12"/>
      <c r="J88" s="19"/>
      <c r="K88" s="12"/>
      <c r="L88" s="12"/>
      <c r="M88" s="12"/>
      <c r="N88"/>
      <c r="O88"/>
      <c r="P88"/>
      <c r="Q88"/>
      <c r="R88"/>
      <c r="AE88" s="12"/>
    </row>
    <row r="89" spans="2:31" ht="18" customHeight="1" x14ac:dyDescent="0.3">
      <c r="B89" s="3" t="s">
        <v>17</v>
      </c>
      <c r="C89" s="60">
        <v>60</v>
      </c>
      <c r="D89" s="12">
        <v>60</v>
      </c>
      <c r="E89" s="12">
        <v>60</v>
      </c>
      <c r="F89" s="12">
        <v>60</v>
      </c>
      <c r="G89" s="12">
        <v>60</v>
      </c>
      <c r="H89" s="12">
        <v>60</v>
      </c>
      <c r="I89" s="12">
        <v>60</v>
      </c>
      <c r="J89" s="19">
        <v>60</v>
      </c>
      <c r="K89" s="12">
        <v>60</v>
      </c>
      <c r="L89" s="12">
        <v>60</v>
      </c>
      <c r="M89" s="12">
        <v>60</v>
      </c>
      <c r="N89"/>
      <c r="O89"/>
      <c r="P89"/>
      <c r="Q89"/>
      <c r="R89"/>
      <c r="AE89" s="12">
        <v>60</v>
      </c>
    </row>
    <row r="90" spans="2:31" ht="18" customHeight="1" x14ac:dyDescent="0.3">
      <c r="B90" s="3" t="s">
        <v>18</v>
      </c>
      <c r="C90" s="60">
        <v>120</v>
      </c>
      <c r="D90" s="12">
        <v>120</v>
      </c>
      <c r="E90" s="12">
        <v>120</v>
      </c>
      <c r="F90" s="12">
        <v>120</v>
      </c>
      <c r="G90" s="12">
        <v>120</v>
      </c>
      <c r="H90" s="12">
        <v>120</v>
      </c>
      <c r="I90" s="12">
        <v>120</v>
      </c>
      <c r="J90" s="19">
        <v>120</v>
      </c>
      <c r="K90" s="12">
        <v>120</v>
      </c>
      <c r="L90" s="12">
        <v>120</v>
      </c>
      <c r="M90" s="12">
        <v>120</v>
      </c>
      <c r="N90"/>
      <c r="O90"/>
      <c r="P90"/>
      <c r="Q90"/>
      <c r="R90"/>
      <c r="AE90" s="12">
        <v>120</v>
      </c>
    </row>
    <row r="91" spans="2:31" ht="18" customHeight="1" x14ac:dyDescent="0.25">
      <c r="C91" s="60"/>
      <c r="D91" s="12"/>
      <c r="E91" s="12"/>
      <c r="F91" s="12"/>
      <c r="G91" s="12"/>
      <c r="H91" s="12"/>
      <c r="I91" s="12"/>
      <c r="J91" s="19"/>
      <c r="K91" s="12"/>
      <c r="L91" s="12"/>
      <c r="M91" s="12"/>
      <c r="N91"/>
      <c r="O91"/>
      <c r="P91"/>
      <c r="Q91"/>
      <c r="R91"/>
      <c r="AE91" s="12"/>
    </row>
    <row r="92" spans="2:31" ht="18" customHeight="1" x14ac:dyDescent="0.3">
      <c r="B92" s="3" t="s">
        <v>19</v>
      </c>
      <c r="C92" s="60">
        <v>2</v>
      </c>
      <c r="D92" s="12">
        <v>2</v>
      </c>
      <c r="E92" s="12">
        <v>2</v>
      </c>
      <c r="F92" s="12">
        <v>2</v>
      </c>
      <c r="G92" s="12">
        <v>2</v>
      </c>
      <c r="H92" s="12">
        <v>2</v>
      </c>
      <c r="I92" s="12">
        <v>2</v>
      </c>
      <c r="J92" s="19">
        <v>2</v>
      </c>
      <c r="K92" s="12">
        <v>2</v>
      </c>
      <c r="L92" s="12">
        <v>2</v>
      </c>
      <c r="M92" s="12">
        <v>2</v>
      </c>
      <c r="N92"/>
      <c r="O92"/>
      <c r="P92"/>
      <c r="Q92"/>
      <c r="R92"/>
      <c r="AE92" s="12">
        <v>2</v>
      </c>
    </row>
    <row r="93" spans="2:31" ht="18" customHeight="1" x14ac:dyDescent="0.3">
      <c r="B93" s="3" t="s">
        <v>20</v>
      </c>
      <c r="C93" s="60">
        <v>0.35</v>
      </c>
      <c r="D93" s="12">
        <v>0.35</v>
      </c>
      <c r="E93" s="12">
        <v>0.35</v>
      </c>
      <c r="F93" s="12">
        <v>0.35</v>
      </c>
      <c r="G93" s="12">
        <v>0.35</v>
      </c>
      <c r="H93" s="12">
        <v>0.35</v>
      </c>
      <c r="I93" s="12">
        <v>0.35</v>
      </c>
      <c r="J93" s="19">
        <v>0.35</v>
      </c>
      <c r="K93" s="12">
        <v>0.35</v>
      </c>
      <c r="L93" s="12">
        <v>0.35</v>
      </c>
      <c r="M93" s="12">
        <v>0.35</v>
      </c>
      <c r="N93"/>
      <c r="O93"/>
      <c r="P93"/>
      <c r="Q93"/>
      <c r="R93"/>
      <c r="AE93" s="12">
        <v>0.35</v>
      </c>
    </row>
    <row r="94" spans="2:31" ht="18" customHeight="1" x14ac:dyDescent="0.3">
      <c r="B94" s="3" t="s">
        <v>21</v>
      </c>
      <c r="C94" s="60">
        <v>2</v>
      </c>
      <c r="D94" s="12">
        <v>2</v>
      </c>
      <c r="E94" s="12">
        <v>2</v>
      </c>
      <c r="F94" s="12">
        <v>2</v>
      </c>
      <c r="G94" s="12">
        <v>2</v>
      </c>
      <c r="H94" s="12">
        <v>2</v>
      </c>
      <c r="I94" s="12">
        <v>2</v>
      </c>
      <c r="J94" s="19">
        <v>2</v>
      </c>
      <c r="K94" s="12">
        <v>2</v>
      </c>
      <c r="L94" s="12">
        <v>2</v>
      </c>
      <c r="M94" s="12">
        <v>2</v>
      </c>
      <c r="N94"/>
      <c r="O94"/>
      <c r="P94"/>
      <c r="Q94"/>
      <c r="R94"/>
      <c r="AE94" s="12">
        <v>2</v>
      </c>
    </row>
    <row r="95" spans="2:31" ht="18" customHeight="1" x14ac:dyDescent="0.3">
      <c r="B95" s="3" t="s">
        <v>22</v>
      </c>
      <c r="C95" s="60">
        <v>0.35</v>
      </c>
      <c r="D95" s="12">
        <v>0.35</v>
      </c>
      <c r="E95" s="12">
        <v>0.35</v>
      </c>
      <c r="F95" s="12">
        <v>0.35</v>
      </c>
      <c r="G95" s="12">
        <v>0.35</v>
      </c>
      <c r="H95" s="12">
        <v>0.35</v>
      </c>
      <c r="I95" s="12">
        <v>0.35</v>
      </c>
      <c r="J95" s="19">
        <v>0.35</v>
      </c>
      <c r="K95" s="12">
        <v>0.35</v>
      </c>
      <c r="L95" s="12">
        <v>0.35</v>
      </c>
      <c r="M95" s="12">
        <v>0.35</v>
      </c>
      <c r="N95"/>
      <c r="O95"/>
      <c r="P95"/>
      <c r="Q95"/>
      <c r="R95"/>
      <c r="AE95" s="12">
        <v>0.35</v>
      </c>
    </row>
    <row r="96" spans="2:31" ht="18" customHeight="1" x14ac:dyDescent="0.3">
      <c r="B96" s="3" t="s">
        <v>23</v>
      </c>
      <c r="C96" s="60">
        <v>2.5</v>
      </c>
      <c r="D96" s="12">
        <v>2.5</v>
      </c>
      <c r="E96" s="12">
        <v>2.5</v>
      </c>
      <c r="F96" s="12">
        <v>2.5</v>
      </c>
      <c r="G96" s="12">
        <v>2.5</v>
      </c>
      <c r="H96" s="12">
        <v>2.5</v>
      </c>
      <c r="I96" s="12">
        <v>2.5</v>
      </c>
      <c r="J96" s="19">
        <v>2.5</v>
      </c>
      <c r="K96" s="12">
        <v>2.5</v>
      </c>
      <c r="L96" s="12">
        <v>2.5</v>
      </c>
      <c r="M96" s="12">
        <v>2.5</v>
      </c>
      <c r="N96"/>
      <c r="O96"/>
      <c r="P96"/>
      <c r="Q96"/>
      <c r="R96"/>
      <c r="AE96" s="12">
        <v>2.5</v>
      </c>
    </row>
    <row r="97" spans="2:31" ht="18" customHeight="1" x14ac:dyDescent="0.3">
      <c r="B97" s="3" t="s">
        <v>24</v>
      </c>
      <c r="C97" s="60">
        <v>0.35</v>
      </c>
      <c r="D97" s="12">
        <v>0.35</v>
      </c>
      <c r="E97" s="12">
        <v>0.35</v>
      </c>
      <c r="F97" s="12">
        <v>0.35</v>
      </c>
      <c r="G97" s="12">
        <v>0.35</v>
      </c>
      <c r="H97" s="12">
        <v>0.35</v>
      </c>
      <c r="I97" s="12">
        <v>0.35</v>
      </c>
      <c r="J97" s="19">
        <v>0.35</v>
      </c>
      <c r="K97" s="12">
        <v>0.35</v>
      </c>
      <c r="L97" s="12">
        <v>0.35</v>
      </c>
      <c r="M97" s="12">
        <v>0.35</v>
      </c>
      <c r="N97"/>
      <c r="O97"/>
      <c r="P97"/>
      <c r="Q97"/>
      <c r="R97"/>
      <c r="AE97" s="12">
        <v>0.35</v>
      </c>
    </row>
    <row r="98" spans="2:31" ht="18" customHeight="1" x14ac:dyDescent="0.25">
      <c r="C98" s="56"/>
      <c r="D98"/>
      <c r="E98"/>
      <c r="F98"/>
      <c r="G98"/>
      <c r="H98"/>
      <c r="I98"/>
      <c r="J98" s="2"/>
      <c r="K98"/>
      <c r="L98"/>
      <c r="M98"/>
      <c r="N98"/>
      <c r="O98"/>
      <c r="P98"/>
      <c r="Q98"/>
      <c r="R98"/>
    </row>
    <row r="99" spans="2:31" ht="18" customHeight="1" x14ac:dyDescent="0.25">
      <c r="B99" s="8" t="s">
        <v>33</v>
      </c>
      <c r="C99" s="60">
        <v>258</v>
      </c>
      <c r="D99" s="12"/>
      <c r="E99" s="12"/>
      <c r="F99" s="12"/>
      <c r="G99" s="12"/>
      <c r="H99"/>
      <c r="I99" s="12"/>
      <c r="J99" s="19">
        <v>132</v>
      </c>
      <c r="K99" s="12">
        <v>542</v>
      </c>
      <c r="L99" s="12"/>
      <c r="M99" s="12">
        <v>162</v>
      </c>
      <c r="N99"/>
      <c r="O99"/>
      <c r="P99"/>
      <c r="Q99"/>
      <c r="R99"/>
    </row>
    <row r="100" spans="2:31" ht="18" customHeight="1" x14ac:dyDescent="0.25">
      <c r="C100" s="56"/>
      <c r="D100"/>
      <c r="E100"/>
      <c r="F100"/>
      <c r="G100"/>
      <c r="H100"/>
      <c r="I100"/>
      <c r="J100" s="2"/>
      <c r="K100"/>
      <c r="L100"/>
      <c r="M100"/>
      <c r="N100"/>
      <c r="O100"/>
      <c r="P100"/>
      <c r="Q100"/>
      <c r="R100"/>
    </row>
    <row r="101" spans="2:31" ht="18" customHeight="1" x14ac:dyDescent="0.25">
      <c r="C101" s="56"/>
      <c r="D101"/>
      <c r="E101"/>
      <c r="F101"/>
      <c r="G101"/>
      <c r="H101"/>
      <c r="I101"/>
      <c r="J101" s="2"/>
      <c r="K101"/>
      <c r="L101"/>
      <c r="M101"/>
      <c r="N101"/>
      <c r="O101"/>
      <c r="P101"/>
      <c r="Q101"/>
      <c r="R101"/>
    </row>
    <row r="102" spans="2:31" ht="18" customHeight="1" x14ac:dyDescent="0.3">
      <c r="B102" s="3" t="s">
        <v>0</v>
      </c>
      <c r="C102" s="57" t="s">
        <v>34</v>
      </c>
      <c r="D102"/>
      <c r="E102"/>
      <c r="F102"/>
      <c r="G102"/>
      <c r="H102"/>
      <c r="I102"/>
      <c r="J102" s="2"/>
      <c r="K102"/>
      <c r="L102"/>
      <c r="M102"/>
      <c r="N102"/>
      <c r="O102"/>
      <c r="P102"/>
      <c r="Q102"/>
      <c r="R102"/>
    </row>
    <row r="103" spans="2:31" ht="18" customHeight="1" x14ac:dyDescent="0.25">
      <c r="B103" s="8" t="s">
        <v>3</v>
      </c>
      <c r="C103" s="57">
        <v>3</v>
      </c>
      <c r="D103"/>
      <c r="E103"/>
      <c r="F103"/>
      <c r="G103"/>
      <c r="H103"/>
      <c r="I103"/>
      <c r="J103" s="2"/>
      <c r="K103"/>
      <c r="L103"/>
      <c r="M103"/>
      <c r="N103"/>
      <c r="O103"/>
      <c r="P103"/>
      <c r="Q103"/>
      <c r="R103"/>
    </row>
    <row r="104" spans="2:31" ht="18" customHeight="1" x14ac:dyDescent="0.25">
      <c r="B104" s="8" t="s">
        <v>4</v>
      </c>
      <c r="C104" s="57" t="s">
        <v>26</v>
      </c>
      <c r="D104"/>
      <c r="E104"/>
      <c r="F104"/>
      <c r="G104"/>
      <c r="H104"/>
      <c r="I104"/>
      <c r="J104" s="2"/>
      <c r="K104"/>
      <c r="L104"/>
      <c r="M104"/>
      <c r="N104"/>
      <c r="O104"/>
      <c r="P104"/>
      <c r="Q104"/>
      <c r="R104"/>
    </row>
    <row r="105" spans="2:31" ht="18" customHeight="1" x14ac:dyDescent="0.25">
      <c r="B105" s="8" t="s">
        <v>6</v>
      </c>
      <c r="C105" s="61">
        <v>39644</v>
      </c>
      <c r="D105"/>
      <c r="E105"/>
      <c r="F105"/>
      <c r="G105"/>
      <c r="H105"/>
      <c r="I105"/>
      <c r="J105" s="2"/>
      <c r="K105"/>
      <c r="L105"/>
      <c r="M105"/>
      <c r="N105"/>
      <c r="O105"/>
      <c r="P105"/>
      <c r="Q105"/>
      <c r="R105"/>
    </row>
    <row r="106" spans="2:31" ht="18" customHeight="1" x14ac:dyDescent="0.25">
      <c r="B106" s="8" t="s">
        <v>8</v>
      </c>
      <c r="C106" s="61">
        <f>K107</f>
        <v>41590</v>
      </c>
      <c r="D106"/>
      <c r="E106"/>
      <c r="F106"/>
      <c r="G106"/>
      <c r="H106"/>
      <c r="I106"/>
      <c r="J106" s="22"/>
      <c r="K106"/>
      <c r="L106"/>
      <c r="M106"/>
      <c r="N106"/>
      <c r="O106"/>
      <c r="P106"/>
      <c r="Q106"/>
      <c r="R106"/>
    </row>
    <row r="107" spans="2:31" ht="18" customHeight="1" x14ac:dyDescent="0.3">
      <c r="B107" s="11" t="s">
        <v>9</v>
      </c>
      <c r="C107" s="59">
        <v>40190</v>
      </c>
      <c r="D107" s="10">
        <v>40347</v>
      </c>
      <c r="E107" s="10">
        <v>40820</v>
      </c>
      <c r="F107" s="10">
        <v>41016</v>
      </c>
      <c r="G107" s="10">
        <v>41128</v>
      </c>
      <c r="H107" s="10">
        <v>41331</v>
      </c>
      <c r="I107" s="10">
        <v>41422</v>
      </c>
      <c r="J107" s="10">
        <v>41492</v>
      </c>
      <c r="K107" s="10">
        <v>41590</v>
      </c>
      <c r="L107"/>
      <c r="M107"/>
      <c r="N107"/>
      <c r="O107"/>
      <c r="P107"/>
      <c r="Q107"/>
      <c r="R107"/>
      <c r="AE107" s="10">
        <v>41331</v>
      </c>
    </row>
    <row r="108" spans="2:31" ht="18" customHeight="1" x14ac:dyDescent="0.3">
      <c r="B108" s="11" t="s">
        <v>29</v>
      </c>
      <c r="C108" s="63">
        <f t="shared" ref="C108:K108" si="5">C107-$C106</f>
        <v>-1400</v>
      </c>
      <c r="D108" s="18">
        <f t="shared" si="5"/>
        <v>-1243</v>
      </c>
      <c r="E108" s="18">
        <f t="shared" si="5"/>
        <v>-770</v>
      </c>
      <c r="F108" s="18">
        <f t="shared" si="5"/>
        <v>-574</v>
      </c>
      <c r="G108" s="18">
        <f t="shared" si="5"/>
        <v>-462</v>
      </c>
      <c r="H108" s="18">
        <f t="shared" si="5"/>
        <v>-259</v>
      </c>
      <c r="I108" s="18">
        <f t="shared" si="5"/>
        <v>-168</v>
      </c>
      <c r="J108" s="18">
        <f t="shared" si="5"/>
        <v>-98</v>
      </c>
      <c r="K108" s="18">
        <f t="shared" si="5"/>
        <v>0</v>
      </c>
      <c r="L108"/>
      <c r="M108"/>
      <c r="N108"/>
      <c r="O108"/>
      <c r="P108"/>
      <c r="Q108"/>
      <c r="R108"/>
      <c r="AE108" s="18">
        <v>-259</v>
      </c>
    </row>
    <row r="109" spans="2:31" ht="18" customHeight="1" x14ac:dyDescent="0.3">
      <c r="B109" s="11" t="s">
        <v>10</v>
      </c>
      <c r="C109" s="63">
        <f t="shared" ref="C109:K109" si="6">C107-$C105</f>
        <v>546</v>
      </c>
      <c r="D109" s="18">
        <f t="shared" si="6"/>
        <v>703</v>
      </c>
      <c r="E109" s="18">
        <f t="shared" si="6"/>
        <v>1176</v>
      </c>
      <c r="F109" s="18">
        <f t="shared" si="6"/>
        <v>1372</v>
      </c>
      <c r="G109" s="18">
        <f t="shared" si="6"/>
        <v>1484</v>
      </c>
      <c r="H109" s="18">
        <f t="shared" si="6"/>
        <v>1687</v>
      </c>
      <c r="I109" s="18">
        <f t="shared" si="6"/>
        <v>1778</v>
      </c>
      <c r="J109" s="18">
        <f t="shared" si="6"/>
        <v>1848</v>
      </c>
      <c r="K109" s="18">
        <f t="shared" si="6"/>
        <v>1946</v>
      </c>
      <c r="L109"/>
      <c r="M109"/>
      <c r="N109"/>
      <c r="O109"/>
      <c r="P109"/>
      <c r="Q109"/>
      <c r="R109"/>
      <c r="AE109" s="18">
        <v>1687</v>
      </c>
    </row>
    <row r="110" spans="2:31" ht="18" customHeight="1" x14ac:dyDescent="0.3">
      <c r="B110" s="3" t="s">
        <v>11</v>
      </c>
      <c r="C110" s="60">
        <v>6.3</v>
      </c>
      <c r="D110" s="12">
        <v>6.1</v>
      </c>
      <c r="E110" s="12">
        <v>5.22</v>
      </c>
      <c r="F110" s="12">
        <v>5.17</v>
      </c>
      <c r="G110" s="12">
        <v>5.15</v>
      </c>
      <c r="H110" s="12">
        <v>5.13</v>
      </c>
      <c r="I110" s="12">
        <v>5.08</v>
      </c>
      <c r="J110" s="19">
        <v>5.03</v>
      </c>
      <c r="K110" s="12">
        <v>4.8600000000000003</v>
      </c>
      <c r="L110"/>
      <c r="M110"/>
      <c r="N110"/>
      <c r="O110"/>
      <c r="P110"/>
      <c r="Q110"/>
      <c r="R110"/>
      <c r="AE110" s="12">
        <v>5.13</v>
      </c>
    </row>
    <row r="111" spans="2:31" ht="18" customHeight="1" x14ac:dyDescent="0.3">
      <c r="B111" s="3" t="s">
        <v>12</v>
      </c>
      <c r="C111" s="60">
        <v>0</v>
      </c>
      <c r="D111" s="12">
        <v>0</v>
      </c>
      <c r="E111" s="12">
        <v>64</v>
      </c>
      <c r="F111" s="12">
        <v>0</v>
      </c>
      <c r="G111" s="12">
        <v>0</v>
      </c>
      <c r="H111" s="12">
        <v>0</v>
      </c>
      <c r="I111" s="12">
        <v>0</v>
      </c>
      <c r="J111" s="19">
        <v>0</v>
      </c>
      <c r="K111" s="12">
        <v>0</v>
      </c>
      <c r="L111"/>
      <c r="M111"/>
      <c r="N111"/>
      <c r="O111"/>
      <c r="P111"/>
      <c r="Q111"/>
      <c r="R111"/>
      <c r="AE111" s="12">
        <v>0</v>
      </c>
    </row>
    <row r="112" spans="2:31" ht="18" customHeight="1" x14ac:dyDescent="0.3">
      <c r="B112" s="3" t="s">
        <v>13</v>
      </c>
      <c r="C112" s="60">
        <v>87</v>
      </c>
      <c r="D112" s="12">
        <v>84</v>
      </c>
      <c r="E112" s="12">
        <v>94</v>
      </c>
      <c r="F112" s="12">
        <v>91</v>
      </c>
      <c r="G112" s="12">
        <v>91</v>
      </c>
      <c r="H112" s="12">
        <v>96</v>
      </c>
      <c r="I112" s="12">
        <v>97</v>
      </c>
      <c r="J112" s="19">
        <v>97</v>
      </c>
      <c r="K112" s="12">
        <v>98</v>
      </c>
      <c r="L112"/>
      <c r="M112"/>
      <c r="N112"/>
      <c r="O112"/>
      <c r="P112"/>
      <c r="Q112"/>
      <c r="R112"/>
      <c r="AE112" s="12">
        <v>96</v>
      </c>
    </row>
    <row r="113" spans="2:31" ht="18" customHeight="1" x14ac:dyDescent="0.3">
      <c r="B113" s="3" t="s">
        <v>14</v>
      </c>
      <c r="C113" s="60">
        <v>97</v>
      </c>
      <c r="D113" s="12">
        <v>98</v>
      </c>
      <c r="E113" s="12">
        <v>94</v>
      </c>
      <c r="F113" s="12">
        <v>91</v>
      </c>
      <c r="G113" s="12">
        <v>91</v>
      </c>
      <c r="H113" s="12">
        <v>96</v>
      </c>
      <c r="I113" s="12">
        <v>97</v>
      </c>
      <c r="J113" s="19">
        <v>97</v>
      </c>
      <c r="K113" s="12">
        <v>98</v>
      </c>
      <c r="L113"/>
      <c r="M113"/>
      <c r="N113"/>
      <c r="O113"/>
      <c r="P113"/>
      <c r="Q113"/>
      <c r="R113"/>
      <c r="AE113" s="12">
        <v>96</v>
      </c>
    </row>
    <row r="114" spans="2:31" ht="18" customHeight="1" x14ac:dyDescent="0.25">
      <c r="B114" s="8"/>
      <c r="C114" s="60"/>
      <c r="D114" s="12"/>
      <c r="E114" s="12"/>
      <c r="F114" s="12"/>
      <c r="G114" s="12"/>
      <c r="H114" s="12"/>
      <c r="I114" s="12"/>
      <c r="J114" s="19"/>
      <c r="K114" s="12"/>
      <c r="L114"/>
      <c r="M114"/>
      <c r="N114"/>
      <c r="O114"/>
      <c r="P114"/>
      <c r="Q114"/>
      <c r="R114"/>
      <c r="AE114" s="12"/>
    </row>
    <row r="115" spans="2:31" ht="18" customHeight="1" x14ac:dyDescent="0.3">
      <c r="B115" s="11" t="s">
        <v>15</v>
      </c>
      <c r="C115" s="60" t="s">
        <v>35</v>
      </c>
      <c r="D115" s="12" t="s">
        <v>35</v>
      </c>
      <c r="E115" s="12" t="s">
        <v>16</v>
      </c>
      <c r="F115" s="12" t="s">
        <v>35</v>
      </c>
      <c r="G115" s="12" t="s">
        <v>35</v>
      </c>
      <c r="H115" s="12" t="s">
        <v>35</v>
      </c>
      <c r="I115" s="12" t="s">
        <v>35</v>
      </c>
      <c r="J115" s="19" t="s">
        <v>35</v>
      </c>
      <c r="K115" s="12" t="s">
        <v>35</v>
      </c>
      <c r="L115"/>
      <c r="M115"/>
      <c r="N115"/>
      <c r="O115"/>
      <c r="P115"/>
      <c r="Q115"/>
      <c r="R115"/>
      <c r="AE115" s="12" t="s">
        <v>35</v>
      </c>
    </row>
    <row r="116" spans="2:31" ht="18" customHeight="1" x14ac:dyDescent="0.3">
      <c r="B116" s="3" t="s">
        <v>17</v>
      </c>
      <c r="C116" s="60">
        <v>60</v>
      </c>
      <c r="D116" s="12">
        <v>60</v>
      </c>
      <c r="E116" s="12">
        <v>60</v>
      </c>
      <c r="F116" s="12">
        <v>60</v>
      </c>
      <c r="G116" s="12">
        <v>60</v>
      </c>
      <c r="H116" s="12">
        <v>60</v>
      </c>
      <c r="I116" s="12">
        <v>60</v>
      </c>
      <c r="J116" s="19">
        <v>60</v>
      </c>
      <c r="K116" s="12">
        <v>60</v>
      </c>
      <c r="L116"/>
      <c r="M116"/>
      <c r="N116"/>
      <c r="O116"/>
      <c r="P116"/>
      <c r="Q116"/>
      <c r="R116"/>
      <c r="AE116" s="12">
        <v>60</v>
      </c>
    </row>
    <row r="117" spans="2:31" ht="18" customHeight="1" x14ac:dyDescent="0.3">
      <c r="B117" s="3" t="s">
        <v>18</v>
      </c>
      <c r="C117" s="60">
        <v>120</v>
      </c>
      <c r="D117" s="12">
        <v>120</v>
      </c>
      <c r="E117" s="12">
        <v>120</v>
      </c>
      <c r="F117" s="12">
        <v>120</v>
      </c>
      <c r="G117" s="12">
        <v>120</v>
      </c>
      <c r="H117" s="12">
        <v>120</v>
      </c>
      <c r="I117" s="12">
        <v>120</v>
      </c>
      <c r="J117" s="19">
        <v>120</v>
      </c>
      <c r="K117" s="12">
        <v>120</v>
      </c>
      <c r="L117"/>
      <c r="M117"/>
      <c r="N117"/>
      <c r="O117"/>
      <c r="P117"/>
      <c r="Q117"/>
      <c r="R117"/>
      <c r="AE117" s="12">
        <v>120</v>
      </c>
    </row>
    <row r="118" spans="2:31" ht="18" customHeight="1" x14ac:dyDescent="0.25">
      <c r="C118" s="60"/>
      <c r="D118" s="12"/>
      <c r="E118" s="12"/>
      <c r="F118" s="12"/>
      <c r="G118" s="12"/>
      <c r="H118" s="12"/>
      <c r="I118" s="12"/>
      <c r="J118" s="19"/>
      <c r="K118" s="12"/>
      <c r="L118"/>
      <c r="M118"/>
      <c r="N118"/>
      <c r="O118"/>
      <c r="P118"/>
      <c r="Q118"/>
      <c r="R118"/>
      <c r="AE118" s="12"/>
    </row>
    <row r="119" spans="2:31" ht="18" customHeight="1" x14ac:dyDescent="0.3">
      <c r="B119" s="3" t="s">
        <v>19</v>
      </c>
      <c r="C119" s="60">
        <v>0</v>
      </c>
      <c r="D119" s="12">
        <v>0</v>
      </c>
      <c r="E119" s="12">
        <v>3.5</v>
      </c>
      <c r="F119" s="12">
        <v>0</v>
      </c>
      <c r="G119" s="12">
        <v>0</v>
      </c>
      <c r="H119" s="12">
        <v>0</v>
      </c>
      <c r="I119" s="12">
        <v>0</v>
      </c>
      <c r="J119" s="19">
        <v>0</v>
      </c>
      <c r="K119" s="12">
        <v>0</v>
      </c>
      <c r="L119"/>
      <c r="M119"/>
      <c r="N119"/>
      <c r="O119"/>
      <c r="P119"/>
      <c r="Q119"/>
      <c r="R119"/>
      <c r="AE119" s="12">
        <v>0</v>
      </c>
    </row>
    <row r="120" spans="2:31" ht="18" customHeight="1" x14ac:dyDescent="0.3">
      <c r="B120" s="3" t="s">
        <v>20</v>
      </c>
      <c r="C120" s="60">
        <v>0</v>
      </c>
      <c r="D120" s="12">
        <v>0</v>
      </c>
      <c r="E120" s="12">
        <v>0.35</v>
      </c>
      <c r="F120" s="12">
        <v>0</v>
      </c>
      <c r="G120" s="12">
        <v>0</v>
      </c>
      <c r="H120" s="12">
        <v>0</v>
      </c>
      <c r="I120" s="12">
        <v>0</v>
      </c>
      <c r="J120" s="19">
        <v>0</v>
      </c>
      <c r="K120" s="12">
        <v>0</v>
      </c>
      <c r="L120"/>
      <c r="M120"/>
      <c r="N120"/>
      <c r="O120"/>
      <c r="P120"/>
      <c r="Q120"/>
      <c r="R120"/>
      <c r="AE120" s="12">
        <v>0</v>
      </c>
    </row>
    <row r="121" spans="2:31" ht="18" customHeight="1" x14ac:dyDescent="0.3">
      <c r="B121" s="3" t="s">
        <v>21</v>
      </c>
      <c r="C121" s="60">
        <v>3</v>
      </c>
      <c r="D121" s="12">
        <v>3</v>
      </c>
      <c r="E121" s="12">
        <v>3</v>
      </c>
      <c r="F121" s="12">
        <v>3</v>
      </c>
      <c r="G121" s="12">
        <v>3</v>
      </c>
      <c r="H121" s="12">
        <v>3</v>
      </c>
      <c r="I121" s="12">
        <v>3</v>
      </c>
      <c r="J121" s="19">
        <v>3</v>
      </c>
      <c r="K121" s="12">
        <v>3</v>
      </c>
      <c r="L121"/>
      <c r="M121"/>
      <c r="N121"/>
      <c r="O121"/>
      <c r="P121"/>
      <c r="Q121"/>
      <c r="R121"/>
      <c r="AE121" s="12">
        <v>3</v>
      </c>
    </row>
    <row r="122" spans="2:31" ht="18" customHeight="1" x14ac:dyDescent="0.3">
      <c r="B122" s="3" t="s">
        <v>22</v>
      </c>
      <c r="C122" s="60">
        <v>0.5</v>
      </c>
      <c r="D122" s="12">
        <v>0.5</v>
      </c>
      <c r="E122" s="12">
        <v>0.5</v>
      </c>
      <c r="F122" s="12">
        <v>0.5</v>
      </c>
      <c r="G122" s="12">
        <v>0.5</v>
      </c>
      <c r="H122" s="12">
        <v>0.5</v>
      </c>
      <c r="I122" s="12">
        <v>0.5</v>
      </c>
      <c r="J122" s="19">
        <v>0.5</v>
      </c>
      <c r="K122" s="12">
        <v>0.5</v>
      </c>
      <c r="L122"/>
      <c r="M122"/>
      <c r="N122"/>
      <c r="O122"/>
      <c r="P122"/>
      <c r="Q122"/>
      <c r="R122"/>
      <c r="AE122" s="12">
        <v>0.5</v>
      </c>
    </row>
    <row r="123" spans="2:31" ht="18" customHeight="1" x14ac:dyDescent="0.3">
      <c r="B123" s="3" t="s">
        <v>23</v>
      </c>
      <c r="C123" s="60">
        <v>2</v>
      </c>
      <c r="D123" s="12">
        <v>2</v>
      </c>
      <c r="E123" s="12">
        <v>2.5</v>
      </c>
      <c r="F123" s="12">
        <v>2.5</v>
      </c>
      <c r="G123" s="12">
        <v>2.5</v>
      </c>
      <c r="H123" s="12">
        <v>2.5</v>
      </c>
      <c r="I123" s="12">
        <v>2</v>
      </c>
      <c r="J123" s="19">
        <v>2</v>
      </c>
      <c r="K123" s="12">
        <v>2</v>
      </c>
      <c r="L123"/>
      <c r="M123"/>
      <c r="N123"/>
      <c r="O123"/>
      <c r="P123"/>
      <c r="Q123"/>
      <c r="R123"/>
      <c r="AE123" s="12">
        <v>2.5</v>
      </c>
    </row>
    <row r="124" spans="2:31" ht="18" customHeight="1" x14ac:dyDescent="0.3">
      <c r="B124" s="3" t="s">
        <v>24</v>
      </c>
      <c r="C124" s="60">
        <v>0.35</v>
      </c>
      <c r="D124" s="12">
        <v>0.35</v>
      </c>
      <c r="E124" s="12">
        <v>0.35</v>
      </c>
      <c r="F124" s="12">
        <v>0.35</v>
      </c>
      <c r="G124" s="12">
        <v>0.35</v>
      </c>
      <c r="H124" s="12">
        <v>0.35</v>
      </c>
      <c r="I124" s="12">
        <v>0.35</v>
      </c>
      <c r="J124" s="19">
        <v>0.35</v>
      </c>
      <c r="K124" s="12">
        <v>0.35</v>
      </c>
      <c r="L124"/>
      <c r="M124"/>
      <c r="N124"/>
      <c r="O124"/>
      <c r="P124"/>
      <c r="Q124"/>
      <c r="R124"/>
      <c r="AE124" s="12">
        <v>0.35</v>
      </c>
    </row>
    <row r="125" spans="2:31" ht="18" customHeight="1" x14ac:dyDescent="0.25">
      <c r="C125" s="60"/>
      <c r="D125" s="12"/>
      <c r="E125" s="12"/>
      <c r="F125" s="12"/>
      <c r="G125" s="12"/>
      <c r="H125" s="12"/>
      <c r="I125" s="12"/>
      <c r="J125" s="19"/>
      <c r="K125" s="12"/>
      <c r="L125"/>
      <c r="M125"/>
      <c r="N125"/>
      <c r="O125"/>
      <c r="P125"/>
      <c r="Q125"/>
      <c r="R125"/>
      <c r="AE125" s="12"/>
    </row>
    <row r="126" spans="2:31" ht="18" customHeight="1" x14ac:dyDescent="0.25">
      <c r="B126" s="8" t="s">
        <v>33</v>
      </c>
      <c r="C126" s="60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9">
        <v>0</v>
      </c>
      <c r="K126" s="12">
        <v>0</v>
      </c>
      <c r="L126"/>
      <c r="M126"/>
      <c r="N126"/>
      <c r="O126"/>
      <c r="P126"/>
      <c r="Q126"/>
      <c r="R126"/>
      <c r="AE126" s="12">
        <v>0</v>
      </c>
    </row>
    <row r="127" spans="2:31" ht="18" customHeight="1" x14ac:dyDescent="0.25">
      <c r="C127" s="56"/>
      <c r="D127"/>
      <c r="E127"/>
      <c r="F127"/>
      <c r="G127"/>
      <c r="H127"/>
      <c r="I127"/>
      <c r="J127" s="2"/>
      <c r="K127"/>
      <c r="L127"/>
      <c r="M127"/>
      <c r="N127"/>
      <c r="O127"/>
      <c r="P127"/>
      <c r="Q127"/>
      <c r="R127"/>
    </row>
    <row r="128" spans="2:31" ht="18" customHeight="1" x14ac:dyDescent="0.25">
      <c r="C128" s="56"/>
      <c r="D128"/>
      <c r="E128"/>
      <c r="F128"/>
      <c r="G128"/>
      <c r="H128"/>
      <c r="I128"/>
      <c r="J128" s="2"/>
      <c r="K128"/>
      <c r="L128"/>
      <c r="M128"/>
      <c r="N128"/>
      <c r="O128"/>
      <c r="P128"/>
      <c r="Q128"/>
      <c r="R128"/>
    </row>
    <row r="129" spans="2:31" ht="18" customHeight="1" x14ac:dyDescent="0.3">
      <c r="B129" s="3" t="s">
        <v>0</v>
      </c>
      <c r="C129" s="60" t="s">
        <v>36</v>
      </c>
      <c r="D129"/>
      <c r="E129"/>
      <c r="F129"/>
      <c r="G129"/>
      <c r="H129"/>
      <c r="I129"/>
      <c r="J129" s="2"/>
      <c r="K129"/>
      <c r="L129"/>
      <c r="M129"/>
      <c r="N129"/>
      <c r="O129"/>
      <c r="P129"/>
      <c r="Q129"/>
      <c r="R129"/>
    </row>
    <row r="130" spans="2:31" ht="18" customHeight="1" x14ac:dyDescent="0.25">
      <c r="B130" s="8" t="s">
        <v>3</v>
      </c>
      <c r="C130" s="60">
        <v>3</v>
      </c>
      <c r="D130"/>
      <c r="E130"/>
      <c r="F130"/>
      <c r="G130"/>
      <c r="H130"/>
      <c r="I130"/>
      <c r="J130" s="2"/>
      <c r="K130"/>
      <c r="L130"/>
      <c r="M130"/>
      <c r="N130"/>
      <c r="O130"/>
      <c r="P130"/>
      <c r="Q130"/>
      <c r="R130"/>
    </row>
    <row r="131" spans="2:31" ht="18" customHeight="1" x14ac:dyDescent="0.25">
      <c r="B131" s="8" t="s">
        <v>4</v>
      </c>
      <c r="C131" s="60" t="s">
        <v>26</v>
      </c>
      <c r="D131"/>
      <c r="E131"/>
      <c r="F131"/>
      <c r="G131"/>
      <c r="H131"/>
      <c r="I131"/>
      <c r="J131" s="2"/>
      <c r="K131"/>
      <c r="L131"/>
      <c r="M131"/>
      <c r="N131"/>
      <c r="O131"/>
      <c r="P131"/>
      <c r="Q131"/>
      <c r="R131"/>
    </row>
    <row r="132" spans="2:31" ht="18" customHeight="1" x14ac:dyDescent="0.25">
      <c r="B132" s="8" t="s">
        <v>6</v>
      </c>
      <c r="C132" s="59">
        <v>39616</v>
      </c>
      <c r="D132"/>
      <c r="E132"/>
      <c r="F132"/>
      <c r="G132"/>
      <c r="H132"/>
      <c r="I132"/>
      <c r="J132" s="2"/>
      <c r="K132"/>
      <c r="L132"/>
      <c r="M132"/>
      <c r="N132"/>
      <c r="O132"/>
      <c r="P132"/>
      <c r="Q132"/>
      <c r="R132"/>
    </row>
    <row r="133" spans="2:31" ht="18" customHeight="1" x14ac:dyDescent="0.25">
      <c r="B133" s="8" t="s">
        <v>8</v>
      </c>
      <c r="C133" s="64">
        <v>41428</v>
      </c>
      <c r="D133"/>
      <c r="E133"/>
      <c r="F133"/>
      <c r="G133"/>
      <c r="H133"/>
      <c r="I133"/>
      <c r="J133" s="2"/>
      <c r="K133"/>
      <c r="L133"/>
      <c r="M133"/>
      <c r="N133"/>
      <c r="O133"/>
      <c r="P133"/>
      <c r="Q133"/>
      <c r="R133"/>
    </row>
    <row r="134" spans="2:31" ht="18" customHeight="1" x14ac:dyDescent="0.3">
      <c r="B134" s="11" t="s">
        <v>9</v>
      </c>
      <c r="C134" s="59">
        <v>40190</v>
      </c>
      <c r="D134" s="10">
        <v>40344</v>
      </c>
      <c r="E134" s="10">
        <v>40744</v>
      </c>
      <c r="F134" s="10">
        <v>40946</v>
      </c>
      <c r="G134" s="10">
        <v>40974</v>
      </c>
      <c r="H134" s="10">
        <v>41163</v>
      </c>
      <c r="I134" s="10">
        <v>41366</v>
      </c>
      <c r="J134" s="22">
        <v>41428</v>
      </c>
      <c r="K134"/>
      <c r="L134"/>
      <c r="M134"/>
      <c r="N134"/>
      <c r="O134"/>
      <c r="P134"/>
      <c r="Q134"/>
      <c r="R134"/>
      <c r="AE134" s="10">
        <v>41163</v>
      </c>
    </row>
    <row r="135" spans="2:31" ht="25.5" customHeight="1" x14ac:dyDescent="0.3">
      <c r="B135" s="11" t="s">
        <v>29</v>
      </c>
      <c r="C135" s="63">
        <f t="shared" ref="C135:J135" si="7">C134-$C133</f>
        <v>-1238</v>
      </c>
      <c r="D135" s="18">
        <f t="shared" si="7"/>
        <v>-1084</v>
      </c>
      <c r="E135" s="18">
        <f t="shared" si="7"/>
        <v>-684</v>
      </c>
      <c r="F135" s="18">
        <f t="shared" si="7"/>
        <v>-482</v>
      </c>
      <c r="G135" s="18">
        <f t="shared" si="7"/>
        <v>-454</v>
      </c>
      <c r="H135" s="18">
        <f t="shared" si="7"/>
        <v>-265</v>
      </c>
      <c r="I135" s="18">
        <f t="shared" si="7"/>
        <v>-62</v>
      </c>
      <c r="J135" s="18">
        <f t="shared" si="7"/>
        <v>0</v>
      </c>
      <c r="K135"/>
      <c r="L135"/>
      <c r="M135"/>
      <c r="N135"/>
      <c r="O135"/>
      <c r="P135"/>
      <c r="Q135"/>
      <c r="R135"/>
      <c r="AE135" s="18">
        <v>-265</v>
      </c>
    </row>
    <row r="136" spans="2:31" ht="18" customHeight="1" x14ac:dyDescent="0.3">
      <c r="B136" s="11" t="s">
        <v>10</v>
      </c>
      <c r="C136" s="63">
        <f t="shared" ref="C136:J136" si="8">C134-$C132</f>
        <v>574</v>
      </c>
      <c r="D136" s="18">
        <f t="shared" si="8"/>
        <v>728</v>
      </c>
      <c r="E136" s="18">
        <f t="shared" si="8"/>
        <v>1128</v>
      </c>
      <c r="F136" s="18">
        <f t="shared" si="8"/>
        <v>1330</v>
      </c>
      <c r="G136" s="18">
        <f t="shared" si="8"/>
        <v>1358</v>
      </c>
      <c r="H136" s="18">
        <f t="shared" si="8"/>
        <v>1547</v>
      </c>
      <c r="I136" s="18">
        <f t="shared" si="8"/>
        <v>1750</v>
      </c>
      <c r="J136" s="18">
        <f t="shared" si="8"/>
        <v>1812</v>
      </c>
      <c r="K136"/>
      <c r="L136"/>
      <c r="M136"/>
      <c r="N136"/>
      <c r="O136"/>
      <c r="P136"/>
      <c r="Q136"/>
      <c r="R136"/>
      <c r="AE136" s="18">
        <v>1547</v>
      </c>
    </row>
    <row r="137" spans="2:31" ht="18" customHeight="1" x14ac:dyDescent="0.3">
      <c r="B137" s="3" t="s">
        <v>11</v>
      </c>
      <c r="C137" s="60">
        <v>6.36</v>
      </c>
      <c r="D137" s="12">
        <v>6.23</v>
      </c>
      <c r="E137" s="12">
        <v>5.43</v>
      </c>
      <c r="F137" s="12">
        <v>5.2</v>
      </c>
      <c r="G137" s="12">
        <v>5.19</v>
      </c>
      <c r="H137" s="12">
        <v>5.14</v>
      </c>
      <c r="I137" s="12">
        <v>5.01</v>
      </c>
      <c r="J137" s="19">
        <v>4.79</v>
      </c>
      <c r="K137"/>
      <c r="L137"/>
      <c r="M137"/>
      <c r="N137"/>
      <c r="O137"/>
      <c r="P137"/>
      <c r="Q137"/>
      <c r="R137"/>
      <c r="AE137" s="12">
        <v>5.14</v>
      </c>
    </row>
    <row r="138" spans="2:31" ht="18" customHeight="1" x14ac:dyDescent="0.3">
      <c r="B138" s="3" t="s">
        <v>12</v>
      </c>
      <c r="C138" s="60">
        <v>7</v>
      </c>
      <c r="D138" s="12">
        <v>1</v>
      </c>
      <c r="E138" s="12">
        <v>3</v>
      </c>
      <c r="F138" s="12">
        <v>2</v>
      </c>
      <c r="G138" s="12">
        <v>1</v>
      </c>
      <c r="H138" s="12">
        <v>3</v>
      </c>
      <c r="I138" s="12">
        <v>4</v>
      </c>
      <c r="J138" s="19">
        <v>9</v>
      </c>
      <c r="K138"/>
      <c r="L138"/>
      <c r="M138"/>
      <c r="N138"/>
      <c r="O138"/>
      <c r="P138"/>
      <c r="Q138"/>
      <c r="R138"/>
      <c r="AE138" s="12">
        <v>3</v>
      </c>
    </row>
    <row r="139" spans="2:31" ht="18" customHeight="1" x14ac:dyDescent="0.3">
      <c r="B139" s="3" t="s">
        <v>13</v>
      </c>
      <c r="C139" s="60">
        <v>97</v>
      </c>
      <c r="D139" s="12">
        <v>99</v>
      </c>
      <c r="E139" s="12">
        <v>97</v>
      </c>
      <c r="F139" s="12">
        <v>99</v>
      </c>
      <c r="G139" s="12">
        <v>99</v>
      </c>
      <c r="H139" s="12">
        <v>94</v>
      </c>
      <c r="I139" s="12">
        <v>98</v>
      </c>
      <c r="J139" s="19">
        <v>94</v>
      </c>
      <c r="K139"/>
      <c r="L139"/>
      <c r="M139"/>
      <c r="N139"/>
      <c r="O139"/>
      <c r="P139"/>
      <c r="Q139"/>
      <c r="R139"/>
      <c r="AE139" s="12">
        <v>94</v>
      </c>
    </row>
    <row r="140" spans="2:31" ht="18" customHeight="1" x14ac:dyDescent="0.3">
      <c r="B140" s="3" t="s">
        <v>14</v>
      </c>
      <c r="C140" s="60">
        <v>97</v>
      </c>
      <c r="D140" s="12">
        <v>99</v>
      </c>
      <c r="E140" s="12">
        <v>97</v>
      </c>
      <c r="F140" s="12">
        <v>99</v>
      </c>
      <c r="G140" s="12">
        <v>99</v>
      </c>
      <c r="H140" s="12">
        <v>94</v>
      </c>
      <c r="I140" s="12">
        <v>98</v>
      </c>
      <c r="J140" s="19">
        <v>94</v>
      </c>
      <c r="K140"/>
      <c r="L140"/>
      <c r="M140"/>
      <c r="N140"/>
      <c r="O140"/>
      <c r="P140"/>
      <c r="Q140"/>
      <c r="R140"/>
      <c r="AE140" s="12">
        <v>94</v>
      </c>
    </row>
    <row r="141" spans="2:31" ht="18" customHeight="1" x14ac:dyDescent="0.25">
      <c r="B141" s="8"/>
      <c r="C141" s="60"/>
      <c r="D141" s="12"/>
      <c r="E141" s="12"/>
      <c r="F141" s="12"/>
      <c r="G141" s="12"/>
      <c r="H141" s="12"/>
      <c r="I141" s="12"/>
      <c r="J141" s="19"/>
      <c r="K141"/>
      <c r="L141"/>
      <c r="M141"/>
      <c r="N141"/>
      <c r="O141"/>
      <c r="P141"/>
      <c r="Q141"/>
      <c r="R141"/>
      <c r="AE141" s="12"/>
    </row>
    <row r="142" spans="2:31" ht="18" customHeight="1" x14ac:dyDescent="0.3">
      <c r="B142" s="11" t="s">
        <v>15</v>
      </c>
      <c r="C142" s="60" t="s">
        <v>16</v>
      </c>
      <c r="D142" s="12" t="s">
        <v>16</v>
      </c>
      <c r="E142" s="12" t="s">
        <v>16</v>
      </c>
      <c r="F142" s="12" t="s">
        <v>16</v>
      </c>
      <c r="G142" s="12" t="s">
        <v>16</v>
      </c>
      <c r="H142" s="12" t="s">
        <v>37</v>
      </c>
      <c r="I142" s="12" t="s">
        <v>37</v>
      </c>
      <c r="J142" s="19" t="s">
        <v>37</v>
      </c>
      <c r="K142"/>
      <c r="L142"/>
      <c r="M142"/>
      <c r="N142"/>
      <c r="O142"/>
      <c r="P142"/>
      <c r="Q142"/>
      <c r="R142"/>
      <c r="AE142" s="12" t="s">
        <v>37</v>
      </c>
    </row>
    <row r="143" spans="2:31" ht="18" customHeight="1" x14ac:dyDescent="0.3">
      <c r="B143" s="3" t="s">
        <v>17</v>
      </c>
      <c r="C143" s="60">
        <v>60</v>
      </c>
      <c r="D143" s="12">
        <v>60</v>
      </c>
      <c r="E143" s="12">
        <v>60</v>
      </c>
      <c r="F143" s="12">
        <v>60</v>
      </c>
      <c r="G143" s="12">
        <v>60</v>
      </c>
      <c r="H143" s="12">
        <v>60</v>
      </c>
      <c r="I143" s="12">
        <v>60</v>
      </c>
      <c r="J143" s="19">
        <v>60</v>
      </c>
      <c r="K143"/>
      <c r="L143"/>
      <c r="M143"/>
      <c r="N143"/>
      <c r="O143"/>
      <c r="P143"/>
      <c r="Q143"/>
      <c r="R143"/>
      <c r="AE143" s="12">
        <v>60</v>
      </c>
    </row>
    <row r="144" spans="2:31" ht="18" customHeight="1" x14ac:dyDescent="0.3">
      <c r="B144" s="3" t="s">
        <v>18</v>
      </c>
      <c r="C144" s="60">
        <v>120</v>
      </c>
      <c r="D144" s="12">
        <v>120</v>
      </c>
      <c r="E144" s="12">
        <v>120</v>
      </c>
      <c r="F144" s="12">
        <v>120</v>
      </c>
      <c r="G144" s="12">
        <v>120</v>
      </c>
      <c r="H144" s="12">
        <v>120</v>
      </c>
      <c r="I144" s="12">
        <v>120</v>
      </c>
      <c r="J144" s="19">
        <v>120</v>
      </c>
      <c r="K144"/>
      <c r="L144"/>
      <c r="M144"/>
      <c r="N144"/>
      <c r="O144"/>
      <c r="P144"/>
      <c r="Q144"/>
      <c r="R144"/>
      <c r="AE144" s="12">
        <v>120</v>
      </c>
    </row>
    <row r="145" spans="2:31" ht="18" customHeight="1" x14ac:dyDescent="0.25">
      <c r="C145" s="60"/>
      <c r="D145" s="12"/>
      <c r="E145" s="12"/>
      <c r="F145" s="12"/>
      <c r="G145" s="12"/>
      <c r="H145" s="12"/>
      <c r="I145" s="12"/>
      <c r="J145" s="19"/>
      <c r="K145"/>
      <c r="L145"/>
      <c r="M145"/>
      <c r="N145"/>
      <c r="O145"/>
      <c r="P145"/>
      <c r="Q145"/>
      <c r="R145"/>
      <c r="AE145" s="12"/>
    </row>
    <row r="146" spans="2:31" ht="18" customHeight="1" x14ac:dyDescent="0.3">
      <c r="B146" s="3" t="s">
        <v>19</v>
      </c>
      <c r="C146" s="60">
        <v>2.5</v>
      </c>
      <c r="D146" s="12">
        <v>2.5</v>
      </c>
      <c r="E146" s="12">
        <v>2.5</v>
      </c>
      <c r="F146" s="12">
        <v>2.5</v>
      </c>
      <c r="G146" s="12">
        <v>2.5</v>
      </c>
      <c r="H146" s="12">
        <v>2.5</v>
      </c>
      <c r="I146" s="12">
        <v>2.5</v>
      </c>
      <c r="J146" s="19">
        <v>2.5</v>
      </c>
      <c r="K146"/>
      <c r="L146"/>
      <c r="M146"/>
      <c r="N146"/>
      <c r="O146"/>
      <c r="P146"/>
      <c r="Q146"/>
      <c r="R146"/>
      <c r="AE146" s="12">
        <v>2.5</v>
      </c>
    </row>
    <row r="147" spans="2:31" ht="18" customHeight="1" x14ac:dyDescent="0.3">
      <c r="B147" s="3" t="s">
        <v>20</v>
      </c>
      <c r="C147" s="60">
        <v>0.35</v>
      </c>
      <c r="D147" s="12">
        <v>0.35</v>
      </c>
      <c r="E147" s="12">
        <v>0.35</v>
      </c>
      <c r="F147" s="12">
        <v>0.35</v>
      </c>
      <c r="G147" s="12">
        <v>0.35</v>
      </c>
      <c r="H147" s="12">
        <v>0.35</v>
      </c>
      <c r="I147" s="12">
        <v>0.35</v>
      </c>
      <c r="J147" s="19">
        <v>0.35</v>
      </c>
      <c r="K147"/>
      <c r="L147"/>
      <c r="M147"/>
      <c r="N147"/>
      <c r="O147"/>
      <c r="P147"/>
      <c r="Q147"/>
      <c r="R147"/>
      <c r="AE147" s="12">
        <v>0.35</v>
      </c>
    </row>
    <row r="148" spans="2:31" ht="18" customHeight="1" x14ac:dyDescent="0.3">
      <c r="B148" s="3" t="s">
        <v>21</v>
      </c>
      <c r="C148" s="60">
        <v>3.5</v>
      </c>
      <c r="D148" s="12">
        <v>3.5</v>
      </c>
      <c r="E148" s="12">
        <v>3.5</v>
      </c>
      <c r="F148" s="12">
        <v>3.5</v>
      </c>
      <c r="G148" s="12">
        <v>3.5</v>
      </c>
      <c r="H148" s="12">
        <v>3.5</v>
      </c>
      <c r="I148" s="12">
        <v>3.5</v>
      </c>
      <c r="J148" s="19">
        <v>3.5</v>
      </c>
      <c r="K148"/>
      <c r="L148"/>
      <c r="M148"/>
      <c r="N148"/>
      <c r="O148"/>
      <c r="P148"/>
      <c r="Q148"/>
      <c r="R148"/>
      <c r="AE148" s="12">
        <v>3.5</v>
      </c>
    </row>
    <row r="149" spans="2:31" ht="18" customHeight="1" x14ac:dyDescent="0.3">
      <c r="B149" s="3" t="s">
        <v>22</v>
      </c>
      <c r="C149" s="60">
        <v>0.35</v>
      </c>
      <c r="D149" s="12">
        <v>0.35</v>
      </c>
      <c r="E149" s="12">
        <v>0.35</v>
      </c>
      <c r="F149" s="12">
        <v>0.35</v>
      </c>
      <c r="G149" s="12">
        <v>0.35</v>
      </c>
      <c r="H149" s="12">
        <v>0.35</v>
      </c>
      <c r="I149" s="12">
        <v>0.35</v>
      </c>
      <c r="J149" s="19">
        <v>0.35</v>
      </c>
      <c r="K149"/>
      <c r="L149"/>
      <c r="M149"/>
      <c r="N149"/>
      <c r="O149"/>
      <c r="P149"/>
      <c r="Q149"/>
      <c r="R149"/>
      <c r="AE149" s="12">
        <v>0.35</v>
      </c>
    </row>
    <row r="150" spans="2:31" ht="18" customHeight="1" x14ac:dyDescent="0.3">
      <c r="B150" s="3" t="s">
        <v>23</v>
      </c>
      <c r="C150" s="60">
        <v>7</v>
      </c>
      <c r="D150" s="12">
        <v>7</v>
      </c>
      <c r="E150" s="12">
        <v>3.5</v>
      </c>
      <c r="F150" s="12">
        <v>7</v>
      </c>
      <c r="G150" s="12">
        <v>7</v>
      </c>
      <c r="H150" s="12">
        <v>7</v>
      </c>
      <c r="I150" s="12">
        <v>7</v>
      </c>
      <c r="J150" s="19">
        <v>7</v>
      </c>
      <c r="K150"/>
      <c r="L150"/>
      <c r="M150"/>
      <c r="N150"/>
      <c r="O150"/>
      <c r="P150"/>
      <c r="Q150"/>
      <c r="R150"/>
      <c r="AE150" s="12">
        <v>7</v>
      </c>
    </row>
    <row r="151" spans="2:31" ht="18" customHeight="1" x14ac:dyDescent="0.3">
      <c r="B151" s="3" t="s">
        <v>24</v>
      </c>
      <c r="C151" s="60">
        <v>0.5</v>
      </c>
      <c r="D151" s="12">
        <v>0.5</v>
      </c>
      <c r="E151" s="12">
        <v>0.35</v>
      </c>
      <c r="F151" s="12">
        <v>0.5</v>
      </c>
      <c r="G151" s="12">
        <v>0.5</v>
      </c>
      <c r="H151" s="12">
        <v>0.5</v>
      </c>
      <c r="I151" s="12">
        <v>0.5</v>
      </c>
      <c r="J151" s="19">
        <v>0.5</v>
      </c>
      <c r="K151"/>
      <c r="L151"/>
      <c r="M151"/>
      <c r="N151"/>
      <c r="O151"/>
      <c r="P151"/>
      <c r="Q151"/>
      <c r="R151"/>
      <c r="AE151" s="12">
        <v>0.5</v>
      </c>
    </row>
    <row r="152" spans="2:31" ht="18" customHeight="1" x14ac:dyDescent="0.25">
      <c r="C152" s="60"/>
      <c r="D152" s="12"/>
      <c r="E152" s="12"/>
      <c r="F152" s="12"/>
      <c r="G152" s="12"/>
      <c r="H152" s="12"/>
      <c r="I152" s="12"/>
      <c r="J152" s="19"/>
      <c r="K152"/>
      <c r="L152"/>
      <c r="M152"/>
      <c r="N152"/>
      <c r="O152"/>
      <c r="P152"/>
      <c r="Q152"/>
      <c r="R152"/>
      <c r="AE152" s="12"/>
    </row>
    <row r="153" spans="2:31" ht="18" customHeight="1" x14ac:dyDescent="0.25">
      <c r="B153" s="8" t="s">
        <v>33</v>
      </c>
      <c r="C153" s="60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9">
        <v>0</v>
      </c>
      <c r="K153"/>
      <c r="L153"/>
      <c r="M153"/>
      <c r="N153"/>
      <c r="O153"/>
      <c r="P153"/>
      <c r="Q153"/>
      <c r="R153"/>
      <c r="AE153" s="12">
        <v>0</v>
      </c>
    </row>
    <row r="154" spans="2:31" ht="18" customHeight="1" x14ac:dyDescent="0.25">
      <c r="C154" s="56"/>
      <c r="D154"/>
      <c r="E154"/>
      <c r="F154"/>
      <c r="G154"/>
      <c r="H154"/>
      <c r="I154"/>
      <c r="J154" s="2"/>
      <c r="K154"/>
      <c r="L154"/>
      <c r="M154"/>
      <c r="N154"/>
      <c r="O154"/>
      <c r="P154"/>
      <c r="Q154"/>
      <c r="R154"/>
    </row>
    <row r="155" spans="2:31" ht="18" customHeight="1" x14ac:dyDescent="0.25">
      <c r="C155" s="56"/>
      <c r="D155"/>
      <c r="E155"/>
      <c r="F155"/>
      <c r="G155"/>
      <c r="H155"/>
      <c r="I155"/>
      <c r="J155" s="2"/>
      <c r="K155"/>
      <c r="L155"/>
      <c r="M155"/>
      <c r="N155"/>
      <c r="O155"/>
      <c r="P155"/>
      <c r="Q155"/>
      <c r="R155"/>
    </row>
    <row r="156" spans="2:31" ht="18" customHeight="1" x14ac:dyDescent="0.3">
      <c r="B156" s="3" t="s">
        <v>0</v>
      </c>
      <c r="C156" s="57" t="s">
        <v>38</v>
      </c>
      <c r="D156"/>
      <c r="E156"/>
      <c r="F156"/>
      <c r="G156"/>
      <c r="H156"/>
      <c r="I156"/>
      <c r="J156" s="2"/>
      <c r="K156"/>
      <c r="L156"/>
      <c r="M156"/>
      <c r="N156"/>
      <c r="O156"/>
      <c r="P156"/>
      <c r="Q156"/>
      <c r="R156"/>
    </row>
    <row r="157" spans="2:31" ht="18" customHeight="1" x14ac:dyDescent="0.25">
      <c r="B157" s="8" t="s">
        <v>3</v>
      </c>
      <c r="C157" s="57">
        <v>3</v>
      </c>
      <c r="D157"/>
      <c r="E157"/>
      <c r="F157"/>
      <c r="G157"/>
      <c r="H157"/>
      <c r="I157"/>
      <c r="J157" s="2"/>
      <c r="K157"/>
      <c r="L157"/>
      <c r="M157"/>
      <c r="N157"/>
      <c r="O157"/>
      <c r="P157"/>
      <c r="Q157"/>
      <c r="R157"/>
    </row>
    <row r="158" spans="2:31" ht="18" customHeight="1" x14ac:dyDescent="0.25">
      <c r="B158" s="8" t="s">
        <v>4</v>
      </c>
      <c r="C158" s="57" t="s">
        <v>26</v>
      </c>
      <c r="D158"/>
      <c r="E158"/>
      <c r="F158"/>
      <c r="G158"/>
      <c r="H158"/>
      <c r="I158"/>
      <c r="J158" s="2"/>
      <c r="K158"/>
      <c r="L158"/>
      <c r="M158"/>
      <c r="N158"/>
      <c r="O158"/>
      <c r="P158"/>
      <c r="Q158"/>
      <c r="R158"/>
    </row>
    <row r="159" spans="2:31" ht="18" customHeight="1" x14ac:dyDescent="0.25">
      <c r="B159" s="8" t="s">
        <v>6</v>
      </c>
      <c r="C159" s="61">
        <v>39770</v>
      </c>
      <c r="D159"/>
      <c r="E159"/>
      <c r="F159"/>
      <c r="G159"/>
      <c r="H159"/>
      <c r="I159"/>
      <c r="J159" s="2"/>
      <c r="K159"/>
      <c r="L159"/>
      <c r="M159"/>
      <c r="N159"/>
      <c r="O159"/>
      <c r="P159"/>
      <c r="Q159"/>
      <c r="R159"/>
    </row>
    <row r="160" spans="2:31" ht="18" customHeight="1" x14ac:dyDescent="0.3">
      <c r="B160" s="11" t="s">
        <v>9</v>
      </c>
      <c r="C160" s="59">
        <v>41590</v>
      </c>
      <c r="D160" s="10">
        <v>41716</v>
      </c>
      <c r="E160" s="10">
        <v>39980</v>
      </c>
      <c r="F160" s="10">
        <v>40197</v>
      </c>
      <c r="G160"/>
      <c r="H160"/>
      <c r="I160"/>
      <c r="J160" s="2"/>
      <c r="K160"/>
      <c r="L160"/>
      <c r="M160"/>
      <c r="N160"/>
      <c r="O160"/>
      <c r="P160"/>
      <c r="Q160"/>
      <c r="R160"/>
    </row>
    <row r="161" spans="2:18" ht="18" customHeight="1" x14ac:dyDescent="0.3">
      <c r="B161" s="11" t="s">
        <v>8</v>
      </c>
      <c r="C161" s="60"/>
      <c r="D161" s="12"/>
      <c r="E161" s="12"/>
      <c r="F161" s="12"/>
      <c r="G161"/>
      <c r="H161"/>
      <c r="I161"/>
      <c r="J161" s="2"/>
      <c r="K161"/>
      <c r="L161"/>
      <c r="M161"/>
      <c r="N161"/>
      <c r="O161"/>
      <c r="P161"/>
      <c r="Q161"/>
      <c r="R161"/>
    </row>
    <row r="162" spans="2:18" ht="18" customHeight="1" x14ac:dyDescent="0.3">
      <c r="B162" s="3" t="s">
        <v>11</v>
      </c>
      <c r="C162" s="60">
        <v>5.09</v>
      </c>
      <c r="D162" s="12">
        <v>5.01</v>
      </c>
      <c r="E162" s="12">
        <v>6.43</v>
      </c>
      <c r="F162" s="12">
        <v>6.37</v>
      </c>
      <c r="G162"/>
      <c r="H162"/>
      <c r="I162"/>
      <c r="J162" s="2"/>
      <c r="K162"/>
      <c r="L162"/>
      <c r="M162"/>
      <c r="N162"/>
      <c r="O162"/>
      <c r="P162"/>
      <c r="Q162"/>
      <c r="R162"/>
    </row>
    <row r="163" spans="2:18" ht="18" customHeight="1" x14ac:dyDescent="0.3">
      <c r="B163" s="3" t="s">
        <v>12</v>
      </c>
      <c r="C163" s="60">
        <v>1</v>
      </c>
      <c r="D163" s="12">
        <v>2</v>
      </c>
      <c r="E163" s="12">
        <v>0</v>
      </c>
      <c r="F163" s="12">
        <v>0</v>
      </c>
      <c r="G163"/>
      <c r="H163"/>
      <c r="I163"/>
      <c r="J163" s="2"/>
      <c r="K163"/>
      <c r="L163"/>
      <c r="M163"/>
      <c r="N163"/>
      <c r="O163"/>
      <c r="P163"/>
      <c r="Q163"/>
      <c r="R163"/>
    </row>
    <row r="164" spans="2:18" ht="18" customHeight="1" x14ac:dyDescent="0.3">
      <c r="B164" s="3" t="s">
        <v>13</v>
      </c>
      <c r="C164" s="60">
        <v>99</v>
      </c>
      <c r="D164" s="12">
        <v>98</v>
      </c>
      <c r="E164" s="12">
        <v>99</v>
      </c>
      <c r="F164" s="12">
        <v>100</v>
      </c>
      <c r="G164"/>
      <c r="H164"/>
      <c r="I164"/>
      <c r="J164" s="2"/>
      <c r="K164"/>
      <c r="L164"/>
      <c r="M164"/>
      <c r="N164"/>
      <c r="O164"/>
      <c r="P164"/>
      <c r="Q164"/>
      <c r="R164"/>
    </row>
    <row r="165" spans="2:18" ht="18" customHeight="1" x14ac:dyDescent="0.3">
      <c r="B165" s="3" t="s">
        <v>14</v>
      </c>
      <c r="C165" s="60">
        <v>99</v>
      </c>
      <c r="D165" s="12">
        <v>98</v>
      </c>
      <c r="E165" s="12">
        <v>99</v>
      </c>
      <c r="F165" s="12">
        <v>100</v>
      </c>
      <c r="G165"/>
      <c r="H165"/>
      <c r="I165"/>
      <c r="J165" s="2"/>
      <c r="K165"/>
      <c r="L165"/>
      <c r="M165"/>
      <c r="N165"/>
      <c r="O165"/>
      <c r="P165"/>
      <c r="Q165"/>
      <c r="R165"/>
    </row>
    <row r="166" spans="2:18" ht="18" customHeight="1" x14ac:dyDescent="0.25">
      <c r="B166" s="8"/>
      <c r="C166" s="60"/>
      <c r="D166" s="12"/>
      <c r="E166" s="12"/>
      <c r="F166" s="12"/>
      <c r="G166"/>
      <c r="H166"/>
      <c r="I166"/>
      <c r="J166" s="2"/>
      <c r="K166"/>
      <c r="L166"/>
      <c r="M166"/>
      <c r="N166"/>
      <c r="O166"/>
      <c r="P166"/>
      <c r="Q166"/>
      <c r="R166"/>
    </row>
    <row r="167" spans="2:18" ht="18" customHeight="1" x14ac:dyDescent="0.3">
      <c r="B167" s="11" t="s">
        <v>15</v>
      </c>
      <c r="C167" s="60" t="s">
        <v>16</v>
      </c>
      <c r="D167" s="12" t="s">
        <v>16</v>
      </c>
      <c r="E167" s="12" t="s">
        <v>16</v>
      </c>
      <c r="F167" s="12" t="s">
        <v>16</v>
      </c>
      <c r="G167"/>
      <c r="H167"/>
      <c r="I167"/>
      <c r="J167" s="2"/>
      <c r="K167"/>
      <c r="L167"/>
      <c r="M167"/>
      <c r="N167"/>
      <c r="O167"/>
      <c r="P167"/>
      <c r="Q167"/>
      <c r="R167"/>
    </row>
    <row r="168" spans="2:18" ht="18" customHeight="1" x14ac:dyDescent="0.3">
      <c r="B168" s="3" t="s">
        <v>17</v>
      </c>
      <c r="C168" s="60">
        <v>60</v>
      </c>
      <c r="D168" s="12">
        <v>60</v>
      </c>
      <c r="E168" s="12">
        <v>60</v>
      </c>
      <c r="F168" s="12">
        <v>60</v>
      </c>
      <c r="G168"/>
      <c r="H168"/>
      <c r="I168"/>
      <c r="J168" s="2"/>
      <c r="K168"/>
      <c r="L168"/>
      <c r="M168"/>
      <c r="N168"/>
      <c r="O168"/>
      <c r="P168"/>
      <c r="Q168"/>
      <c r="R168"/>
    </row>
    <row r="169" spans="2:18" ht="18" customHeight="1" x14ac:dyDescent="0.3">
      <c r="B169" s="3" t="s">
        <v>18</v>
      </c>
      <c r="C169" s="60">
        <v>120</v>
      </c>
      <c r="D169" s="12">
        <v>120</v>
      </c>
      <c r="E169" s="12">
        <v>120</v>
      </c>
      <c r="F169" s="12">
        <v>120</v>
      </c>
      <c r="G169"/>
      <c r="H169"/>
      <c r="I169"/>
      <c r="J169" s="2"/>
      <c r="K169"/>
      <c r="L169"/>
      <c r="M169"/>
      <c r="N169"/>
      <c r="O169"/>
      <c r="P169"/>
      <c r="Q169"/>
      <c r="R169"/>
    </row>
    <row r="170" spans="2:18" ht="18" customHeight="1" x14ac:dyDescent="0.25">
      <c r="C170" s="60"/>
      <c r="D170" s="12"/>
      <c r="E170" s="12"/>
      <c r="F170" s="12"/>
      <c r="G170"/>
      <c r="H170"/>
      <c r="I170"/>
      <c r="J170" s="2"/>
      <c r="K170"/>
      <c r="L170"/>
      <c r="M170"/>
      <c r="N170"/>
      <c r="O170"/>
      <c r="P170"/>
      <c r="Q170"/>
      <c r="R170"/>
    </row>
    <row r="171" spans="2:18" ht="18" customHeight="1" x14ac:dyDescent="0.3">
      <c r="B171" s="3" t="s">
        <v>19</v>
      </c>
      <c r="C171" s="60">
        <v>2</v>
      </c>
      <c r="D171" s="12">
        <v>2</v>
      </c>
      <c r="E171" s="12">
        <v>3.5</v>
      </c>
      <c r="F171" s="12">
        <v>2</v>
      </c>
      <c r="G171"/>
      <c r="H171"/>
      <c r="I171"/>
      <c r="J171" s="2"/>
      <c r="K171"/>
      <c r="L171"/>
      <c r="M171"/>
      <c r="N171"/>
      <c r="O171"/>
      <c r="P171"/>
      <c r="Q171"/>
      <c r="R171"/>
    </row>
    <row r="172" spans="2:18" ht="18" customHeight="1" x14ac:dyDescent="0.3">
      <c r="B172" s="3" t="s">
        <v>20</v>
      </c>
      <c r="C172" s="60">
        <v>0.35</v>
      </c>
      <c r="D172" s="12">
        <v>0.35</v>
      </c>
      <c r="E172" s="12">
        <v>0.35</v>
      </c>
      <c r="F172" s="12">
        <v>0.35</v>
      </c>
      <c r="G172"/>
      <c r="H172"/>
      <c r="I172"/>
      <c r="J172" s="2"/>
      <c r="K172"/>
      <c r="L172"/>
      <c r="M172"/>
      <c r="N172"/>
      <c r="O172"/>
      <c r="P172"/>
      <c r="Q172"/>
      <c r="R172"/>
    </row>
    <row r="173" spans="2:18" ht="18" customHeight="1" x14ac:dyDescent="0.3">
      <c r="B173" s="3" t="s">
        <v>21</v>
      </c>
      <c r="C173" s="60">
        <v>2.5</v>
      </c>
      <c r="D173" s="12">
        <v>2</v>
      </c>
      <c r="E173" s="12">
        <v>3.5</v>
      </c>
      <c r="F173" s="12">
        <v>2.5</v>
      </c>
      <c r="G173"/>
      <c r="H173"/>
      <c r="I173"/>
      <c r="J173" s="2"/>
      <c r="K173"/>
      <c r="L173"/>
      <c r="M173"/>
      <c r="N173"/>
      <c r="O173"/>
      <c r="P173"/>
      <c r="Q173"/>
      <c r="R173"/>
    </row>
    <row r="174" spans="2:18" ht="18" customHeight="1" x14ac:dyDescent="0.3">
      <c r="B174" s="3" t="s">
        <v>22</v>
      </c>
      <c r="C174" s="60">
        <v>0.35</v>
      </c>
      <c r="D174" s="12">
        <v>0.35</v>
      </c>
      <c r="E174" s="12">
        <v>0.35</v>
      </c>
      <c r="F174" s="12">
        <v>0.35</v>
      </c>
      <c r="G174"/>
      <c r="H174"/>
      <c r="I174"/>
      <c r="J174" s="2"/>
      <c r="K174"/>
      <c r="L174"/>
      <c r="M174"/>
      <c r="N174"/>
      <c r="O174"/>
      <c r="P174"/>
      <c r="Q174"/>
      <c r="R174"/>
    </row>
    <row r="175" spans="2:18" ht="18" customHeight="1" x14ac:dyDescent="0.3">
      <c r="B175" s="3" t="s">
        <v>23</v>
      </c>
      <c r="C175" s="60">
        <v>3.5</v>
      </c>
      <c r="D175" s="12">
        <v>2.5</v>
      </c>
      <c r="E175" s="12">
        <v>3.5</v>
      </c>
      <c r="F175" s="12">
        <v>3.5</v>
      </c>
      <c r="G175"/>
      <c r="H175"/>
      <c r="I175"/>
      <c r="J175" s="2"/>
      <c r="K175"/>
      <c r="L175"/>
      <c r="M175"/>
      <c r="N175"/>
      <c r="O175"/>
      <c r="P175"/>
      <c r="Q175"/>
      <c r="R175"/>
    </row>
    <row r="176" spans="2:18" ht="18" customHeight="1" x14ac:dyDescent="0.3">
      <c r="B176" s="3" t="s">
        <v>24</v>
      </c>
      <c r="C176" s="60">
        <v>0.35</v>
      </c>
      <c r="D176" s="12">
        <v>0.35</v>
      </c>
      <c r="E176" s="12">
        <v>0.35</v>
      </c>
      <c r="F176" s="12">
        <v>0.35</v>
      </c>
      <c r="G176"/>
      <c r="H176"/>
      <c r="I176"/>
      <c r="J176" s="2"/>
      <c r="K176"/>
      <c r="L176"/>
      <c r="M176"/>
      <c r="N176"/>
      <c r="O176"/>
      <c r="P176"/>
      <c r="Q176"/>
      <c r="R176"/>
    </row>
    <row r="177" spans="2:31" ht="18" customHeight="1" x14ac:dyDescent="0.25">
      <c r="C177" s="56"/>
      <c r="D177"/>
      <c r="E177"/>
      <c r="F177"/>
      <c r="G177"/>
      <c r="H177"/>
      <c r="I177"/>
      <c r="J177" s="2"/>
      <c r="K177"/>
      <c r="L177"/>
      <c r="M177"/>
      <c r="N177"/>
      <c r="O177"/>
      <c r="P177"/>
      <c r="Q177"/>
      <c r="R177"/>
    </row>
    <row r="178" spans="2:31" ht="18" customHeight="1" x14ac:dyDescent="0.25">
      <c r="B178" s="8" t="s">
        <v>33</v>
      </c>
      <c r="C178" s="56"/>
      <c r="D178"/>
      <c r="E178"/>
      <c r="F178"/>
      <c r="G178"/>
      <c r="H178"/>
      <c r="I178"/>
      <c r="J178" s="2"/>
      <c r="K178"/>
      <c r="L178"/>
      <c r="M178"/>
      <c r="N178"/>
      <c r="O178"/>
      <c r="P178"/>
      <c r="Q178"/>
      <c r="R178"/>
    </row>
    <row r="179" spans="2:31" ht="18" customHeight="1" x14ac:dyDescent="0.25">
      <c r="C179" s="56"/>
      <c r="D179"/>
      <c r="E179"/>
      <c r="F179"/>
      <c r="G179"/>
      <c r="H179"/>
      <c r="I179"/>
      <c r="J179" s="2"/>
      <c r="K179"/>
      <c r="L179"/>
      <c r="M179"/>
      <c r="N179"/>
      <c r="O179"/>
      <c r="P179"/>
      <c r="Q179"/>
      <c r="R179"/>
    </row>
    <row r="180" spans="2:31" ht="18" customHeight="1" x14ac:dyDescent="0.25">
      <c r="C180" s="56"/>
      <c r="D180"/>
      <c r="E180"/>
      <c r="F180"/>
      <c r="G180"/>
      <c r="H180"/>
      <c r="I180"/>
      <c r="J180" s="2"/>
      <c r="K180"/>
      <c r="L180"/>
      <c r="M180"/>
      <c r="N180"/>
      <c r="O180"/>
      <c r="P180"/>
      <c r="Q180"/>
      <c r="R180"/>
    </row>
    <row r="181" spans="2:31" ht="18" customHeight="1" x14ac:dyDescent="0.3">
      <c r="B181" s="3" t="s">
        <v>0</v>
      </c>
      <c r="C181" s="57" t="s">
        <v>39</v>
      </c>
      <c r="D181"/>
      <c r="E181"/>
      <c r="F181"/>
      <c r="G181"/>
      <c r="H181"/>
      <c r="I181"/>
      <c r="J181" s="2"/>
      <c r="K181"/>
      <c r="L181"/>
      <c r="M181"/>
      <c r="N181"/>
      <c r="O181"/>
      <c r="P181"/>
      <c r="Q181"/>
      <c r="R181"/>
    </row>
    <row r="182" spans="2:31" ht="18" customHeight="1" x14ac:dyDescent="0.25">
      <c r="B182" s="8" t="s">
        <v>3</v>
      </c>
      <c r="C182" s="57">
        <v>3</v>
      </c>
      <c r="D182"/>
      <c r="E182"/>
      <c r="F182"/>
      <c r="G182"/>
      <c r="H182"/>
      <c r="I182"/>
      <c r="J182" s="2"/>
      <c r="K182"/>
      <c r="L182"/>
      <c r="M182"/>
      <c r="N182"/>
      <c r="O182"/>
      <c r="P182"/>
      <c r="Q182"/>
      <c r="R182"/>
    </row>
    <row r="183" spans="2:31" ht="18" customHeight="1" x14ac:dyDescent="0.25">
      <c r="B183" s="8" t="s">
        <v>4</v>
      </c>
      <c r="C183" s="57" t="s">
        <v>26</v>
      </c>
      <c r="D183"/>
      <c r="E183"/>
      <c r="F183"/>
      <c r="G183"/>
      <c r="H183"/>
      <c r="I183"/>
      <c r="J183" s="2"/>
      <c r="K183"/>
      <c r="L183"/>
      <c r="M183"/>
      <c r="N183"/>
      <c r="O183"/>
      <c r="P183"/>
      <c r="Q183"/>
      <c r="R183"/>
    </row>
    <row r="184" spans="2:31" ht="18" customHeight="1" x14ac:dyDescent="0.25">
      <c r="B184" s="8" t="s">
        <v>6</v>
      </c>
      <c r="C184" s="74">
        <v>-617674</v>
      </c>
      <c r="D184"/>
      <c r="E184"/>
      <c r="F184"/>
      <c r="G184"/>
      <c r="H184"/>
      <c r="I184"/>
      <c r="J184" s="2"/>
      <c r="K184"/>
      <c r="L184"/>
      <c r="M184"/>
      <c r="N184"/>
      <c r="O184"/>
      <c r="P184"/>
      <c r="Q184"/>
      <c r="R184"/>
    </row>
    <row r="185" spans="2:31" ht="18" customHeight="1" x14ac:dyDescent="0.3">
      <c r="B185" s="11" t="s">
        <v>9</v>
      </c>
      <c r="C185" s="59">
        <v>41576</v>
      </c>
      <c r="D185" s="10">
        <v>41499</v>
      </c>
      <c r="E185" s="10">
        <v>41401</v>
      </c>
      <c r="F185" s="10">
        <v>41219</v>
      </c>
      <c r="G185" s="10">
        <v>41114</v>
      </c>
      <c r="H185" s="10">
        <v>41009</v>
      </c>
      <c r="I185" s="10">
        <v>40820</v>
      </c>
      <c r="J185" s="22">
        <v>39763</v>
      </c>
      <c r="K185" s="10">
        <v>39982</v>
      </c>
      <c r="L185" s="10">
        <v>40190</v>
      </c>
      <c r="M185" s="10">
        <v>40344</v>
      </c>
      <c r="N185"/>
      <c r="O185"/>
      <c r="P185"/>
      <c r="Q185"/>
      <c r="R185"/>
      <c r="AE185" s="10">
        <v>41009</v>
      </c>
    </row>
    <row r="186" spans="2:31" ht="18" customHeight="1" x14ac:dyDescent="0.3">
      <c r="B186" s="11" t="s">
        <v>8</v>
      </c>
      <c r="C186" s="60"/>
      <c r="D186" s="12"/>
      <c r="E186" s="12"/>
      <c r="F186" s="12"/>
      <c r="G186" s="12"/>
      <c r="H186" s="12"/>
      <c r="I186" s="12"/>
      <c r="J186" s="19"/>
      <c r="K186" s="12"/>
      <c r="L186" s="12"/>
      <c r="M186" s="12"/>
      <c r="N186"/>
      <c r="O186"/>
      <c r="P186"/>
      <c r="Q186"/>
      <c r="R186"/>
      <c r="AE186" s="12"/>
    </row>
    <row r="187" spans="2:31" ht="18" customHeight="1" x14ac:dyDescent="0.3">
      <c r="B187" s="3" t="s">
        <v>11</v>
      </c>
      <c r="C187" s="60">
        <v>4.6399999999999997</v>
      </c>
      <c r="D187" s="12">
        <v>4.8899999999999997</v>
      </c>
      <c r="E187" s="12">
        <v>5.0599999999999996</v>
      </c>
      <c r="F187" s="12">
        <v>5.1100000000000003</v>
      </c>
      <c r="G187" s="12">
        <v>5.13</v>
      </c>
      <c r="H187" s="12">
        <v>5.14</v>
      </c>
      <c r="I187" s="12">
        <v>5.23</v>
      </c>
      <c r="J187" s="19">
        <v>6.46</v>
      </c>
      <c r="K187" s="12">
        <v>6.44</v>
      </c>
      <c r="L187" s="12">
        <v>6.37</v>
      </c>
      <c r="M187" s="12">
        <v>6.24</v>
      </c>
      <c r="N187"/>
      <c r="O187"/>
      <c r="P187"/>
      <c r="Q187"/>
      <c r="R187"/>
      <c r="AE187" s="12">
        <v>5.14</v>
      </c>
    </row>
    <row r="188" spans="2:31" ht="18" customHeight="1" x14ac:dyDescent="0.3">
      <c r="B188" s="3" t="s">
        <v>12</v>
      </c>
      <c r="C188" s="60">
        <v>0</v>
      </c>
      <c r="D188" s="12">
        <v>0</v>
      </c>
      <c r="E188" s="12">
        <v>0</v>
      </c>
      <c r="F188" s="12">
        <v>29</v>
      </c>
      <c r="G188" s="12">
        <v>27</v>
      </c>
      <c r="H188" s="12">
        <v>31</v>
      </c>
      <c r="I188" s="12">
        <v>39</v>
      </c>
      <c r="J188" s="19">
        <v>0</v>
      </c>
      <c r="K188" s="12">
        <v>27</v>
      </c>
      <c r="L188" s="12">
        <v>18</v>
      </c>
      <c r="M188" s="12">
        <v>13</v>
      </c>
      <c r="N188"/>
      <c r="O188"/>
      <c r="P188"/>
      <c r="Q188"/>
      <c r="R188"/>
      <c r="AE188" s="12">
        <v>31</v>
      </c>
    </row>
    <row r="189" spans="2:31" ht="18" customHeight="1" x14ac:dyDescent="0.3">
      <c r="B189" s="3" t="s">
        <v>13</v>
      </c>
      <c r="C189" s="60">
        <v>91</v>
      </c>
      <c r="D189" s="12">
        <v>70</v>
      </c>
      <c r="E189" s="12">
        <v>58</v>
      </c>
      <c r="F189" s="12">
        <v>92</v>
      </c>
      <c r="G189" s="12">
        <v>93</v>
      </c>
      <c r="H189" s="12">
        <v>91</v>
      </c>
      <c r="I189" s="12">
        <v>92</v>
      </c>
      <c r="J189" s="19">
        <v>100</v>
      </c>
      <c r="K189" s="12">
        <v>94</v>
      </c>
      <c r="L189" s="12">
        <v>95</v>
      </c>
      <c r="M189" s="12">
        <v>89</v>
      </c>
      <c r="N189"/>
      <c r="O189"/>
      <c r="P189"/>
      <c r="Q189"/>
      <c r="R189"/>
      <c r="AE189" s="12">
        <v>91</v>
      </c>
    </row>
    <row r="190" spans="2:31" ht="18" customHeight="1" x14ac:dyDescent="0.3">
      <c r="B190" s="3" t="s">
        <v>14</v>
      </c>
      <c r="C190" s="60">
        <v>91</v>
      </c>
      <c r="D190" s="12">
        <v>70</v>
      </c>
      <c r="E190" s="12">
        <v>58</v>
      </c>
      <c r="F190" s="12">
        <v>92</v>
      </c>
      <c r="G190" s="12">
        <v>93</v>
      </c>
      <c r="H190" s="12">
        <v>91</v>
      </c>
      <c r="I190" s="12">
        <v>92</v>
      </c>
      <c r="J190" s="19">
        <v>100</v>
      </c>
      <c r="K190" s="12">
        <v>94</v>
      </c>
      <c r="L190" s="12">
        <v>95</v>
      </c>
      <c r="M190" s="12">
        <v>89</v>
      </c>
      <c r="N190"/>
      <c r="O190"/>
      <c r="P190"/>
      <c r="Q190"/>
      <c r="R190"/>
      <c r="AE190" s="12">
        <v>91</v>
      </c>
    </row>
    <row r="191" spans="2:31" ht="18" customHeight="1" x14ac:dyDescent="0.25">
      <c r="B191" s="8"/>
      <c r="C191" s="60"/>
      <c r="D191" s="12"/>
      <c r="E191" s="12"/>
      <c r="F191" s="12"/>
      <c r="G191" s="12"/>
      <c r="H191" s="12"/>
      <c r="I191" s="12"/>
      <c r="J191" s="19"/>
      <c r="K191" s="12"/>
      <c r="L191" s="12"/>
      <c r="M191" s="12"/>
      <c r="N191"/>
      <c r="O191"/>
      <c r="P191"/>
      <c r="Q191"/>
      <c r="R191"/>
      <c r="AE191" s="12"/>
    </row>
    <row r="192" spans="2:31" ht="18" customHeight="1" x14ac:dyDescent="0.3">
      <c r="B192" s="11" t="s">
        <v>15</v>
      </c>
      <c r="C192" s="60" t="s">
        <v>35</v>
      </c>
      <c r="D192" s="12" t="s">
        <v>35</v>
      </c>
      <c r="E192" s="12" t="s">
        <v>16</v>
      </c>
      <c r="F192" s="12" t="s">
        <v>16</v>
      </c>
      <c r="G192" s="12" t="s">
        <v>16</v>
      </c>
      <c r="H192" s="12" t="s">
        <v>16</v>
      </c>
      <c r="I192" s="12" t="s">
        <v>16</v>
      </c>
      <c r="J192" s="19" t="s">
        <v>16</v>
      </c>
      <c r="K192" s="12" t="s">
        <v>16</v>
      </c>
      <c r="L192" s="12" t="s">
        <v>16</v>
      </c>
      <c r="M192" s="12" t="s">
        <v>16</v>
      </c>
      <c r="N192"/>
      <c r="O192"/>
      <c r="P192"/>
      <c r="Q192"/>
      <c r="R192"/>
      <c r="AE192" s="12" t="s">
        <v>16</v>
      </c>
    </row>
    <row r="193" spans="2:31" ht="18" customHeight="1" x14ac:dyDescent="0.3">
      <c r="B193" s="3" t="s">
        <v>17</v>
      </c>
      <c r="C193" s="60">
        <v>70</v>
      </c>
      <c r="D193" s="12">
        <v>70</v>
      </c>
      <c r="E193" s="12">
        <v>60</v>
      </c>
      <c r="F193" s="12">
        <v>60</v>
      </c>
      <c r="G193" s="12">
        <v>60</v>
      </c>
      <c r="H193" s="12">
        <v>60</v>
      </c>
      <c r="I193" s="12">
        <v>60</v>
      </c>
      <c r="J193" s="19">
        <v>60</v>
      </c>
      <c r="K193" s="12">
        <v>60</v>
      </c>
      <c r="L193" s="12">
        <v>60</v>
      </c>
      <c r="M193" s="12">
        <v>60</v>
      </c>
      <c r="N193"/>
      <c r="O193"/>
      <c r="P193"/>
      <c r="Q193"/>
      <c r="R193"/>
      <c r="AE193" s="12">
        <v>60</v>
      </c>
    </row>
    <row r="194" spans="2:31" ht="18" customHeight="1" x14ac:dyDescent="0.3">
      <c r="B194" s="3" t="s">
        <v>18</v>
      </c>
      <c r="C194" s="60">
        <v>110</v>
      </c>
      <c r="D194" s="12">
        <v>110</v>
      </c>
      <c r="E194" s="12">
        <v>120</v>
      </c>
      <c r="F194" s="12">
        <v>120</v>
      </c>
      <c r="G194" s="12">
        <v>120</v>
      </c>
      <c r="H194" s="12">
        <v>120</v>
      </c>
      <c r="I194" s="12">
        <v>120</v>
      </c>
      <c r="J194" s="19">
        <v>120</v>
      </c>
      <c r="K194" s="12">
        <v>120</v>
      </c>
      <c r="L194" s="12">
        <v>120</v>
      </c>
      <c r="M194" s="12">
        <v>120</v>
      </c>
      <c r="N194"/>
      <c r="O194"/>
      <c r="P194"/>
      <c r="Q194"/>
      <c r="R194"/>
      <c r="AE194" s="12">
        <v>120</v>
      </c>
    </row>
    <row r="195" spans="2:31" ht="18" customHeight="1" x14ac:dyDescent="0.25">
      <c r="C195" s="60"/>
      <c r="D195" s="12"/>
      <c r="E195" s="12"/>
      <c r="F195" s="12"/>
      <c r="G195" s="12"/>
      <c r="H195" s="12"/>
      <c r="I195" s="12"/>
      <c r="J195" s="19"/>
      <c r="K195" s="12"/>
      <c r="L195" s="12"/>
      <c r="M195" s="12"/>
      <c r="N195"/>
      <c r="O195"/>
      <c r="P195"/>
      <c r="Q195"/>
      <c r="R195"/>
      <c r="AE195" s="12"/>
    </row>
    <row r="196" spans="2:31" ht="18" customHeight="1" x14ac:dyDescent="0.3">
      <c r="B196" s="3" t="s">
        <v>19</v>
      </c>
      <c r="C196" s="60">
        <v>0</v>
      </c>
      <c r="D196" s="12">
        <v>0</v>
      </c>
      <c r="E196" s="12">
        <v>3.5</v>
      </c>
      <c r="F196" s="12">
        <v>3.5</v>
      </c>
      <c r="G196" s="12">
        <v>3.5</v>
      </c>
      <c r="H196" s="12">
        <v>3.5</v>
      </c>
      <c r="I196" s="12">
        <v>3.5</v>
      </c>
      <c r="J196" s="19">
        <v>3.5</v>
      </c>
      <c r="K196" s="12">
        <v>3.5</v>
      </c>
      <c r="L196" s="12">
        <v>3.5</v>
      </c>
      <c r="M196" s="12">
        <v>3.5</v>
      </c>
      <c r="N196"/>
      <c r="O196"/>
      <c r="P196"/>
      <c r="Q196"/>
      <c r="R196"/>
      <c r="AE196" s="12">
        <v>3.5</v>
      </c>
    </row>
    <row r="197" spans="2:31" ht="18" customHeight="1" x14ac:dyDescent="0.3">
      <c r="B197" s="3" t="s">
        <v>20</v>
      </c>
      <c r="C197" s="60">
        <v>0</v>
      </c>
      <c r="D197" s="12">
        <v>0</v>
      </c>
      <c r="E197" s="12">
        <v>0.35</v>
      </c>
      <c r="F197" s="12">
        <v>0.35</v>
      </c>
      <c r="G197" s="12">
        <v>0.35</v>
      </c>
      <c r="H197" s="12">
        <v>0.35</v>
      </c>
      <c r="I197" s="12">
        <v>0.35</v>
      </c>
      <c r="J197" s="19">
        <v>0.35</v>
      </c>
      <c r="K197" s="12">
        <v>0.35</v>
      </c>
      <c r="L197" s="12">
        <v>0.35</v>
      </c>
      <c r="M197" s="12">
        <v>0.35</v>
      </c>
      <c r="N197"/>
      <c r="O197"/>
      <c r="P197"/>
      <c r="Q197"/>
      <c r="R197"/>
      <c r="AE197" s="12">
        <v>0.35</v>
      </c>
    </row>
    <row r="198" spans="2:31" ht="18" customHeight="1" x14ac:dyDescent="0.3">
      <c r="B198" s="3" t="s">
        <v>21</v>
      </c>
      <c r="C198" s="60">
        <v>2</v>
      </c>
      <c r="D198" s="12">
        <v>2</v>
      </c>
      <c r="E198" s="12">
        <v>3</v>
      </c>
      <c r="F198" s="12">
        <v>3</v>
      </c>
      <c r="G198" s="12">
        <v>3</v>
      </c>
      <c r="H198" s="12">
        <v>3</v>
      </c>
      <c r="I198" s="12">
        <v>3</v>
      </c>
      <c r="J198" s="19">
        <v>3.5</v>
      </c>
      <c r="K198" s="12">
        <v>3.5</v>
      </c>
      <c r="L198" s="12">
        <v>3.5</v>
      </c>
      <c r="M198" s="12">
        <v>2.5</v>
      </c>
      <c r="N198"/>
      <c r="O198"/>
      <c r="P198"/>
      <c r="Q198"/>
      <c r="R198"/>
      <c r="AE198" s="12">
        <v>3</v>
      </c>
    </row>
    <row r="199" spans="2:31" ht="18" customHeight="1" x14ac:dyDescent="0.3">
      <c r="B199" s="3" t="s">
        <v>22</v>
      </c>
      <c r="C199" s="60">
        <v>0.35</v>
      </c>
      <c r="D199" s="12">
        <v>0.35</v>
      </c>
      <c r="E199" s="12">
        <v>0.35</v>
      </c>
      <c r="F199" s="12">
        <v>0.35</v>
      </c>
      <c r="G199" s="12">
        <v>0.35</v>
      </c>
      <c r="H199" s="12">
        <v>0.35</v>
      </c>
      <c r="I199" s="12">
        <v>0.35</v>
      </c>
      <c r="J199" s="19">
        <v>0.35</v>
      </c>
      <c r="K199" s="12">
        <v>0.35</v>
      </c>
      <c r="L199" s="12">
        <v>0.35</v>
      </c>
      <c r="M199" s="12">
        <v>0.35</v>
      </c>
      <c r="N199"/>
      <c r="O199"/>
      <c r="P199"/>
      <c r="Q199"/>
      <c r="R199"/>
      <c r="AE199" s="12">
        <v>0.35</v>
      </c>
    </row>
    <row r="200" spans="2:31" ht="18" customHeight="1" x14ac:dyDescent="0.3">
      <c r="B200" s="3" t="s">
        <v>23</v>
      </c>
      <c r="C200" s="60">
        <v>4.5</v>
      </c>
      <c r="D200" s="12">
        <v>4.5</v>
      </c>
      <c r="E200" s="12">
        <v>4.5</v>
      </c>
      <c r="F200" s="12">
        <v>4.5</v>
      </c>
      <c r="G200" s="12">
        <v>4.5</v>
      </c>
      <c r="H200" s="12">
        <v>4.5</v>
      </c>
      <c r="I200" s="12">
        <v>4.5</v>
      </c>
      <c r="J200" s="19">
        <v>3.5</v>
      </c>
      <c r="K200" s="12">
        <v>3.5</v>
      </c>
      <c r="L200" s="12">
        <v>3.5</v>
      </c>
      <c r="M200" s="12">
        <v>4.5</v>
      </c>
      <c r="N200"/>
      <c r="O200"/>
      <c r="P200"/>
      <c r="Q200"/>
      <c r="R200"/>
      <c r="AE200" s="12">
        <v>4.5</v>
      </c>
    </row>
    <row r="201" spans="2:31" ht="18" customHeight="1" x14ac:dyDescent="0.3">
      <c r="B201" s="3" t="s">
        <v>24</v>
      </c>
      <c r="C201" s="60">
        <v>1</v>
      </c>
      <c r="D201" s="12">
        <v>1</v>
      </c>
      <c r="E201" s="12">
        <v>1</v>
      </c>
      <c r="F201" s="12">
        <v>1</v>
      </c>
      <c r="G201" s="12">
        <v>1</v>
      </c>
      <c r="H201" s="12">
        <v>1</v>
      </c>
      <c r="I201" s="12">
        <v>1</v>
      </c>
      <c r="J201" s="19">
        <v>0.35</v>
      </c>
      <c r="K201" s="12">
        <v>0.35</v>
      </c>
      <c r="L201" s="12">
        <v>0.35</v>
      </c>
      <c r="M201" s="12">
        <v>1</v>
      </c>
      <c r="N201"/>
      <c r="O201"/>
      <c r="P201"/>
      <c r="Q201"/>
      <c r="R201"/>
      <c r="AE201" s="12">
        <v>1</v>
      </c>
    </row>
    <row r="202" spans="2:31" x14ac:dyDescent="0.25">
      <c r="C202" s="56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2:31" ht="18" customHeight="1" x14ac:dyDescent="0.25">
      <c r="B203" s="8" t="s">
        <v>33</v>
      </c>
      <c r="C203" s="56"/>
      <c r="D203"/>
      <c r="E203"/>
      <c r="F203"/>
      <c r="G203"/>
      <c r="H203"/>
      <c r="I203"/>
      <c r="J203"/>
      <c r="K203"/>
      <c r="L203" s="4">
        <v>300</v>
      </c>
      <c r="M203" s="4">
        <v>800</v>
      </c>
      <c r="N203"/>
      <c r="O203"/>
      <c r="P203"/>
      <c r="Q203"/>
      <c r="R203"/>
    </row>
    <row r="204" spans="2:31" x14ac:dyDescent="0.25">
      <c r="C204" s="56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2:31" x14ac:dyDescent="0.25">
      <c r="C205" s="56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2:31" x14ac:dyDescent="0.25">
      <c r="C206" s="5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2:31" x14ac:dyDescent="0.25">
      <c r="C207" s="56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2:31" x14ac:dyDescent="0.25">
      <c r="C208" s="56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2:31" x14ac:dyDescent="0.25">
      <c r="C209" s="56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2:31" x14ac:dyDescent="0.25">
      <c r="C210" s="56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2:31" x14ac:dyDescent="0.25">
      <c r="C211" s="56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2:31" ht="18" customHeight="1" x14ac:dyDescent="0.3">
      <c r="B212" s="3" t="s">
        <v>0</v>
      </c>
      <c r="C212" s="57" t="s">
        <v>40</v>
      </c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2:31" ht="18" customHeight="1" x14ac:dyDescent="0.25">
      <c r="B213" s="8" t="s">
        <v>3</v>
      </c>
      <c r="C213" s="57">
        <v>2</v>
      </c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2:31" ht="18" customHeight="1" x14ac:dyDescent="0.25">
      <c r="B214" s="8"/>
      <c r="C214" s="56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2:31" ht="18" customHeight="1" x14ac:dyDescent="0.25">
      <c r="B215" s="8" t="s">
        <v>6</v>
      </c>
      <c r="C215" s="61">
        <v>39119</v>
      </c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2:31" ht="18" customHeight="1" x14ac:dyDescent="0.3">
      <c r="B216" s="11" t="s">
        <v>9</v>
      </c>
      <c r="C216" s="61">
        <v>40687</v>
      </c>
      <c r="D216" s="13">
        <v>40890</v>
      </c>
      <c r="E216" s="13">
        <v>41212</v>
      </c>
      <c r="F216" s="13">
        <v>41394</v>
      </c>
      <c r="G216" s="13">
        <v>41506</v>
      </c>
      <c r="H216" s="13">
        <v>41596</v>
      </c>
      <c r="I216" s="13">
        <v>41701</v>
      </c>
      <c r="J216" s="23">
        <v>41799</v>
      </c>
      <c r="K216" s="13">
        <v>41904</v>
      </c>
      <c r="L216" s="13">
        <v>41982</v>
      </c>
      <c r="M216"/>
      <c r="N216"/>
      <c r="O216"/>
      <c r="P216"/>
      <c r="Q216"/>
      <c r="R216"/>
      <c r="AE216" s="13">
        <v>41596</v>
      </c>
    </row>
    <row r="217" spans="2:31" ht="18" customHeight="1" x14ac:dyDescent="0.3">
      <c r="B217" s="11" t="s">
        <v>8</v>
      </c>
      <c r="C217" s="56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2:31" ht="18" customHeight="1" x14ac:dyDescent="0.3">
      <c r="B218" s="3" t="s">
        <v>11</v>
      </c>
      <c r="C218" s="57">
        <v>5.44</v>
      </c>
      <c r="D218" s="4">
        <v>5.27</v>
      </c>
      <c r="E218" s="4">
        <v>5.17</v>
      </c>
      <c r="F218" s="4">
        <v>5.15</v>
      </c>
      <c r="G218" s="4">
        <v>5.14</v>
      </c>
      <c r="H218" s="4">
        <v>5.13</v>
      </c>
      <c r="I218" s="4">
        <v>5.13</v>
      </c>
      <c r="J218" s="24">
        <v>5.07</v>
      </c>
      <c r="K218" s="4">
        <v>4.9800000000000004</v>
      </c>
      <c r="L218" s="4">
        <v>4.84</v>
      </c>
      <c r="M218"/>
      <c r="N218"/>
      <c r="O218"/>
      <c r="P218"/>
      <c r="Q218"/>
      <c r="R218"/>
      <c r="AE218" s="4">
        <v>5.13</v>
      </c>
    </row>
    <row r="219" spans="2:31" ht="18" customHeight="1" x14ac:dyDescent="0.3">
      <c r="B219" s="3" t="s">
        <v>12</v>
      </c>
      <c r="C219" s="57">
        <v>13</v>
      </c>
      <c r="D219" s="4">
        <v>9</v>
      </c>
      <c r="E219" s="4">
        <v>1</v>
      </c>
      <c r="F219" s="4">
        <v>2</v>
      </c>
      <c r="G219" s="4">
        <v>2</v>
      </c>
      <c r="H219" s="4">
        <v>6</v>
      </c>
      <c r="I219" s="4">
        <v>4</v>
      </c>
      <c r="J219" s="24">
        <v>3</v>
      </c>
      <c r="K219" s="4">
        <v>2</v>
      </c>
      <c r="L219" s="4">
        <v>3</v>
      </c>
      <c r="M219"/>
      <c r="N219"/>
      <c r="O219"/>
      <c r="P219"/>
      <c r="Q219"/>
      <c r="R219"/>
      <c r="AE219" s="4">
        <v>6</v>
      </c>
    </row>
    <row r="220" spans="2:31" ht="18" customHeight="1" x14ac:dyDescent="0.3">
      <c r="B220" s="3" t="s">
        <v>13</v>
      </c>
      <c r="C220" s="57">
        <v>0</v>
      </c>
      <c r="D220" s="4">
        <v>0</v>
      </c>
      <c r="E220" s="4">
        <v>0</v>
      </c>
      <c r="F220" s="4">
        <v>0</v>
      </c>
      <c r="G220"/>
      <c r="H220"/>
      <c r="I220"/>
      <c r="J220"/>
      <c r="K220"/>
      <c r="L220"/>
      <c r="M220"/>
      <c r="N220"/>
      <c r="O220"/>
      <c r="P220"/>
      <c r="Q220"/>
      <c r="R220"/>
    </row>
    <row r="221" spans="2:31" ht="18" customHeight="1" x14ac:dyDescent="0.3">
      <c r="B221" s="3" t="s">
        <v>14</v>
      </c>
      <c r="C221" s="56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2:31" ht="18" customHeight="1" x14ac:dyDescent="0.25">
      <c r="B222" s="8" t="s">
        <v>41</v>
      </c>
      <c r="C222" s="57" t="s">
        <v>42</v>
      </c>
      <c r="D222" s="4" t="s">
        <v>42</v>
      </c>
      <c r="E222" s="4" t="s">
        <v>42</v>
      </c>
      <c r="F222" s="4" t="s">
        <v>42</v>
      </c>
      <c r="G222" s="4" t="s">
        <v>42</v>
      </c>
      <c r="H222" s="4" t="s">
        <v>42</v>
      </c>
      <c r="I222" s="4" t="s">
        <v>42</v>
      </c>
      <c r="J222" s="24" t="s">
        <v>42</v>
      </c>
      <c r="K222" s="4" t="s">
        <v>42</v>
      </c>
      <c r="L222" s="4" t="s">
        <v>42</v>
      </c>
      <c r="M222"/>
      <c r="N222"/>
      <c r="O222"/>
      <c r="P222"/>
      <c r="Q222"/>
      <c r="R222"/>
      <c r="AE222" s="4" t="s">
        <v>42</v>
      </c>
    </row>
    <row r="223" spans="2:31" ht="18" customHeight="1" x14ac:dyDescent="0.3">
      <c r="B223" s="11" t="s">
        <v>15</v>
      </c>
      <c r="C223" s="56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2:31" ht="18" customHeight="1" x14ac:dyDescent="0.3">
      <c r="B224" s="3" t="s">
        <v>17</v>
      </c>
      <c r="C224" s="57">
        <v>60</v>
      </c>
      <c r="D224" s="4">
        <v>60</v>
      </c>
      <c r="E224" s="4">
        <v>60</v>
      </c>
      <c r="F224" s="4">
        <v>60</v>
      </c>
      <c r="G224" s="4">
        <v>60</v>
      </c>
      <c r="H224" s="4">
        <v>60</v>
      </c>
      <c r="I224" s="4">
        <v>60</v>
      </c>
      <c r="J224" s="24">
        <v>60</v>
      </c>
      <c r="K224" s="4">
        <v>60</v>
      </c>
      <c r="L224" s="4">
        <v>60</v>
      </c>
      <c r="M224"/>
      <c r="N224"/>
      <c r="O224"/>
      <c r="P224"/>
      <c r="Q224"/>
      <c r="R224"/>
      <c r="AE224" s="4">
        <v>60</v>
      </c>
    </row>
    <row r="225" spans="2:31" ht="18" customHeight="1" x14ac:dyDescent="0.3">
      <c r="B225" s="3" t="s">
        <v>18</v>
      </c>
      <c r="C225" s="57" t="s">
        <v>43</v>
      </c>
      <c r="D225" s="4" t="s">
        <v>43</v>
      </c>
      <c r="E225" s="4" t="s">
        <v>43</v>
      </c>
      <c r="F225" s="4" t="s">
        <v>43</v>
      </c>
      <c r="G225" s="4" t="s">
        <v>43</v>
      </c>
      <c r="H225" s="4" t="s">
        <v>43</v>
      </c>
      <c r="I225" s="4" t="s">
        <v>43</v>
      </c>
      <c r="J225" s="24" t="s">
        <v>43</v>
      </c>
      <c r="K225" s="4" t="s">
        <v>43</v>
      </c>
      <c r="L225" s="4" t="s">
        <v>43</v>
      </c>
      <c r="M225"/>
      <c r="N225"/>
      <c r="O225"/>
      <c r="P225"/>
      <c r="Q225"/>
      <c r="R225"/>
      <c r="AE225" s="4" t="s">
        <v>43</v>
      </c>
    </row>
    <row r="226" spans="2:31" x14ac:dyDescent="0.25">
      <c r="C226" s="5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2:31" ht="18" customHeight="1" x14ac:dyDescent="0.3">
      <c r="B227" s="3" t="s">
        <v>19</v>
      </c>
      <c r="C227" s="57">
        <v>2</v>
      </c>
      <c r="D227" s="4">
        <v>2</v>
      </c>
      <c r="E227" s="4">
        <v>2</v>
      </c>
      <c r="F227" s="4">
        <v>2</v>
      </c>
      <c r="G227" s="4">
        <v>2</v>
      </c>
      <c r="H227" s="4">
        <v>2</v>
      </c>
      <c r="I227" s="4">
        <v>2</v>
      </c>
      <c r="J227" s="24">
        <v>2</v>
      </c>
      <c r="K227" s="4">
        <v>2</v>
      </c>
      <c r="L227" s="4">
        <v>2</v>
      </c>
      <c r="M227"/>
      <c r="N227"/>
      <c r="O227"/>
      <c r="P227"/>
      <c r="Q227"/>
      <c r="R227"/>
      <c r="AE227" s="4">
        <v>2</v>
      </c>
    </row>
    <row r="228" spans="2:31" ht="18" customHeight="1" x14ac:dyDescent="0.3">
      <c r="B228" s="3" t="s">
        <v>20</v>
      </c>
      <c r="C228" s="57">
        <v>0.35</v>
      </c>
      <c r="D228" s="4">
        <v>0.35</v>
      </c>
      <c r="E228" s="4">
        <v>0.35</v>
      </c>
      <c r="F228" s="4">
        <v>0.35</v>
      </c>
      <c r="G228" s="4">
        <v>0.35</v>
      </c>
      <c r="H228" s="4">
        <v>0.35</v>
      </c>
      <c r="I228" s="4">
        <v>0.35</v>
      </c>
      <c r="J228" s="24">
        <v>0.35</v>
      </c>
      <c r="K228" s="4">
        <v>0.35</v>
      </c>
      <c r="L228" s="4">
        <v>0.35</v>
      </c>
      <c r="M228"/>
      <c r="N228"/>
      <c r="O228"/>
      <c r="P228"/>
      <c r="Q228"/>
      <c r="R228"/>
      <c r="AE228" s="4">
        <v>0.35</v>
      </c>
    </row>
    <row r="229" spans="2:31" ht="18" customHeight="1" x14ac:dyDescent="0.3">
      <c r="B229" s="3" t="s">
        <v>21</v>
      </c>
      <c r="C229" s="57">
        <v>2.5</v>
      </c>
      <c r="D229" s="4">
        <v>2.5</v>
      </c>
      <c r="E229" s="4">
        <v>2.5</v>
      </c>
      <c r="F229" s="4">
        <v>2.5</v>
      </c>
      <c r="G229" s="4">
        <v>2.5</v>
      </c>
      <c r="H229" s="4">
        <v>2.5</v>
      </c>
      <c r="I229" s="4">
        <v>2.5</v>
      </c>
      <c r="J229" s="24">
        <v>2.5</v>
      </c>
      <c r="K229" s="4">
        <v>2.5</v>
      </c>
      <c r="L229" s="4">
        <v>2.5</v>
      </c>
      <c r="M229"/>
      <c r="N229"/>
      <c r="O229"/>
      <c r="P229"/>
      <c r="Q229"/>
      <c r="R229"/>
      <c r="AE229" s="4">
        <v>2.5</v>
      </c>
    </row>
    <row r="230" spans="2:31" ht="18" customHeight="1" x14ac:dyDescent="0.3">
      <c r="B230" s="3" t="s">
        <v>22</v>
      </c>
      <c r="C230" s="57">
        <v>0.35</v>
      </c>
      <c r="D230" s="4">
        <v>0.35</v>
      </c>
      <c r="E230" s="4">
        <v>0.35</v>
      </c>
      <c r="F230" s="4">
        <v>0.35</v>
      </c>
      <c r="G230" s="4">
        <v>0.35</v>
      </c>
      <c r="H230" s="4">
        <v>0.35</v>
      </c>
      <c r="I230" s="4">
        <v>0.35</v>
      </c>
      <c r="J230" s="24">
        <v>0.35</v>
      </c>
      <c r="K230" s="4">
        <v>0.35</v>
      </c>
      <c r="L230" s="4">
        <v>0.35</v>
      </c>
      <c r="M230"/>
      <c r="N230"/>
      <c r="O230"/>
      <c r="P230"/>
      <c r="Q230"/>
      <c r="R230"/>
      <c r="AE230" s="4">
        <v>0.35</v>
      </c>
    </row>
    <row r="231" spans="2:31" ht="18" customHeight="1" x14ac:dyDescent="0.3">
      <c r="B231" s="3" t="s">
        <v>23</v>
      </c>
      <c r="C231" s="56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2:31" ht="18" customHeight="1" x14ac:dyDescent="0.3">
      <c r="B232" s="3" t="s">
        <v>24</v>
      </c>
      <c r="C232" s="56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2:31" x14ac:dyDescent="0.25">
      <c r="C233" s="56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2:31" ht="18" customHeight="1" x14ac:dyDescent="0.25">
      <c r="B234" s="8" t="s">
        <v>33</v>
      </c>
      <c r="C234" s="56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2:31" x14ac:dyDescent="0.25">
      <c r="C235" s="56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2:31" x14ac:dyDescent="0.25">
      <c r="C236" s="5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2:31" x14ac:dyDescent="0.25">
      <c r="C237" s="56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2:31" x14ac:dyDescent="0.25">
      <c r="C238" s="56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2:31" ht="18" customHeight="1" x14ac:dyDescent="0.3">
      <c r="B239" s="3" t="s">
        <v>0</v>
      </c>
      <c r="C239" s="57" t="s">
        <v>44</v>
      </c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2:31" ht="18" customHeight="1" x14ac:dyDescent="0.25">
      <c r="B240" s="8" t="s">
        <v>3</v>
      </c>
      <c r="C240" s="57">
        <v>2</v>
      </c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2:31" ht="18" customHeight="1" x14ac:dyDescent="0.25">
      <c r="B241" s="8"/>
      <c r="C241" s="56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2:31" ht="18" customHeight="1" x14ac:dyDescent="0.25">
      <c r="B242" s="8" t="s">
        <v>6</v>
      </c>
      <c r="C242" s="61">
        <v>38903</v>
      </c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2:31" ht="18" customHeight="1" x14ac:dyDescent="0.3">
      <c r="B243" s="11" t="s">
        <v>9</v>
      </c>
      <c r="C243" s="61">
        <v>40722</v>
      </c>
      <c r="D243" s="13">
        <v>40841</v>
      </c>
      <c r="E243" s="13">
        <v>40981</v>
      </c>
      <c r="F243" s="13">
        <v>41044</v>
      </c>
      <c r="G243" s="13">
        <v>41233</v>
      </c>
      <c r="H243" s="13">
        <v>41323</v>
      </c>
      <c r="I243" s="13">
        <v>41520</v>
      </c>
      <c r="J243" s="23">
        <v>41772</v>
      </c>
      <c r="K243" s="13">
        <v>41950</v>
      </c>
      <c r="L243" s="13"/>
      <c r="M243"/>
      <c r="N243"/>
      <c r="O243"/>
      <c r="P243"/>
      <c r="Q243"/>
      <c r="R243"/>
      <c r="AE243" s="13">
        <v>41323</v>
      </c>
    </row>
    <row r="244" spans="2:31" ht="18" customHeight="1" x14ac:dyDescent="0.3">
      <c r="B244" s="11" t="s">
        <v>8</v>
      </c>
      <c r="C244" s="56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2:31" ht="18" customHeight="1" x14ac:dyDescent="0.3">
      <c r="B245" s="3" t="s">
        <v>11</v>
      </c>
      <c r="C245" s="57">
        <v>4.87</v>
      </c>
      <c r="D245" s="4">
        <v>4.62</v>
      </c>
      <c r="E245" s="4">
        <v>6.3</v>
      </c>
      <c r="F245" s="4">
        <v>6.24</v>
      </c>
      <c r="G245" s="4">
        <v>6.05</v>
      </c>
      <c r="H245" s="4">
        <v>5.93</v>
      </c>
      <c r="I245" s="4">
        <v>5.64</v>
      </c>
      <c r="J245" s="24">
        <v>5.27</v>
      </c>
      <c r="K245" s="4">
        <v>5.18</v>
      </c>
      <c r="L245"/>
      <c r="M245"/>
      <c r="N245"/>
      <c r="O245"/>
      <c r="P245"/>
      <c r="Q245"/>
      <c r="R245"/>
      <c r="AE245" s="4">
        <v>5.93</v>
      </c>
    </row>
    <row r="246" spans="2:31" ht="18" customHeight="1" x14ac:dyDescent="0.3">
      <c r="B246" s="3" t="s">
        <v>12</v>
      </c>
      <c r="C246" s="57">
        <v>12</v>
      </c>
      <c r="D246" s="4">
        <v>19</v>
      </c>
      <c r="E246" s="4">
        <v>2</v>
      </c>
      <c r="F246" s="4">
        <v>1</v>
      </c>
      <c r="G246" s="4">
        <v>2</v>
      </c>
      <c r="H246" s="4">
        <v>2</v>
      </c>
      <c r="I246" s="4">
        <v>2</v>
      </c>
      <c r="J246" s="24">
        <v>1</v>
      </c>
      <c r="K246" s="4">
        <v>1</v>
      </c>
      <c r="L246"/>
      <c r="M246"/>
      <c r="N246"/>
      <c r="O246"/>
      <c r="P246"/>
      <c r="Q246"/>
      <c r="R246"/>
      <c r="AE246" s="4">
        <v>2</v>
      </c>
    </row>
    <row r="247" spans="2:31" ht="18" customHeight="1" x14ac:dyDescent="0.3">
      <c r="B247" s="3" t="s">
        <v>13</v>
      </c>
      <c r="C247" s="57">
        <v>5</v>
      </c>
      <c r="D247" s="4">
        <v>12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24">
        <v>0</v>
      </c>
      <c r="K247" s="4">
        <v>0</v>
      </c>
      <c r="L247"/>
      <c r="M247"/>
      <c r="N247"/>
      <c r="O247"/>
      <c r="P247"/>
      <c r="Q247"/>
      <c r="R247"/>
      <c r="AE247" s="4">
        <v>0</v>
      </c>
    </row>
    <row r="248" spans="2:31" ht="18" customHeight="1" x14ac:dyDescent="0.3">
      <c r="B248" s="3" t="s">
        <v>14</v>
      </c>
      <c r="C248" s="56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2:31" ht="18" customHeight="1" x14ac:dyDescent="0.25">
      <c r="B249" s="8" t="s">
        <v>41</v>
      </c>
      <c r="C249" s="57" t="s">
        <v>42</v>
      </c>
      <c r="D249"/>
      <c r="E249" s="4" t="s">
        <v>45</v>
      </c>
      <c r="F249" s="4" t="s">
        <v>42</v>
      </c>
      <c r="G249" s="4" t="s">
        <v>42</v>
      </c>
      <c r="H249" s="4" t="s">
        <v>42</v>
      </c>
      <c r="I249" s="4" t="s">
        <v>42</v>
      </c>
      <c r="J249"/>
      <c r="K249" s="4" t="s">
        <v>46</v>
      </c>
      <c r="L249"/>
      <c r="M249"/>
      <c r="N249"/>
      <c r="O249"/>
      <c r="P249"/>
      <c r="Q249"/>
      <c r="R249"/>
      <c r="AE249" s="4" t="s">
        <v>42</v>
      </c>
    </row>
    <row r="250" spans="2:31" ht="18" customHeight="1" x14ac:dyDescent="0.3">
      <c r="B250" s="11" t="s">
        <v>15</v>
      </c>
      <c r="C250" s="56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2:31" ht="18" customHeight="1" x14ac:dyDescent="0.3">
      <c r="B251" s="3" t="s">
        <v>17</v>
      </c>
      <c r="C251" s="57" t="s">
        <v>47</v>
      </c>
      <c r="D251" s="4" t="s">
        <v>47</v>
      </c>
      <c r="E251" s="4" t="s">
        <v>47</v>
      </c>
      <c r="F251" s="4" t="s">
        <v>47</v>
      </c>
      <c r="G251" s="4" t="s">
        <v>47</v>
      </c>
      <c r="H251" s="4" t="s">
        <v>47</v>
      </c>
      <c r="I251" s="4" t="s">
        <v>47</v>
      </c>
      <c r="J251" s="4" t="s">
        <v>47</v>
      </c>
      <c r="K251" s="4" t="s">
        <v>47</v>
      </c>
      <c r="L251"/>
      <c r="M251"/>
      <c r="N251"/>
      <c r="O251"/>
      <c r="P251"/>
      <c r="Q251"/>
      <c r="R251"/>
      <c r="AE251" s="4" t="s">
        <v>47</v>
      </c>
    </row>
    <row r="252" spans="2:31" ht="18" customHeight="1" x14ac:dyDescent="0.3">
      <c r="B252" s="3" t="s">
        <v>18</v>
      </c>
      <c r="C252" s="57" t="s">
        <v>48</v>
      </c>
      <c r="D252" s="4" t="s">
        <v>48</v>
      </c>
      <c r="E252" s="4" t="s">
        <v>48</v>
      </c>
      <c r="F252" s="4" t="s">
        <v>48</v>
      </c>
      <c r="G252" s="4" t="s">
        <v>48</v>
      </c>
      <c r="H252" s="4" t="s">
        <v>48</v>
      </c>
      <c r="I252" s="4" t="s">
        <v>48</v>
      </c>
      <c r="J252" s="4" t="s">
        <v>48</v>
      </c>
      <c r="K252" s="4" t="s">
        <v>48</v>
      </c>
      <c r="L252"/>
      <c r="M252"/>
      <c r="N252"/>
      <c r="O252"/>
      <c r="P252"/>
      <c r="Q252"/>
      <c r="R252"/>
      <c r="AE252" s="4" t="s">
        <v>48</v>
      </c>
    </row>
    <row r="253" spans="2:31" ht="18" customHeight="1" x14ac:dyDescent="0.25">
      <c r="C253" s="56"/>
      <c r="D253"/>
      <c r="E253"/>
      <c r="F253"/>
      <c r="G253"/>
      <c r="H253"/>
      <c r="I253"/>
      <c r="J253" s="4"/>
      <c r="K253"/>
      <c r="L253"/>
      <c r="M253"/>
      <c r="N253"/>
      <c r="O253"/>
      <c r="P253"/>
      <c r="Q253"/>
      <c r="R253"/>
    </row>
    <row r="254" spans="2:31" ht="18" customHeight="1" x14ac:dyDescent="0.3">
      <c r="B254" s="3" t="s">
        <v>19</v>
      </c>
      <c r="C254" s="57">
        <v>2.5</v>
      </c>
      <c r="D254" s="4">
        <v>2.5</v>
      </c>
      <c r="E254" s="4">
        <v>3</v>
      </c>
      <c r="F254" s="4">
        <v>3</v>
      </c>
      <c r="G254" s="4">
        <v>3</v>
      </c>
      <c r="H254" s="4">
        <v>3</v>
      </c>
      <c r="I254" s="4">
        <v>3</v>
      </c>
      <c r="J254" s="4">
        <v>3</v>
      </c>
      <c r="K254" s="4">
        <v>3</v>
      </c>
      <c r="L254"/>
      <c r="M254"/>
      <c r="N254"/>
      <c r="O254"/>
      <c r="P254"/>
      <c r="Q254"/>
      <c r="R254"/>
      <c r="AE254" s="4">
        <v>3</v>
      </c>
    </row>
    <row r="255" spans="2:31" ht="18" customHeight="1" x14ac:dyDescent="0.3">
      <c r="B255" s="3" t="s">
        <v>20</v>
      </c>
      <c r="C255" s="57">
        <v>0.35</v>
      </c>
      <c r="D255" s="4">
        <v>0.35</v>
      </c>
      <c r="E255" s="4">
        <v>0.35</v>
      </c>
      <c r="F255" s="4">
        <v>0.35</v>
      </c>
      <c r="G255" s="4">
        <v>0.35</v>
      </c>
      <c r="H255" s="4">
        <v>0.35</v>
      </c>
      <c r="I255" s="4">
        <v>0.35</v>
      </c>
      <c r="J255" s="4">
        <v>0.35</v>
      </c>
      <c r="K255" s="4">
        <v>0.35</v>
      </c>
      <c r="L255"/>
      <c r="M255"/>
      <c r="N255"/>
      <c r="O255"/>
      <c r="P255"/>
      <c r="Q255"/>
      <c r="R255"/>
      <c r="AE255" s="4">
        <v>0.35</v>
      </c>
    </row>
    <row r="256" spans="2:31" ht="18" customHeight="1" x14ac:dyDescent="0.3">
      <c r="B256" s="3" t="s">
        <v>21</v>
      </c>
      <c r="C256" s="57">
        <v>2.5</v>
      </c>
      <c r="D256" s="4">
        <v>2.5</v>
      </c>
      <c r="E256" s="4">
        <v>2</v>
      </c>
      <c r="F256" s="4">
        <v>2</v>
      </c>
      <c r="G256" s="4">
        <v>2</v>
      </c>
      <c r="H256" s="4">
        <v>2</v>
      </c>
      <c r="I256" s="4">
        <v>2</v>
      </c>
      <c r="J256" s="4">
        <v>2</v>
      </c>
      <c r="K256" s="4">
        <v>2</v>
      </c>
      <c r="L256"/>
      <c r="M256"/>
      <c r="N256"/>
      <c r="O256"/>
      <c r="P256"/>
      <c r="Q256"/>
      <c r="R256"/>
      <c r="AE256" s="4">
        <v>2</v>
      </c>
    </row>
    <row r="257" spans="2:31" ht="18" customHeight="1" x14ac:dyDescent="0.3">
      <c r="B257" s="3" t="s">
        <v>22</v>
      </c>
      <c r="C257" s="57">
        <v>0.35</v>
      </c>
      <c r="D257" s="4">
        <v>0.35</v>
      </c>
      <c r="E257" s="4">
        <v>0.35</v>
      </c>
      <c r="F257" s="4">
        <v>0.35</v>
      </c>
      <c r="G257" s="4">
        <v>0.35</v>
      </c>
      <c r="H257" s="4">
        <v>0.35</v>
      </c>
      <c r="I257" s="4">
        <v>0.35</v>
      </c>
      <c r="J257" s="4">
        <v>0.35</v>
      </c>
      <c r="K257" s="4">
        <v>0.35</v>
      </c>
      <c r="L257"/>
      <c r="M257"/>
      <c r="N257"/>
      <c r="O257"/>
      <c r="P257"/>
      <c r="Q257"/>
      <c r="R257"/>
      <c r="AE257" s="4">
        <v>0.35</v>
      </c>
    </row>
    <row r="258" spans="2:31" ht="18" customHeight="1" x14ac:dyDescent="0.3">
      <c r="B258" s="3" t="s">
        <v>23</v>
      </c>
      <c r="C258" s="56"/>
      <c r="D258"/>
      <c r="E258"/>
      <c r="F258"/>
      <c r="G258"/>
      <c r="H258"/>
      <c r="I258"/>
      <c r="J258" s="4"/>
      <c r="K258"/>
      <c r="L258"/>
      <c r="M258"/>
      <c r="N258"/>
      <c r="O258"/>
      <c r="P258"/>
      <c r="Q258"/>
      <c r="R258"/>
    </row>
    <row r="259" spans="2:31" ht="18" customHeight="1" x14ac:dyDescent="0.3">
      <c r="B259" s="3" t="s">
        <v>24</v>
      </c>
      <c r="C259" s="56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2:31" x14ac:dyDescent="0.25">
      <c r="C260" s="56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2:31" ht="18" customHeight="1" x14ac:dyDescent="0.25">
      <c r="B261" s="8" t="s">
        <v>33</v>
      </c>
      <c r="C261" s="56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2:31" x14ac:dyDescent="0.25">
      <c r="C262" s="56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2:31" x14ac:dyDescent="0.25">
      <c r="C263" s="56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2:31" x14ac:dyDescent="0.25">
      <c r="C264" s="56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2:31" ht="18" customHeight="1" x14ac:dyDescent="0.3">
      <c r="B265" s="3" t="s">
        <v>0</v>
      </c>
      <c r="C265" s="57" t="s">
        <v>49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2:31" ht="18" customHeight="1" x14ac:dyDescent="0.25">
      <c r="B266" s="8" t="s">
        <v>3</v>
      </c>
      <c r="C266" s="57">
        <v>2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2:31" ht="18" customHeight="1" x14ac:dyDescent="0.25">
      <c r="B267" s="8"/>
      <c r="C267" s="56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2:31" ht="18" customHeight="1" x14ac:dyDescent="0.25">
      <c r="B268" s="8" t="s">
        <v>6</v>
      </c>
      <c r="C268" s="61">
        <v>39630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2:31" ht="18" customHeight="1" x14ac:dyDescent="0.3">
      <c r="B269" s="11" t="s">
        <v>9</v>
      </c>
      <c r="C269" s="61">
        <v>40666</v>
      </c>
      <c r="D269" s="13">
        <v>40869</v>
      </c>
      <c r="E269" s="13">
        <v>41058</v>
      </c>
      <c r="F269" s="13">
        <v>41212</v>
      </c>
      <c r="G269" s="13">
        <v>41394</v>
      </c>
      <c r="H269" s="13">
        <v>41660</v>
      </c>
      <c r="I269" s="13">
        <v>41813</v>
      </c>
      <c r="J269" s="23">
        <v>41967</v>
      </c>
      <c r="K269" s="13"/>
      <c r="L269"/>
      <c r="M269"/>
      <c r="N269"/>
      <c r="O269"/>
      <c r="P269"/>
      <c r="Q269"/>
      <c r="R269"/>
      <c r="AE269" s="13">
        <v>41660</v>
      </c>
    </row>
    <row r="270" spans="2:31" ht="18" customHeight="1" x14ac:dyDescent="0.3">
      <c r="B270" s="11" t="s">
        <v>8</v>
      </c>
      <c r="C270" s="56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2:31" ht="18" customHeight="1" x14ac:dyDescent="0.3">
      <c r="B271" s="3" t="s">
        <v>11</v>
      </c>
      <c r="C271" s="57">
        <v>6.1</v>
      </c>
      <c r="D271" s="4">
        <v>5.88</v>
      </c>
      <c r="E271" s="4">
        <v>5.47</v>
      </c>
      <c r="F271" s="4">
        <v>5.28</v>
      </c>
      <c r="G271" s="4">
        <v>5.18</v>
      </c>
      <c r="H271" s="4">
        <v>5.15</v>
      </c>
      <c r="I271" s="4">
        <v>5.14</v>
      </c>
      <c r="J271" s="24">
        <v>5.13</v>
      </c>
      <c r="K271"/>
      <c r="L271"/>
      <c r="M271"/>
      <c r="N271"/>
      <c r="O271"/>
      <c r="P271"/>
      <c r="Q271"/>
      <c r="R271"/>
      <c r="AE271" s="4">
        <v>5.15</v>
      </c>
    </row>
    <row r="272" spans="2:31" ht="18" customHeight="1" x14ac:dyDescent="0.3">
      <c r="B272" s="3" t="s">
        <v>12</v>
      </c>
      <c r="C272" s="57">
        <v>0</v>
      </c>
      <c r="D272" s="4">
        <v>1</v>
      </c>
      <c r="E272" s="4">
        <v>2</v>
      </c>
      <c r="F272" s="4">
        <v>3</v>
      </c>
      <c r="G272" s="4">
        <v>2</v>
      </c>
      <c r="H272" s="4">
        <v>2</v>
      </c>
      <c r="I272" s="4">
        <v>1</v>
      </c>
      <c r="J272" s="24">
        <v>2</v>
      </c>
      <c r="K272"/>
      <c r="L272"/>
      <c r="M272"/>
      <c r="N272"/>
      <c r="O272"/>
      <c r="P272"/>
      <c r="Q272"/>
      <c r="R272"/>
      <c r="AE272" s="4">
        <v>2</v>
      </c>
    </row>
    <row r="273" spans="2:31" ht="18" customHeight="1" x14ac:dyDescent="0.3">
      <c r="B273" s="3" t="s">
        <v>13</v>
      </c>
      <c r="C273" s="57">
        <v>0</v>
      </c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2:31" ht="18" customHeight="1" x14ac:dyDescent="0.3">
      <c r="B274" s="3" t="s">
        <v>14</v>
      </c>
      <c r="C274" s="56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2:31" ht="18" customHeight="1" x14ac:dyDescent="0.25">
      <c r="B275" s="8" t="s">
        <v>41</v>
      </c>
      <c r="C275" s="57" t="s">
        <v>42</v>
      </c>
      <c r="D275" s="4" t="s">
        <v>46</v>
      </c>
      <c r="E275" s="4" t="s">
        <v>46</v>
      </c>
      <c r="F275" s="4" t="s">
        <v>46</v>
      </c>
      <c r="G275" s="4" t="s">
        <v>42</v>
      </c>
      <c r="H275" s="4" t="s">
        <v>46</v>
      </c>
      <c r="I275" s="4" t="s">
        <v>46</v>
      </c>
      <c r="J275" s="24" t="s">
        <v>42</v>
      </c>
      <c r="K275"/>
      <c r="L275"/>
      <c r="M275"/>
      <c r="N275"/>
      <c r="O275"/>
      <c r="P275"/>
      <c r="Q275"/>
      <c r="R275"/>
      <c r="AE275" s="4" t="s">
        <v>46</v>
      </c>
    </row>
    <row r="276" spans="2:31" ht="18" customHeight="1" x14ac:dyDescent="0.3">
      <c r="B276" s="11" t="s">
        <v>15</v>
      </c>
      <c r="C276" s="5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2:31" ht="18" customHeight="1" x14ac:dyDescent="0.3">
      <c r="B277" s="3" t="s">
        <v>17</v>
      </c>
      <c r="C277" s="57" t="s">
        <v>47</v>
      </c>
      <c r="D277" s="4" t="s">
        <v>47</v>
      </c>
      <c r="E277" s="4" t="s">
        <v>47</v>
      </c>
      <c r="F277" s="4" t="s">
        <v>47</v>
      </c>
      <c r="G277" s="4" t="s">
        <v>47</v>
      </c>
      <c r="H277" s="4" t="s">
        <v>47</v>
      </c>
      <c r="I277" s="4" t="s">
        <v>47</v>
      </c>
      <c r="J277" s="4" t="s">
        <v>47</v>
      </c>
      <c r="K277"/>
      <c r="L277"/>
      <c r="M277"/>
      <c r="N277"/>
      <c r="O277"/>
      <c r="P277"/>
      <c r="Q277"/>
      <c r="R277"/>
      <c r="AE277" s="4" t="s">
        <v>47</v>
      </c>
    </row>
    <row r="278" spans="2:31" ht="18" customHeight="1" x14ac:dyDescent="0.3">
      <c r="B278" s="3" t="s">
        <v>18</v>
      </c>
      <c r="C278" s="57" t="s">
        <v>48</v>
      </c>
      <c r="D278" s="4" t="s">
        <v>48</v>
      </c>
      <c r="E278" s="4" t="s">
        <v>48</v>
      </c>
      <c r="F278" s="4" t="s">
        <v>48</v>
      </c>
      <c r="G278" s="4" t="s">
        <v>48</v>
      </c>
      <c r="H278" s="4" t="s">
        <v>48</v>
      </c>
      <c r="I278" s="4" t="s">
        <v>48</v>
      </c>
      <c r="J278" s="4" t="s">
        <v>48</v>
      </c>
      <c r="K278"/>
      <c r="L278"/>
      <c r="M278"/>
      <c r="N278"/>
      <c r="O278"/>
      <c r="P278"/>
      <c r="Q278"/>
      <c r="R278"/>
      <c r="AE278" s="4" t="s">
        <v>48</v>
      </c>
    </row>
    <row r="279" spans="2:31" ht="18" customHeight="1" x14ac:dyDescent="0.25">
      <c r="C279" s="56"/>
      <c r="D279"/>
      <c r="E279"/>
      <c r="F279"/>
      <c r="G279"/>
      <c r="H279"/>
      <c r="I279"/>
      <c r="J279" s="4"/>
      <c r="K279"/>
      <c r="L279"/>
      <c r="M279"/>
      <c r="N279"/>
      <c r="O279"/>
      <c r="P279"/>
      <c r="Q279"/>
      <c r="R279"/>
    </row>
    <row r="280" spans="2:31" ht="18" customHeight="1" x14ac:dyDescent="0.3">
      <c r="B280" s="3" t="s">
        <v>19</v>
      </c>
      <c r="C280" s="57">
        <v>2</v>
      </c>
      <c r="D280" s="4">
        <v>2</v>
      </c>
      <c r="E280" s="4">
        <v>2</v>
      </c>
      <c r="F280" s="4">
        <v>2</v>
      </c>
      <c r="G280" s="4">
        <v>2</v>
      </c>
      <c r="H280" s="4">
        <v>2</v>
      </c>
      <c r="I280" s="4">
        <v>2</v>
      </c>
      <c r="J280" s="4">
        <v>2</v>
      </c>
      <c r="K280"/>
      <c r="L280"/>
      <c r="M280"/>
      <c r="N280"/>
      <c r="O280"/>
      <c r="P280"/>
      <c r="Q280"/>
      <c r="R280"/>
      <c r="AE280" s="4">
        <v>2</v>
      </c>
    </row>
    <row r="281" spans="2:31" ht="18" customHeight="1" x14ac:dyDescent="0.3">
      <c r="B281" s="3" t="s">
        <v>20</v>
      </c>
      <c r="C281" s="57">
        <v>0.35</v>
      </c>
      <c r="D281" s="4">
        <v>0.35</v>
      </c>
      <c r="E281" s="4">
        <v>0.35</v>
      </c>
      <c r="F281" s="4">
        <v>0.35</v>
      </c>
      <c r="G281" s="4">
        <v>0.35</v>
      </c>
      <c r="H281" s="4">
        <v>0.35</v>
      </c>
      <c r="I281" s="4">
        <v>0.35</v>
      </c>
      <c r="J281" s="4">
        <v>0.35</v>
      </c>
      <c r="K281"/>
      <c r="L281"/>
      <c r="M281"/>
      <c r="N281"/>
      <c r="O281"/>
      <c r="P281"/>
      <c r="Q281"/>
      <c r="R281"/>
      <c r="AE281" s="4">
        <v>0.35</v>
      </c>
    </row>
    <row r="282" spans="2:31" ht="18" customHeight="1" x14ac:dyDescent="0.3">
      <c r="B282" s="3" t="s">
        <v>21</v>
      </c>
      <c r="C282" s="57">
        <v>3</v>
      </c>
      <c r="D282" s="4">
        <v>3</v>
      </c>
      <c r="E282" s="4">
        <v>3</v>
      </c>
      <c r="F282" s="4">
        <v>3</v>
      </c>
      <c r="G282" s="4">
        <v>3</v>
      </c>
      <c r="H282" s="4">
        <v>2.5</v>
      </c>
      <c r="I282" s="4">
        <v>2.5</v>
      </c>
      <c r="J282" s="4">
        <v>2.5</v>
      </c>
      <c r="K282"/>
      <c r="L282"/>
      <c r="M282"/>
      <c r="N282"/>
      <c r="O282"/>
      <c r="P282"/>
      <c r="Q282"/>
      <c r="R282"/>
      <c r="AE282" s="4">
        <v>2.5</v>
      </c>
    </row>
    <row r="283" spans="2:31" ht="18" customHeight="1" x14ac:dyDescent="0.3">
      <c r="B283" s="3" t="s">
        <v>22</v>
      </c>
      <c r="C283" s="57">
        <v>0.35</v>
      </c>
      <c r="D283" s="4">
        <v>0.35</v>
      </c>
      <c r="E283" s="4">
        <v>0.35</v>
      </c>
      <c r="F283" s="4">
        <v>0.35</v>
      </c>
      <c r="G283" s="4">
        <v>0.35</v>
      </c>
      <c r="H283" s="4">
        <v>0.35</v>
      </c>
      <c r="I283" s="4">
        <v>0.35</v>
      </c>
      <c r="J283" s="4">
        <v>0.35</v>
      </c>
      <c r="K283"/>
      <c r="L283"/>
      <c r="M283"/>
      <c r="N283"/>
      <c r="O283"/>
      <c r="P283"/>
      <c r="Q283"/>
      <c r="R283"/>
      <c r="AE283" s="4">
        <v>0.35</v>
      </c>
    </row>
    <row r="284" spans="2:31" ht="18" customHeight="1" x14ac:dyDescent="0.3">
      <c r="B284" s="3" t="s">
        <v>23</v>
      </c>
      <c r="C284" s="56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2:31" ht="18" customHeight="1" x14ac:dyDescent="0.3">
      <c r="B285" s="3" t="s">
        <v>24</v>
      </c>
      <c r="C285" s="56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2:31" x14ac:dyDescent="0.25">
      <c r="C286" s="5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2:31" ht="18" customHeight="1" x14ac:dyDescent="0.25">
      <c r="B287" s="8" t="s">
        <v>33</v>
      </c>
      <c r="C287" s="56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2:31" x14ac:dyDescent="0.25">
      <c r="C288" s="56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2:31" x14ac:dyDescent="0.25">
      <c r="C289" s="56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2:31" x14ac:dyDescent="0.25">
      <c r="C290" s="56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2:31" x14ac:dyDescent="0.25">
      <c r="C291" s="56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2:31" ht="18" customHeight="1" x14ac:dyDescent="0.3">
      <c r="B292" s="3" t="s">
        <v>0</v>
      </c>
      <c r="C292" s="57" t="s">
        <v>50</v>
      </c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2:31" ht="18" customHeight="1" x14ac:dyDescent="0.25">
      <c r="B293" s="8" t="s">
        <v>3</v>
      </c>
      <c r="C293" s="57">
        <v>2</v>
      </c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2:31" ht="18" customHeight="1" x14ac:dyDescent="0.25">
      <c r="B294" s="8"/>
      <c r="C294" s="56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2:31" ht="18" customHeight="1" x14ac:dyDescent="0.25">
      <c r="B295" s="8" t="s">
        <v>6</v>
      </c>
      <c r="C295" s="61">
        <v>39833</v>
      </c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2:31" ht="18" customHeight="1" x14ac:dyDescent="0.3">
      <c r="B296" s="11" t="s">
        <v>9</v>
      </c>
      <c r="C296" s="61">
        <v>40862</v>
      </c>
      <c r="D296" s="13">
        <v>41051</v>
      </c>
      <c r="E296" s="13">
        <v>41193</v>
      </c>
      <c r="F296" s="13">
        <v>41240</v>
      </c>
      <c r="G296" s="13">
        <v>41394</v>
      </c>
      <c r="H296" s="13">
        <v>41486</v>
      </c>
      <c r="I296" s="13">
        <v>41568</v>
      </c>
      <c r="J296" s="23">
        <v>41730</v>
      </c>
      <c r="K296" s="25">
        <v>41912</v>
      </c>
      <c r="L296" s="25">
        <v>42020</v>
      </c>
      <c r="M296" s="25">
        <v>42044</v>
      </c>
      <c r="N296"/>
      <c r="O296"/>
      <c r="P296"/>
      <c r="Q296"/>
      <c r="R296"/>
      <c r="AE296" s="13">
        <v>41486</v>
      </c>
    </row>
    <row r="297" spans="2:31" ht="18" customHeight="1" x14ac:dyDescent="0.3">
      <c r="B297" s="11" t="s">
        <v>8</v>
      </c>
      <c r="C297" s="56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2:31" ht="18" customHeight="1" x14ac:dyDescent="0.3">
      <c r="B298" s="3" t="s">
        <v>11</v>
      </c>
      <c r="C298" s="57">
        <v>5.66</v>
      </c>
      <c r="D298" s="4">
        <v>5.29</v>
      </c>
      <c r="E298" s="4">
        <v>5.19</v>
      </c>
      <c r="F298" s="4">
        <v>5.17</v>
      </c>
      <c r="G298" s="4">
        <v>5.16</v>
      </c>
      <c r="H298" s="4">
        <v>5.16</v>
      </c>
      <c r="I298" s="4">
        <v>5.14</v>
      </c>
      <c r="J298" s="24">
        <v>5.0999999999999996</v>
      </c>
      <c r="K298" s="4">
        <v>4.8899999999999997</v>
      </c>
      <c r="L298" s="4">
        <v>4.53</v>
      </c>
      <c r="M298" s="4">
        <v>4.5</v>
      </c>
      <c r="N298"/>
      <c r="O298"/>
      <c r="P298"/>
      <c r="Q298"/>
      <c r="R298"/>
      <c r="AE298" s="4">
        <v>5.16</v>
      </c>
    </row>
    <row r="299" spans="2:31" ht="18" customHeight="1" x14ac:dyDescent="0.3">
      <c r="B299" s="3" t="s">
        <v>12</v>
      </c>
      <c r="C299" s="57" t="s">
        <v>51</v>
      </c>
      <c r="D299" s="4" t="s">
        <v>52</v>
      </c>
      <c r="E299" s="4" t="s">
        <v>53</v>
      </c>
      <c r="F299" s="4" t="s">
        <v>54</v>
      </c>
      <c r="G299" s="4" t="s">
        <v>55</v>
      </c>
      <c r="H299" s="4" t="s">
        <v>56</v>
      </c>
      <c r="I299" s="4" t="s">
        <v>55</v>
      </c>
      <c r="J299" s="24" t="s">
        <v>55</v>
      </c>
      <c r="K299" s="4" t="s">
        <v>52</v>
      </c>
      <c r="L299" s="4" t="s">
        <v>55</v>
      </c>
      <c r="M299" s="4" t="s">
        <v>57</v>
      </c>
      <c r="N299"/>
      <c r="O299"/>
      <c r="P299"/>
      <c r="Q299"/>
      <c r="R299"/>
      <c r="AE299" s="4" t="s">
        <v>56</v>
      </c>
    </row>
    <row r="300" spans="2:31" ht="18" customHeight="1" x14ac:dyDescent="0.3">
      <c r="B300" s="3" t="s">
        <v>13</v>
      </c>
      <c r="C300" s="57" t="s">
        <v>58</v>
      </c>
      <c r="D300" s="4" t="s">
        <v>59</v>
      </c>
      <c r="E300" s="4" t="s">
        <v>57</v>
      </c>
      <c r="F300" s="4" t="s">
        <v>60</v>
      </c>
      <c r="G300" s="4" t="s">
        <v>61</v>
      </c>
      <c r="H300" s="4" t="s">
        <v>62</v>
      </c>
      <c r="I300" s="4" t="s">
        <v>55</v>
      </c>
      <c r="J300" s="24" t="s">
        <v>55</v>
      </c>
      <c r="K300" s="4" t="s">
        <v>52</v>
      </c>
      <c r="L300" s="4" t="s">
        <v>59</v>
      </c>
      <c r="M300" s="4" t="s">
        <v>53</v>
      </c>
      <c r="N300"/>
      <c r="O300"/>
      <c r="P300"/>
      <c r="Q300"/>
      <c r="R300"/>
      <c r="AE300" s="4" t="s">
        <v>62</v>
      </c>
    </row>
    <row r="301" spans="2:31" ht="18" customHeight="1" x14ac:dyDescent="0.3">
      <c r="B301" s="3" t="s">
        <v>14</v>
      </c>
      <c r="C301" s="56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2:31" ht="18" customHeight="1" x14ac:dyDescent="0.25">
      <c r="B302" s="8" t="s">
        <v>41</v>
      </c>
      <c r="C302" s="57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/>
      <c r="J302"/>
      <c r="K302"/>
      <c r="L302"/>
      <c r="M302"/>
      <c r="N302"/>
      <c r="O302"/>
      <c r="P302"/>
      <c r="Q302"/>
      <c r="R302"/>
      <c r="AE302" s="4">
        <v>0</v>
      </c>
    </row>
    <row r="303" spans="2:31" ht="18" customHeight="1" x14ac:dyDescent="0.3">
      <c r="B303" s="11" t="s">
        <v>15</v>
      </c>
      <c r="C303" s="56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2:31" ht="18" customHeight="1" x14ac:dyDescent="0.3">
      <c r="B304" s="3" t="s">
        <v>17</v>
      </c>
      <c r="C304" s="57" t="s">
        <v>63</v>
      </c>
      <c r="D304" s="4" t="s">
        <v>63</v>
      </c>
      <c r="E304" s="4" t="s">
        <v>63</v>
      </c>
      <c r="F304" s="4" t="s">
        <v>63</v>
      </c>
      <c r="G304" s="4" t="s">
        <v>63</v>
      </c>
      <c r="H304" s="4" t="s">
        <v>63</v>
      </c>
      <c r="I304" s="4" t="s">
        <v>63</v>
      </c>
      <c r="J304" s="4" t="s">
        <v>63</v>
      </c>
      <c r="K304" s="4" t="s">
        <v>63</v>
      </c>
      <c r="L304" s="4" t="s">
        <v>63</v>
      </c>
      <c r="M304" s="4" t="s">
        <v>63</v>
      </c>
      <c r="N304"/>
      <c r="O304"/>
      <c r="P304"/>
      <c r="Q304"/>
      <c r="R304"/>
      <c r="AE304" s="4" t="s">
        <v>63</v>
      </c>
    </row>
    <row r="305" spans="2:31" ht="18" customHeight="1" x14ac:dyDescent="0.3">
      <c r="B305" s="3" t="s">
        <v>18</v>
      </c>
      <c r="C305" s="57" t="s">
        <v>64</v>
      </c>
      <c r="D305" s="4" t="s">
        <v>64</v>
      </c>
      <c r="E305" s="4" t="s">
        <v>64</v>
      </c>
      <c r="F305" s="4" t="s">
        <v>64</v>
      </c>
      <c r="G305" s="4" t="s">
        <v>64</v>
      </c>
      <c r="H305" s="4" t="s">
        <v>65</v>
      </c>
      <c r="I305" s="4" t="s">
        <v>65</v>
      </c>
      <c r="J305" s="4" t="s">
        <v>65</v>
      </c>
      <c r="K305" s="4" t="s">
        <v>65</v>
      </c>
      <c r="L305" s="4" t="s">
        <v>65</v>
      </c>
      <c r="M305" s="4" t="s">
        <v>65</v>
      </c>
      <c r="N305"/>
      <c r="O305"/>
      <c r="P305"/>
      <c r="Q305"/>
      <c r="R305"/>
      <c r="AE305" s="4" t="s">
        <v>65</v>
      </c>
    </row>
    <row r="306" spans="2:31" ht="18" customHeight="1" x14ac:dyDescent="0.25">
      <c r="C306" s="56"/>
      <c r="D306"/>
      <c r="E306"/>
      <c r="F306"/>
      <c r="G306"/>
      <c r="H306"/>
      <c r="I306"/>
      <c r="J306" s="4"/>
      <c r="K306"/>
      <c r="L306"/>
      <c r="M306"/>
      <c r="N306"/>
      <c r="O306"/>
      <c r="P306"/>
      <c r="Q306"/>
      <c r="R306"/>
    </row>
    <row r="307" spans="2:31" ht="18" customHeight="1" x14ac:dyDescent="0.3">
      <c r="B307" s="3" t="s">
        <v>19</v>
      </c>
      <c r="C307" s="57">
        <v>2.5</v>
      </c>
      <c r="D307" s="4">
        <v>2.5</v>
      </c>
      <c r="E307" s="4">
        <v>2.5</v>
      </c>
      <c r="F307" s="4">
        <v>2.5</v>
      </c>
      <c r="G307" s="4">
        <v>2.5</v>
      </c>
      <c r="H307" s="4">
        <v>2</v>
      </c>
      <c r="I307" s="4">
        <v>2</v>
      </c>
      <c r="J307" s="4">
        <v>2</v>
      </c>
      <c r="K307" s="4">
        <v>2</v>
      </c>
      <c r="L307" s="4">
        <v>2</v>
      </c>
      <c r="M307" s="4">
        <v>2</v>
      </c>
      <c r="N307"/>
      <c r="O307"/>
      <c r="P307"/>
      <c r="Q307"/>
      <c r="R307"/>
      <c r="AE307" s="4">
        <v>2</v>
      </c>
    </row>
    <row r="308" spans="2:31" ht="18" customHeight="1" x14ac:dyDescent="0.3">
      <c r="B308" s="3" t="s">
        <v>20</v>
      </c>
      <c r="C308" s="57">
        <v>0.35</v>
      </c>
      <c r="D308" s="4">
        <v>0.35</v>
      </c>
      <c r="E308" s="4">
        <v>0.35</v>
      </c>
      <c r="F308" s="4">
        <v>0.35</v>
      </c>
      <c r="G308" s="4">
        <v>0.35</v>
      </c>
      <c r="H308" s="4">
        <v>0.35</v>
      </c>
      <c r="I308" s="4">
        <v>0.35</v>
      </c>
      <c r="J308" s="4">
        <v>0.35</v>
      </c>
      <c r="K308" s="4">
        <v>0.35</v>
      </c>
      <c r="L308" s="4">
        <v>0.35</v>
      </c>
      <c r="M308" s="4">
        <v>0.35</v>
      </c>
      <c r="N308"/>
      <c r="O308"/>
      <c r="P308"/>
      <c r="Q308"/>
      <c r="R308"/>
      <c r="AE308" s="4">
        <v>0.35</v>
      </c>
    </row>
    <row r="309" spans="2:31" ht="18" customHeight="1" x14ac:dyDescent="0.3">
      <c r="B309" s="3" t="s">
        <v>21</v>
      </c>
      <c r="C309" s="57">
        <v>3.5</v>
      </c>
      <c r="D309" s="4">
        <v>3.5</v>
      </c>
      <c r="E309" s="4">
        <v>3.5</v>
      </c>
      <c r="F309" s="4">
        <v>3.5</v>
      </c>
      <c r="G309" s="4">
        <v>3.5</v>
      </c>
      <c r="H309" s="4">
        <v>3</v>
      </c>
      <c r="I309" s="4">
        <v>3</v>
      </c>
      <c r="J309" s="4">
        <v>3</v>
      </c>
      <c r="K309" s="4">
        <v>3</v>
      </c>
      <c r="L309" s="4">
        <v>3</v>
      </c>
      <c r="M309" s="4">
        <v>3</v>
      </c>
      <c r="N309"/>
      <c r="O309"/>
      <c r="P309"/>
      <c r="Q309"/>
      <c r="R309"/>
      <c r="AE309" s="4">
        <v>3</v>
      </c>
    </row>
    <row r="310" spans="2:31" ht="18" customHeight="1" x14ac:dyDescent="0.3">
      <c r="B310" s="3" t="s">
        <v>22</v>
      </c>
      <c r="C310" s="57">
        <v>0.5</v>
      </c>
      <c r="D310" s="4">
        <v>0.5</v>
      </c>
      <c r="E310" s="4">
        <v>0.5</v>
      </c>
      <c r="F310" s="4">
        <v>0.5</v>
      </c>
      <c r="G310" s="4">
        <v>0.5</v>
      </c>
      <c r="H310" s="4">
        <v>0.5</v>
      </c>
      <c r="I310" s="4">
        <v>0.5</v>
      </c>
      <c r="J310" s="4">
        <v>0.5</v>
      </c>
      <c r="K310" s="4">
        <v>0.5</v>
      </c>
      <c r="L310" s="4">
        <v>0.5</v>
      </c>
      <c r="M310" s="4">
        <v>0.5</v>
      </c>
      <c r="N310"/>
      <c r="O310"/>
      <c r="P310"/>
      <c r="Q310"/>
      <c r="R310"/>
      <c r="AE310" s="4">
        <v>0.5</v>
      </c>
    </row>
    <row r="311" spans="2:31" ht="18" customHeight="1" x14ac:dyDescent="0.3">
      <c r="B311" s="3" t="s">
        <v>23</v>
      </c>
      <c r="C311" s="56"/>
      <c r="D311"/>
      <c r="E311"/>
      <c r="F311"/>
      <c r="G311"/>
      <c r="H311"/>
      <c r="I311"/>
      <c r="J311" s="4"/>
      <c r="K311"/>
      <c r="L311"/>
      <c r="M311"/>
      <c r="N311"/>
      <c r="O311"/>
      <c r="P311"/>
      <c r="Q311"/>
      <c r="R311"/>
    </row>
    <row r="312" spans="2:31" ht="18" customHeight="1" x14ac:dyDescent="0.3">
      <c r="B312" s="3" t="s">
        <v>24</v>
      </c>
      <c r="C312" s="56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2:31" x14ac:dyDescent="0.25">
      <c r="C313" s="56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2:31" ht="18" customHeight="1" x14ac:dyDescent="0.25">
      <c r="B314" s="8" t="s">
        <v>33</v>
      </c>
      <c r="C314" s="56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2:31" x14ac:dyDescent="0.25">
      <c r="C315" s="56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2:31" x14ac:dyDescent="0.25">
      <c r="C316" s="5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2:31" x14ac:dyDescent="0.25">
      <c r="C317" s="56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2:31" x14ac:dyDescent="0.25">
      <c r="C318" s="56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2:31" x14ac:dyDescent="0.25">
      <c r="C319" s="56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2:31" ht="18" customHeight="1" x14ac:dyDescent="0.3">
      <c r="B320" s="3" t="s">
        <v>0</v>
      </c>
      <c r="C320" s="57" t="s">
        <v>66</v>
      </c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2:31" ht="18" customHeight="1" x14ac:dyDescent="0.25">
      <c r="B321" s="8" t="s">
        <v>3</v>
      </c>
      <c r="C321" s="57">
        <v>2</v>
      </c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2:31" ht="18" customHeight="1" x14ac:dyDescent="0.25">
      <c r="B322" s="8"/>
      <c r="C322" s="56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2:31" ht="18" customHeight="1" x14ac:dyDescent="0.25">
      <c r="B323" s="8" t="s">
        <v>6</v>
      </c>
      <c r="C323" s="61">
        <v>39595</v>
      </c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2:31" ht="18" customHeight="1" x14ac:dyDescent="0.3">
      <c r="B324" s="11" t="s">
        <v>9</v>
      </c>
      <c r="C324" s="61">
        <v>40813</v>
      </c>
      <c r="D324" s="13">
        <v>41184</v>
      </c>
      <c r="E324" s="13">
        <v>41309</v>
      </c>
      <c r="F324" s="13">
        <v>41415</v>
      </c>
      <c r="G324" s="13">
        <v>41528</v>
      </c>
      <c r="H324" s="13">
        <v>41695</v>
      </c>
      <c r="I324" s="13">
        <v>41919</v>
      </c>
      <c r="J324" s="23">
        <v>42045</v>
      </c>
      <c r="K324" s="25">
        <v>42160</v>
      </c>
      <c r="L324" s="13">
        <v>42206</v>
      </c>
      <c r="M324"/>
      <c r="N324"/>
      <c r="O324"/>
      <c r="P324"/>
      <c r="Q324"/>
      <c r="R324"/>
      <c r="AE324" s="13">
        <v>41695</v>
      </c>
    </row>
    <row r="325" spans="2:31" ht="18" customHeight="1" x14ac:dyDescent="0.3">
      <c r="B325" s="11" t="s">
        <v>8</v>
      </c>
      <c r="C325" s="56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2:31" ht="18" customHeight="1" x14ac:dyDescent="0.3">
      <c r="B326" s="3" t="s">
        <v>11</v>
      </c>
      <c r="C326" s="57">
        <v>5.72</v>
      </c>
      <c r="D326" s="4">
        <v>5.21</v>
      </c>
      <c r="E326" s="4">
        <v>5.17</v>
      </c>
      <c r="F326" s="4">
        <v>5.15</v>
      </c>
      <c r="G326" s="4">
        <v>5.14</v>
      </c>
      <c r="H326" s="4">
        <v>5.13</v>
      </c>
      <c r="I326" s="4">
        <v>5.08</v>
      </c>
      <c r="J326" s="24">
        <v>5</v>
      </c>
      <c r="K326" s="4">
        <v>4.8099999999999996</v>
      </c>
      <c r="L326" s="4">
        <v>4.74</v>
      </c>
      <c r="M326"/>
      <c r="N326"/>
      <c r="O326"/>
      <c r="P326"/>
      <c r="Q326"/>
      <c r="R326"/>
      <c r="AE326" s="4">
        <v>5.13</v>
      </c>
    </row>
    <row r="327" spans="2:31" ht="18" customHeight="1" x14ac:dyDescent="0.3">
      <c r="B327" s="3" t="s">
        <v>12</v>
      </c>
      <c r="C327" s="57">
        <v>1</v>
      </c>
      <c r="D327" s="4">
        <v>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2:31" ht="18" customHeight="1" x14ac:dyDescent="0.3">
      <c r="B328" s="3" t="s">
        <v>13</v>
      </c>
      <c r="C328" s="57">
        <v>0</v>
      </c>
      <c r="D328" s="4">
        <v>0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2:31" ht="18" customHeight="1" x14ac:dyDescent="0.3">
      <c r="B329" s="3" t="s">
        <v>14</v>
      </c>
      <c r="C329" s="56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2:31" ht="18" customHeight="1" x14ac:dyDescent="0.25">
      <c r="B330" s="8" t="s">
        <v>41</v>
      </c>
      <c r="C330" s="57">
        <v>0</v>
      </c>
      <c r="D330" s="4">
        <v>0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2:31" ht="18" customHeight="1" x14ac:dyDescent="0.3">
      <c r="B331" s="11" t="s">
        <v>15</v>
      </c>
      <c r="C331" s="56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2:31" ht="18" customHeight="1" x14ac:dyDescent="0.3">
      <c r="B332" s="3" t="s">
        <v>17</v>
      </c>
      <c r="C332" s="57" t="s">
        <v>47</v>
      </c>
      <c r="D332" s="4" t="s">
        <v>47</v>
      </c>
      <c r="E332" s="4" t="s">
        <v>47</v>
      </c>
      <c r="F332" s="4" t="s">
        <v>47</v>
      </c>
      <c r="G332" s="4" t="s">
        <v>47</v>
      </c>
      <c r="H332" s="4" t="s">
        <v>47</v>
      </c>
      <c r="I332" s="4" t="s">
        <v>47</v>
      </c>
      <c r="J332" s="4" t="s">
        <v>47</v>
      </c>
      <c r="K332" s="4" t="s">
        <v>67</v>
      </c>
      <c r="L332" s="4" t="s">
        <v>47</v>
      </c>
      <c r="M332"/>
      <c r="N332"/>
      <c r="O332"/>
      <c r="P332"/>
      <c r="Q332"/>
      <c r="R332"/>
      <c r="AE332" s="4" t="s">
        <v>47</v>
      </c>
    </row>
    <row r="333" spans="2:31" ht="18" customHeight="1" x14ac:dyDescent="0.3">
      <c r="B333" s="3" t="s">
        <v>18</v>
      </c>
      <c r="C333" s="57" t="s">
        <v>68</v>
      </c>
      <c r="D333" s="4" t="s">
        <v>68</v>
      </c>
      <c r="E333" s="4" t="s">
        <v>68</v>
      </c>
      <c r="F333" s="4" t="s">
        <v>68</v>
      </c>
      <c r="G333" s="4" t="s">
        <v>68</v>
      </c>
      <c r="H333" s="4" t="s">
        <v>68</v>
      </c>
      <c r="I333" s="4" t="s">
        <v>68</v>
      </c>
      <c r="J333" s="4" t="s">
        <v>68</v>
      </c>
      <c r="K333" s="4" t="s">
        <v>69</v>
      </c>
      <c r="L333" s="4" t="s">
        <v>68</v>
      </c>
      <c r="M333"/>
      <c r="N333"/>
      <c r="O333"/>
      <c r="P333"/>
      <c r="Q333"/>
      <c r="R333"/>
      <c r="AE333" s="4" t="s">
        <v>43</v>
      </c>
    </row>
    <row r="334" spans="2:31" ht="18" customHeight="1" x14ac:dyDescent="0.25">
      <c r="C334" s="56"/>
      <c r="D334"/>
      <c r="E334"/>
      <c r="F334"/>
      <c r="G334"/>
      <c r="H334"/>
      <c r="I334"/>
      <c r="J334" s="4"/>
      <c r="K334"/>
      <c r="L334"/>
      <c r="M334"/>
      <c r="N334"/>
      <c r="O334"/>
      <c r="P334"/>
      <c r="Q334"/>
      <c r="R334"/>
    </row>
    <row r="335" spans="2:31" ht="18" customHeight="1" x14ac:dyDescent="0.3">
      <c r="B335" s="3" t="s">
        <v>19</v>
      </c>
      <c r="C335" s="57">
        <v>2</v>
      </c>
      <c r="D335" s="4">
        <v>2</v>
      </c>
      <c r="E335" s="4">
        <v>2</v>
      </c>
      <c r="F335" s="4">
        <v>2</v>
      </c>
      <c r="G335" s="4">
        <v>2</v>
      </c>
      <c r="H335" s="4">
        <v>2</v>
      </c>
      <c r="I335" s="4">
        <v>2</v>
      </c>
      <c r="J335" s="4">
        <v>2</v>
      </c>
      <c r="K335" s="4">
        <v>2.5</v>
      </c>
      <c r="L335" s="4">
        <v>2</v>
      </c>
      <c r="M335"/>
      <c r="N335"/>
      <c r="O335"/>
      <c r="P335"/>
      <c r="Q335"/>
      <c r="R335"/>
      <c r="AE335" s="4">
        <v>2</v>
      </c>
    </row>
    <row r="336" spans="2:31" ht="18" customHeight="1" x14ac:dyDescent="0.3">
      <c r="B336" s="3" t="s">
        <v>20</v>
      </c>
      <c r="C336" s="57">
        <v>0.35</v>
      </c>
      <c r="D336" s="4">
        <v>0.35</v>
      </c>
      <c r="E336" s="4">
        <v>0.35</v>
      </c>
      <c r="F336" s="4">
        <v>0.35</v>
      </c>
      <c r="G336" s="4">
        <v>0.35</v>
      </c>
      <c r="H336" s="4">
        <v>0.35</v>
      </c>
      <c r="I336" s="4">
        <v>0.35</v>
      </c>
      <c r="J336" s="4">
        <v>0.35</v>
      </c>
      <c r="K336" s="4">
        <v>0.35</v>
      </c>
      <c r="L336" s="4">
        <v>0.35</v>
      </c>
      <c r="M336"/>
      <c r="N336"/>
      <c r="O336"/>
      <c r="P336"/>
      <c r="Q336"/>
      <c r="R336"/>
      <c r="AE336" s="4">
        <v>0.35</v>
      </c>
    </row>
    <row r="337" spans="2:31" ht="18" customHeight="1" x14ac:dyDescent="0.3">
      <c r="B337" s="3" t="s">
        <v>21</v>
      </c>
      <c r="C337" s="57">
        <v>3.5</v>
      </c>
      <c r="D337" s="4">
        <v>3.5</v>
      </c>
      <c r="E337" s="4">
        <v>3.5</v>
      </c>
      <c r="F337" s="4">
        <v>3.5</v>
      </c>
      <c r="G337" s="4">
        <v>3.5</v>
      </c>
      <c r="H337" s="4">
        <v>3</v>
      </c>
      <c r="I337" s="4">
        <v>3</v>
      </c>
      <c r="J337" s="4">
        <v>3</v>
      </c>
      <c r="K337" s="4">
        <v>2.5</v>
      </c>
      <c r="L337" s="4">
        <v>2.5</v>
      </c>
      <c r="M337"/>
      <c r="N337"/>
      <c r="O337"/>
      <c r="P337"/>
      <c r="Q337"/>
      <c r="R337"/>
      <c r="AE337" s="4">
        <v>3</v>
      </c>
    </row>
    <row r="338" spans="2:31" ht="18" customHeight="1" x14ac:dyDescent="0.3">
      <c r="B338" s="3" t="s">
        <v>22</v>
      </c>
      <c r="C338" s="57">
        <v>0.35</v>
      </c>
      <c r="D338" s="4">
        <v>0.35</v>
      </c>
      <c r="E338" s="4">
        <v>0.35</v>
      </c>
      <c r="F338" s="4">
        <v>0.35</v>
      </c>
      <c r="G338" s="4">
        <v>0.35</v>
      </c>
      <c r="H338" s="4">
        <v>0.6</v>
      </c>
      <c r="I338" s="4">
        <v>0.6</v>
      </c>
      <c r="J338" s="4">
        <v>0.6</v>
      </c>
      <c r="K338" s="4">
        <v>0.6</v>
      </c>
      <c r="L338" s="4">
        <v>0.6</v>
      </c>
      <c r="M338"/>
      <c r="N338"/>
      <c r="O338"/>
      <c r="P338"/>
      <c r="Q338"/>
      <c r="R338"/>
      <c r="AE338" s="4">
        <v>0.6</v>
      </c>
    </row>
    <row r="339" spans="2:31" ht="18" customHeight="1" x14ac:dyDescent="0.3">
      <c r="B339" s="3" t="s">
        <v>23</v>
      </c>
      <c r="C339" s="56"/>
      <c r="D339"/>
      <c r="E339"/>
      <c r="F339"/>
      <c r="G339"/>
      <c r="H339"/>
      <c r="I339"/>
      <c r="J339" s="4"/>
      <c r="K339"/>
      <c r="L339"/>
      <c r="M339"/>
      <c r="N339"/>
      <c r="O339"/>
      <c r="P339"/>
      <c r="Q339"/>
      <c r="R339"/>
    </row>
    <row r="340" spans="2:31" ht="18" customHeight="1" x14ac:dyDescent="0.3">
      <c r="B340" s="3" t="s">
        <v>24</v>
      </c>
      <c r="C340" s="56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2:31" x14ac:dyDescent="0.25">
      <c r="C341" s="56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2:31" ht="18" customHeight="1" x14ac:dyDescent="0.25">
      <c r="B342" s="8" t="s">
        <v>33</v>
      </c>
      <c r="C342" s="56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2:31" x14ac:dyDescent="0.25">
      <c r="C343" s="56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2:31" x14ac:dyDescent="0.25">
      <c r="C344" s="56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2:31" x14ac:dyDescent="0.25">
      <c r="C345" s="56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2:31" x14ac:dyDescent="0.25">
      <c r="C346" s="5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2:31" x14ac:dyDescent="0.25">
      <c r="C347" s="56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2:31" ht="18" customHeight="1" x14ac:dyDescent="0.3">
      <c r="B348" s="3" t="s">
        <v>0</v>
      </c>
      <c r="C348" s="57" t="s">
        <v>70</v>
      </c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2:31" ht="18" customHeight="1" x14ac:dyDescent="0.25">
      <c r="B349" s="8" t="s">
        <v>3</v>
      </c>
      <c r="C349" s="57">
        <v>2</v>
      </c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2:31" ht="18" customHeight="1" x14ac:dyDescent="0.25">
      <c r="B350" s="8"/>
      <c r="C350" s="56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2:31" ht="18" customHeight="1" x14ac:dyDescent="0.25">
      <c r="B351" s="8" t="s">
        <v>6</v>
      </c>
      <c r="C351" s="61">
        <v>39682</v>
      </c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2:31" ht="18" customHeight="1" x14ac:dyDescent="0.3">
      <c r="B352" s="11" t="s">
        <v>9</v>
      </c>
      <c r="C352" s="61">
        <v>40813</v>
      </c>
      <c r="D352" s="13">
        <v>40862</v>
      </c>
      <c r="E352" s="13">
        <v>41051</v>
      </c>
      <c r="F352" s="13">
        <v>41212</v>
      </c>
      <c r="G352" s="13">
        <v>41324</v>
      </c>
      <c r="H352" s="13">
        <v>41450</v>
      </c>
      <c r="I352" s="13">
        <v>41528</v>
      </c>
      <c r="J352" s="23">
        <v>41687</v>
      </c>
      <c r="K352" s="25">
        <v>41772</v>
      </c>
      <c r="L352" s="25">
        <v>41835</v>
      </c>
      <c r="M352" s="25">
        <v>41914</v>
      </c>
      <c r="N352" s="25">
        <v>42023</v>
      </c>
      <c r="O352"/>
      <c r="P352"/>
      <c r="Q352"/>
      <c r="R352"/>
      <c r="AE352" s="13">
        <v>41450</v>
      </c>
    </row>
    <row r="353" spans="2:31" ht="18" customHeight="1" x14ac:dyDescent="0.3">
      <c r="B353" s="11" t="s">
        <v>8</v>
      </c>
      <c r="C353" s="56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2:31" ht="18" customHeight="1" x14ac:dyDescent="0.3">
      <c r="B354" s="3" t="s">
        <v>11</v>
      </c>
      <c r="C354" s="57">
        <v>5.39</v>
      </c>
      <c r="D354" s="4">
        <v>5.33</v>
      </c>
      <c r="E354" s="4">
        <v>5.21</v>
      </c>
      <c r="F354" s="4">
        <v>5.16</v>
      </c>
      <c r="G354" s="4">
        <v>5.14</v>
      </c>
      <c r="H354" s="4">
        <v>5.14</v>
      </c>
      <c r="I354" s="4">
        <v>5.13</v>
      </c>
      <c r="J354" s="24">
        <v>5.1100000000000003</v>
      </c>
      <c r="K354" s="4">
        <v>5.0999999999999996</v>
      </c>
      <c r="L354" s="4">
        <v>5.07</v>
      </c>
      <c r="M354" s="4">
        <v>5.04</v>
      </c>
      <c r="N354" s="4">
        <v>4.9400000000000004</v>
      </c>
      <c r="O354"/>
      <c r="P354"/>
      <c r="Q354"/>
      <c r="R354"/>
      <c r="AE354" s="4">
        <v>5.14</v>
      </c>
    </row>
    <row r="355" spans="2:31" ht="18" customHeight="1" x14ac:dyDescent="0.3">
      <c r="B355" s="3" t="s">
        <v>12</v>
      </c>
      <c r="C355" s="57">
        <v>87</v>
      </c>
      <c r="D355" s="4">
        <v>86</v>
      </c>
      <c r="E355" s="4">
        <v>87</v>
      </c>
      <c r="F355" s="4">
        <v>88</v>
      </c>
      <c r="G355" s="4">
        <v>87</v>
      </c>
      <c r="H355" s="4">
        <v>88</v>
      </c>
      <c r="I355" s="4">
        <v>87</v>
      </c>
      <c r="J355" s="24">
        <v>84</v>
      </c>
      <c r="K355" s="4">
        <v>84</v>
      </c>
      <c r="L355" s="4">
        <v>80</v>
      </c>
      <c r="M355" s="4">
        <v>81</v>
      </c>
      <c r="N355" s="4">
        <v>81</v>
      </c>
      <c r="O355"/>
      <c r="P355"/>
      <c r="Q355"/>
      <c r="R355"/>
      <c r="AE355" s="4">
        <v>88</v>
      </c>
    </row>
    <row r="356" spans="2:31" ht="18" customHeight="1" x14ac:dyDescent="0.3">
      <c r="B356" s="3" t="s">
        <v>13</v>
      </c>
      <c r="C356" s="57">
        <v>0</v>
      </c>
      <c r="D356" s="4">
        <v>0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2:31" ht="18" customHeight="1" x14ac:dyDescent="0.3">
      <c r="B357" s="3" t="s">
        <v>14</v>
      </c>
      <c r="C357" s="56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2:31" ht="18" customHeight="1" x14ac:dyDescent="0.25">
      <c r="B358" s="8" t="s">
        <v>41</v>
      </c>
      <c r="C358" s="57" t="s">
        <v>45</v>
      </c>
      <c r="D358" s="4" t="s">
        <v>42</v>
      </c>
      <c r="E358" s="4" t="s">
        <v>42</v>
      </c>
      <c r="F358" s="4" t="s">
        <v>42</v>
      </c>
      <c r="G358" s="4" t="s">
        <v>42</v>
      </c>
      <c r="H358"/>
      <c r="I358"/>
      <c r="J358"/>
      <c r="K358"/>
      <c r="L358"/>
      <c r="M358"/>
      <c r="N358"/>
      <c r="O358"/>
      <c r="P358"/>
      <c r="Q358"/>
      <c r="R358"/>
    </row>
    <row r="359" spans="2:31" ht="18" customHeight="1" x14ac:dyDescent="0.3">
      <c r="B359" s="11" t="s">
        <v>15</v>
      </c>
      <c r="C359" s="56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2:31" ht="18" customHeight="1" x14ac:dyDescent="0.3">
      <c r="B360" s="3" t="s">
        <v>17</v>
      </c>
      <c r="C360" s="57" t="s">
        <v>47</v>
      </c>
      <c r="D360" s="4" t="s">
        <v>47</v>
      </c>
      <c r="E360" s="4" t="s">
        <v>47</v>
      </c>
      <c r="F360" s="4" t="s">
        <v>47</v>
      </c>
      <c r="G360" s="4" t="s">
        <v>47</v>
      </c>
      <c r="H360" s="4" t="s">
        <v>47</v>
      </c>
      <c r="I360" s="4" t="s">
        <v>47</v>
      </c>
      <c r="J360" s="4" t="s">
        <v>47</v>
      </c>
      <c r="K360" s="4" t="s">
        <v>47</v>
      </c>
      <c r="L360" s="4" t="s">
        <v>47</v>
      </c>
      <c r="M360" s="4" t="s">
        <v>47</v>
      </c>
      <c r="N360" s="4" t="s">
        <v>47</v>
      </c>
      <c r="O360"/>
      <c r="P360"/>
      <c r="Q360"/>
      <c r="R360"/>
      <c r="AE360" s="4" t="s">
        <v>47</v>
      </c>
    </row>
    <row r="361" spans="2:31" ht="18" customHeight="1" x14ac:dyDescent="0.3">
      <c r="B361" s="3" t="s">
        <v>18</v>
      </c>
      <c r="C361" s="57" t="s">
        <v>68</v>
      </c>
      <c r="D361" s="4" t="s">
        <v>68</v>
      </c>
      <c r="E361" s="4" t="s">
        <v>68</v>
      </c>
      <c r="F361" s="4" t="s">
        <v>68</v>
      </c>
      <c r="G361" s="4" t="s">
        <v>68</v>
      </c>
      <c r="H361" s="4" t="s">
        <v>68</v>
      </c>
      <c r="I361" s="4" t="s">
        <v>68</v>
      </c>
      <c r="J361" s="4" t="s">
        <v>68</v>
      </c>
      <c r="K361" s="4" t="s">
        <v>68</v>
      </c>
      <c r="L361" s="4" t="s">
        <v>68</v>
      </c>
      <c r="M361" s="4" t="s">
        <v>68</v>
      </c>
      <c r="N361" s="4" t="s">
        <v>68</v>
      </c>
      <c r="O361"/>
      <c r="P361"/>
      <c r="Q361"/>
      <c r="R361"/>
      <c r="AE361" s="4" t="s">
        <v>43</v>
      </c>
    </row>
    <row r="362" spans="2:31" ht="18" customHeight="1" x14ac:dyDescent="0.25">
      <c r="C362" s="56"/>
      <c r="D362"/>
      <c r="E362"/>
      <c r="F362"/>
      <c r="G362"/>
      <c r="H362"/>
      <c r="I362"/>
      <c r="J362" s="4"/>
      <c r="K362"/>
      <c r="L362"/>
      <c r="M362"/>
      <c r="N362"/>
      <c r="O362"/>
      <c r="P362"/>
      <c r="Q362"/>
      <c r="R362"/>
    </row>
    <row r="363" spans="2:31" ht="18" customHeight="1" x14ac:dyDescent="0.3">
      <c r="B363" s="3" t="s">
        <v>19</v>
      </c>
      <c r="C363" s="57">
        <v>2</v>
      </c>
      <c r="D363" s="4">
        <v>2</v>
      </c>
      <c r="E363" s="4">
        <v>2</v>
      </c>
      <c r="F363" s="4">
        <v>2</v>
      </c>
      <c r="G363" s="4">
        <v>2</v>
      </c>
      <c r="H363" s="4">
        <v>2</v>
      </c>
      <c r="I363" s="4">
        <v>2</v>
      </c>
      <c r="J363" s="4">
        <v>2</v>
      </c>
      <c r="K363" s="4">
        <v>2</v>
      </c>
      <c r="L363" s="4">
        <v>2</v>
      </c>
      <c r="M363" s="4">
        <v>2</v>
      </c>
      <c r="N363" s="4">
        <v>2</v>
      </c>
      <c r="O363"/>
      <c r="P363"/>
      <c r="Q363"/>
      <c r="R363"/>
      <c r="AE363" s="4">
        <v>2</v>
      </c>
    </row>
    <row r="364" spans="2:31" ht="18" customHeight="1" x14ac:dyDescent="0.3">
      <c r="B364" s="3" t="s">
        <v>20</v>
      </c>
      <c r="C364" s="57">
        <v>0.35</v>
      </c>
      <c r="D364" s="4">
        <v>0.35</v>
      </c>
      <c r="E364" s="4">
        <v>0.35</v>
      </c>
      <c r="F364" s="4">
        <v>0.35</v>
      </c>
      <c r="G364" s="4">
        <v>0.35</v>
      </c>
      <c r="H364" s="4">
        <v>0.35</v>
      </c>
      <c r="I364" s="4">
        <v>0.35</v>
      </c>
      <c r="J364" s="4">
        <v>0.35</v>
      </c>
      <c r="K364" s="4">
        <v>0.35</v>
      </c>
      <c r="L364" s="4">
        <v>0.35</v>
      </c>
      <c r="M364" s="4">
        <v>0.35</v>
      </c>
      <c r="N364" s="4">
        <v>0.35</v>
      </c>
      <c r="O364"/>
      <c r="P364"/>
      <c r="Q364"/>
      <c r="R364"/>
      <c r="AE364" s="4">
        <v>0.35</v>
      </c>
    </row>
    <row r="365" spans="2:31" ht="18" customHeight="1" x14ac:dyDescent="0.3">
      <c r="B365" s="3" t="s">
        <v>21</v>
      </c>
      <c r="C365" s="57">
        <v>3.5</v>
      </c>
      <c r="D365" s="4">
        <v>3.5</v>
      </c>
      <c r="E365" s="4">
        <v>3.5</v>
      </c>
      <c r="F365" s="4">
        <v>3.5</v>
      </c>
      <c r="G365" s="4">
        <v>3.5</v>
      </c>
      <c r="H365" s="4">
        <v>3.5</v>
      </c>
      <c r="I365" s="4">
        <v>3.5</v>
      </c>
      <c r="J365" s="4">
        <v>3.5</v>
      </c>
      <c r="K365" s="4">
        <v>3.5</v>
      </c>
      <c r="L365" s="4">
        <v>3.5</v>
      </c>
      <c r="M365" s="4">
        <v>3.5</v>
      </c>
      <c r="N365" s="4">
        <v>3.5</v>
      </c>
      <c r="O365"/>
      <c r="P365"/>
      <c r="Q365"/>
      <c r="R365"/>
      <c r="AE365" s="4">
        <v>3.5</v>
      </c>
    </row>
    <row r="366" spans="2:31" ht="18" customHeight="1" x14ac:dyDescent="0.3">
      <c r="B366" s="3" t="s">
        <v>22</v>
      </c>
      <c r="C366" s="57">
        <v>0.35</v>
      </c>
      <c r="D366" s="4">
        <v>0.35</v>
      </c>
      <c r="E366" s="4">
        <v>0.35</v>
      </c>
      <c r="F366" s="4">
        <v>0.35</v>
      </c>
      <c r="G366" s="4">
        <v>0.35</v>
      </c>
      <c r="H366" s="4">
        <v>0.35</v>
      </c>
      <c r="I366" s="4">
        <v>0.35</v>
      </c>
      <c r="J366" s="4">
        <v>0.35</v>
      </c>
      <c r="K366" s="4">
        <v>0.35</v>
      </c>
      <c r="L366" s="4">
        <v>0.35</v>
      </c>
      <c r="M366" s="4">
        <v>0.35</v>
      </c>
      <c r="N366" s="4">
        <v>0.35</v>
      </c>
      <c r="O366"/>
      <c r="P366"/>
      <c r="Q366"/>
      <c r="R366"/>
      <c r="AE366" s="4">
        <v>0.35</v>
      </c>
    </row>
    <row r="367" spans="2:31" ht="18" customHeight="1" x14ac:dyDescent="0.3">
      <c r="B367" s="3" t="s">
        <v>23</v>
      </c>
      <c r="C367" s="56"/>
      <c r="D367"/>
      <c r="E367"/>
      <c r="F367"/>
      <c r="G367"/>
      <c r="H367"/>
      <c r="I367"/>
      <c r="J367" s="4"/>
      <c r="K367"/>
      <c r="L367"/>
      <c r="M367"/>
      <c r="N367"/>
      <c r="O367"/>
      <c r="P367"/>
      <c r="Q367"/>
      <c r="R367"/>
    </row>
    <row r="368" spans="2:31" ht="18" customHeight="1" x14ac:dyDescent="0.3">
      <c r="B368" s="3" t="s">
        <v>24</v>
      </c>
      <c r="C368" s="56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2:31" x14ac:dyDescent="0.25">
      <c r="C369" s="56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2:31" ht="18" customHeight="1" x14ac:dyDescent="0.25">
      <c r="B370" s="8" t="s">
        <v>33</v>
      </c>
      <c r="C370" s="56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2:31" x14ac:dyDescent="0.25">
      <c r="C371" s="56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2:31" x14ac:dyDescent="0.25">
      <c r="C372" s="56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2:31" x14ac:dyDescent="0.25">
      <c r="C373" s="56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2:31" x14ac:dyDescent="0.25">
      <c r="C374" s="56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2:31" ht="18" customHeight="1" x14ac:dyDescent="0.3">
      <c r="B375" s="3" t="s">
        <v>0</v>
      </c>
      <c r="C375" s="57" t="s">
        <v>71</v>
      </c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2:31" ht="18" customHeight="1" x14ac:dyDescent="0.25">
      <c r="B376" s="8" t="s">
        <v>3</v>
      </c>
      <c r="C376" s="57">
        <v>2</v>
      </c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2:31" ht="18" customHeight="1" x14ac:dyDescent="0.25">
      <c r="B377" s="8"/>
      <c r="C377" s="56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2:31" ht="18" customHeight="1" x14ac:dyDescent="0.25">
      <c r="B378" s="8" t="s">
        <v>6</v>
      </c>
      <c r="C378" s="61">
        <v>39909</v>
      </c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2:31" ht="18" customHeight="1" x14ac:dyDescent="0.3">
      <c r="B379" s="11" t="s">
        <v>9</v>
      </c>
      <c r="C379" s="61">
        <v>40813</v>
      </c>
      <c r="D379" s="13">
        <v>41009</v>
      </c>
      <c r="E379" s="13">
        <v>41191</v>
      </c>
      <c r="F379" s="13">
        <v>41305</v>
      </c>
      <c r="G379" s="13">
        <v>41604</v>
      </c>
      <c r="H379" s="13">
        <v>41786</v>
      </c>
      <c r="I379" s="13">
        <v>42031</v>
      </c>
      <c r="J379" s="23">
        <v>42170</v>
      </c>
      <c r="K379"/>
      <c r="L379"/>
      <c r="M379"/>
      <c r="N379"/>
      <c r="O379"/>
      <c r="P379"/>
      <c r="Q379"/>
      <c r="R379"/>
      <c r="AE379" s="13">
        <v>41786</v>
      </c>
    </row>
    <row r="380" spans="2:31" ht="18" customHeight="1" x14ac:dyDescent="0.3">
      <c r="B380" s="11" t="s">
        <v>8</v>
      </c>
      <c r="C380" s="56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2:31" ht="18" customHeight="1" x14ac:dyDescent="0.3">
      <c r="B381" s="3" t="s">
        <v>11</v>
      </c>
      <c r="C381" s="57">
        <v>6.36</v>
      </c>
      <c r="D381" s="4">
        <v>6.17</v>
      </c>
      <c r="E381" s="4">
        <v>5.96</v>
      </c>
      <c r="F381" s="4">
        <v>5.89</v>
      </c>
      <c r="G381" s="4">
        <v>5.34</v>
      </c>
      <c r="H381" s="4">
        <v>5.28</v>
      </c>
      <c r="I381" s="4">
        <v>5.16</v>
      </c>
      <c r="J381" s="24">
        <v>5.16</v>
      </c>
      <c r="K381"/>
      <c r="L381"/>
      <c r="M381"/>
      <c r="N381"/>
      <c r="O381"/>
      <c r="P381"/>
      <c r="Q381"/>
      <c r="R381"/>
      <c r="AE381" s="4">
        <v>5.28</v>
      </c>
    </row>
    <row r="382" spans="2:31" ht="18" customHeight="1" x14ac:dyDescent="0.3">
      <c r="B382" s="3" t="s">
        <v>12</v>
      </c>
      <c r="C382" s="57">
        <v>1</v>
      </c>
      <c r="D382" s="4">
        <v>1</v>
      </c>
      <c r="E382" s="4">
        <v>1</v>
      </c>
      <c r="F382" s="4">
        <v>1</v>
      </c>
      <c r="G382" s="4">
        <v>1</v>
      </c>
      <c r="H382" s="4">
        <v>1</v>
      </c>
      <c r="I382" s="4">
        <v>2</v>
      </c>
      <c r="J382" s="24">
        <v>1</v>
      </c>
      <c r="K382"/>
      <c r="L382"/>
      <c r="M382"/>
      <c r="N382"/>
      <c r="O382"/>
      <c r="P382"/>
      <c r="Q382"/>
      <c r="R382"/>
      <c r="AE382" s="4">
        <v>1</v>
      </c>
    </row>
    <row r="383" spans="2:31" ht="18" customHeight="1" x14ac:dyDescent="0.3">
      <c r="B383" s="3" t="s">
        <v>13</v>
      </c>
      <c r="C383" s="57">
        <v>0</v>
      </c>
      <c r="D383" s="4">
        <v>0</v>
      </c>
      <c r="E383" s="4">
        <v>0</v>
      </c>
      <c r="F383" s="4">
        <v>1</v>
      </c>
      <c r="G383" s="4">
        <v>0</v>
      </c>
      <c r="H383" s="4">
        <v>0</v>
      </c>
      <c r="I383" s="4">
        <v>1</v>
      </c>
      <c r="J383" s="24">
        <v>2</v>
      </c>
      <c r="K383"/>
      <c r="L383"/>
      <c r="M383"/>
      <c r="N383"/>
      <c r="O383"/>
      <c r="P383"/>
      <c r="Q383"/>
      <c r="R383"/>
      <c r="AE383" s="4">
        <v>0</v>
      </c>
    </row>
    <row r="384" spans="2:31" ht="18" customHeight="1" x14ac:dyDescent="0.3">
      <c r="B384" s="3" t="s">
        <v>14</v>
      </c>
      <c r="C384" s="56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2:31" ht="18" customHeight="1" x14ac:dyDescent="0.25">
      <c r="B385" s="8" t="s">
        <v>41</v>
      </c>
      <c r="C385" s="57" t="s">
        <v>72</v>
      </c>
      <c r="D385" s="4" t="s">
        <v>73</v>
      </c>
      <c r="E385" s="4" t="s">
        <v>74</v>
      </c>
      <c r="F385" s="26">
        <v>0.33333333333333298</v>
      </c>
      <c r="G385"/>
      <c r="H385"/>
      <c r="I385"/>
      <c r="J385" s="24" t="s">
        <v>42</v>
      </c>
      <c r="K385"/>
      <c r="L385"/>
      <c r="M385"/>
      <c r="N385"/>
      <c r="O385"/>
      <c r="P385"/>
      <c r="Q385"/>
      <c r="R385"/>
    </row>
    <row r="386" spans="2:31" ht="18" customHeight="1" x14ac:dyDescent="0.3">
      <c r="B386" s="11" t="s">
        <v>15</v>
      </c>
      <c r="C386" s="5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2:31" ht="18" customHeight="1" x14ac:dyDescent="0.3">
      <c r="B387" s="3" t="s">
        <v>17</v>
      </c>
      <c r="C387" s="57" t="s">
        <v>67</v>
      </c>
      <c r="D387" s="4" t="s">
        <v>67</v>
      </c>
      <c r="E387" s="4" t="s">
        <v>67</v>
      </c>
      <c r="F387" s="4" t="s">
        <v>67</v>
      </c>
      <c r="G387" s="4" t="s">
        <v>67</v>
      </c>
      <c r="H387" s="4" t="s">
        <v>67</v>
      </c>
      <c r="I387" s="4" t="s">
        <v>67</v>
      </c>
      <c r="J387" s="24" t="s">
        <v>63</v>
      </c>
      <c r="K387"/>
      <c r="L387"/>
      <c r="M387"/>
      <c r="N387"/>
      <c r="O387"/>
      <c r="P387"/>
      <c r="Q387"/>
      <c r="R387"/>
      <c r="AE387" s="4" t="s">
        <v>67</v>
      </c>
    </row>
    <row r="388" spans="2:31" ht="18" customHeight="1" x14ac:dyDescent="0.3">
      <c r="B388" s="3" t="s">
        <v>18</v>
      </c>
      <c r="C388" s="57" t="s">
        <v>68</v>
      </c>
      <c r="D388" s="4" t="s">
        <v>68</v>
      </c>
      <c r="E388" s="4" t="s">
        <v>68</v>
      </c>
      <c r="F388" s="4" t="s">
        <v>68</v>
      </c>
      <c r="G388" s="4" t="s">
        <v>68</v>
      </c>
      <c r="H388" s="4" t="s">
        <v>68</v>
      </c>
      <c r="I388" s="4" t="s">
        <v>68</v>
      </c>
      <c r="J388" s="24" t="s">
        <v>69</v>
      </c>
      <c r="K388"/>
      <c r="L388"/>
      <c r="M388"/>
      <c r="N388"/>
      <c r="O388"/>
      <c r="P388"/>
      <c r="Q388"/>
      <c r="R388"/>
      <c r="AE388" s="4" t="s">
        <v>43</v>
      </c>
    </row>
    <row r="389" spans="2:31" x14ac:dyDescent="0.25">
      <c r="C389" s="56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2:31" ht="18" customHeight="1" x14ac:dyDescent="0.3">
      <c r="B390" s="3" t="s">
        <v>19</v>
      </c>
      <c r="C390" s="57">
        <v>2</v>
      </c>
      <c r="D390" s="4">
        <v>2</v>
      </c>
      <c r="E390" s="4">
        <v>2</v>
      </c>
      <c r="F390" s="4">
        <v>2</v>
      </c>
      <c r="G390" s="4">
        <v>2</v>
      </c>
      <c r="H390" s="4">
        <v>2</v>
      </c>
      <c r="I390" s="4">
        <v>2</v>
      </c>
      <c r="J390" s="4">
        <v>2</v>
      </c>
      <c r="K390"/>
      <c r="L390"/>
      <c r="M390"/>
      <c r="N390"/>
      <c r="O390"/>
      <c r="P390"/>
      <c r="Q390"/>
      <c r="R390"/>
      <c r="AE390" s="4">
        <v>2</v>
      </c>
    </row>
    <row r="391" spans="2:31" ht="18" customHeight="1" x14ac:dyDescent="0.3">
      <c r="B391" s="3" t="s">
        <v>20</v>
      </c>
      <c r="C391" s="57">
        <v>0.35</v>
      </c>
      <c r="D391" s="4">
        <v>0.35</v>
      </c>
      <c r="E391" s="4">
        <v>0.35</v>
      </c>
      <c r="F391" s="4">
        <v>0.35</v>
      </c>
      <c r="G391" s="4">
        <v>0.35</v>
      </c>
      <c r="H391" s="4">
        <v>0.35</v>
      </c>
      <c r="I391" s="4">
        <v>0.35</v>
      </c>
      <c r="J391" s="4">
        <v>0.35</v>
      </c>
      <c r="K391"/>
      <c r="L391"/>
      <c r="M391"/>
      <c r="N391"/>
      <c r="O391"/>
      <c r="P391"/>
      <c r="Q391"/>
      <c r="R391"/>
      <c r="AE391" s="4">
        <v>0.35</v>
      </c>
    </row>
    <row r="392" spans="2:31" ht="18" customHeight="1" x14ac:dyDescent="0.3">
      <c r="B392" s="3" t="s">
        <v>21</v>
      </c>
      <c r="C392" s="57">
        <v>2.5</v>
      </c>
      <c r="D392" s="4">
        <v>2.5</v>
      </c>
      <c r="E392" s="4">
        <v>2.5</v>
      </c>
      <c r="F392" s="4">
        <v>2.5</v>
      </c>
      <c r="G392" s="4">
        <v>2.5</v>
      </c>
      <c r="H392" s="4">
        <v>2.5</v>
      </c>
      <c r="I392" s="4">
        <v>2.5</v>
      </c>
      <c r="J392" s="4">
        <v>2.5</v>
      </c>
      <c r="K392"/>
      <c r="L392"/>
      <c r="M392"/>
      <c r="N392"/>
      <c r="O392"/>
      <c r="P392"/>
      <c r="Q392"/>
      <c r="R392"/>
      <c r="AE392" s="4">
        <v>2.5</v>
      </c>
    </row>
    <row r="393" spans="2:31" ht="18" customHeight="1" x14ac:dyDescent="0.3">
      <c r="B393" s="3" t="s">
        <v>22</v>
      </c>
      <c r="C393" s="57">
        <v>0.35</v>
      </c>
      <c r="D393" s="4">
        <v>0.35</v>
      </c>
      <c r="E393" s="4">
        <v>0.35</v>
      </c>
      <c r="F393" s="4">
        <v>0.35</v>
      </c>
      <c r="G393" s="4">
        <v>0.35</v>
      </c>
      <c r="H393" s="4">
        <v>0.35</v>
      </c>
      <c r="I393" s="4">
        <v>0.35</v>
      </c>
      <c r="J393" s="4">
        <v>0.35</v>
      </c>
      <c r="K393"/>
      <c r="L393"/>
      <c r="M393"/>
      <c r="N393"/>
      <c r="O393"/>
      <c r="P393"/>
      <c r="Q393"/>
      <c r="R393"/>
      <c r="AE393" s="4">
        <v>0.35</v>
      </c>
    </row>
    <row r="394" spans="2:31" ht="18" customHeight="1" x14ac:dyDescent="0.3">
      <c r="B394" s="3" t="s">
        <v>23</v>
      </c>
      <c r="C394" s="56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2:31" ht="18" customHeight="1" x14ac:dyDescent="0.3">
      <c r="B395" s="3" t="s">
        <v>24</v>
      </c>
      <c r="C395" s="56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2:31" x14ac:dyDescent="0.25">
      <c r="C396" s="5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2:31" ht="18" customHeight="1" x14ac:dyDescent="0.25">
      <c r="B397" s="8" t="s">
        <v>33</v>
      </c>
      <c r="C397" s="56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2:31" x14ac:dyDescent="0.25">
      <c r="C398" s="56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2:31" x14ac:dyDescent="0.25">
      <c r="C399" s="56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2:31" x14ac:dyDescent="0.25">
      <c r="C400" s="56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2:31" x14ac:dyDescent="0.25">
      <c r="C401" s="56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2:31" ht="18" customHeight="1" x14ac:dyDescent="0.3">
      <c r="B402" s="3" t="s">
        <v>0</v>
      </c>
      <c r="C402" s="57" t="s">
        <v>75</v>
      </c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2:31" ht="18" customHeight="1" x14ac:dyDescent="0.25">
      <c r="B403" s="8" t="s">
        <v>3</v>
      </c>
      <c r="C403" s="57">
        <v>2</v>
      </c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2:31" ht="18" customHeight="1" x14ac:dyDescent="0.25">
      <c r="B404" s="8"/>
      <c r="C404" s="56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2:31" ht="18" customHeight="1" x14ac:dyDescent="0.25">
      <c r="B405" s="8" t="s">
        <v>6</v>
      </c>
      <c r="C405" s="61">
        <v>39231</v>
      </c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2:31" ht="18" customHeight="1" x14ac:dyDescent="0.3">
      <c r="B406" s="11" t="s">
        <v>9</v>
      </c>
      <c r="C406" s="61">
        <v>40730</v>
      </c>
      <c r="D406" s="13">
        <v>40940</v>
      </c>
      <c r="E406" s="13">
        <v>41121</v>
      </c>
      <c r="F406" s="13">
        <v>41324</v>
      </c>
      <c r="G406" s="13">
        <v>41422</v>
      </c>
      <c r="H406" s="13">
        <v>41499</v>
      </c>
      <c r="I406" s="13">
        <v>41697</v>
      </c>
      <c r="J406" s="27">
        <v>41750</v>
      </c>
      <c r="K406" s="25">
        <v>41792</v>
      </c>
      <c r="L406" s="28"/>
      <c r="M406"/>
      <c r="N406"/>
      <c r="O406"/>
      <c r="P406"/>
      <c r="Q406"/>
      <c r="R406"/>
      <c r="AE406" s="13">
        <v>41499</v>
      </c>
    </row>
    <row r="407" spans="2:31" ht="18" customHeight="1" x14ac:dyDescent="0.3">
      <c r="B407" s="11" t="s">
        <v>8</v>
      </c>
      <c r="C407" s="56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2:31" ht="18" customHeight="1" x14ac:dyDescent="0.3">
      <c r="B408" s="3" t="s">
        <v>11</v>
      </c>
      <c r="C408" s="57">
        <v>5.26</v>
      </c>
      <c r="D408" s="4">
        <v>5.18</v>
      </c>
      <c r="E408" s="4">
        <v>5.16</v>
      </c>
      <c r="F408" s="4">
        <v>5.14</v>
      </c>
      <c r="G408" s="4">
        <v>5.14</v>
      </c>
      <c r="H408" s="4">
        <v>5.12</v>
      </c>
      <c r="I408" s="4">
        <v>5.04</v>
      </c>
      <c r="J408" s="24">
        <v>4.97</v>
      </c>
      <c r="K408" s="4">
        <v>4.87</v>
      </c>
      <c r="L408" s="4">
        <v>4.76</v>
      </c>
      <c r="M408"/>
      <c r="N408"/>
      <c r="O408"/>
      <c r="P408"/>
      <c r="Q408"/>
      <c r="R408"/>
      <c r="AE408" s="4">
        <v>5.12</v>
      </c>
    </row>
    <row r="409" spans="2:31" ht="18" customHeight="1" x14ac:dyDescent="0.3">
      <c r="B409" s="3" t="s">
        <v>12</v>
      </c>
      <c r="C409" s="57">
        <v>3</v>
      </c>
      <c r="D409" s="4">
        <v>10</v>
      </c>
      <c r="E409" s="4">
        <v>16</v>
      </c>
      <c r="F409" s="4">
        <v>28</v>
      </c>
      <c r="G409" s="4">
        <v>24</v>
      </c>
      <c r="H409" s="4">
        <v>24</v>
      </c>
      <c r="I409" s="4">
        <v>25</v>
      </c>
      <c r="J409" s="24">
        <v>20</v>
      </c>
      <c r="K409" s="4">
        <v>19</v>
      </c>
      <c r="L409" s="4">
        <v>22</v>
      </c>
      <c r="M409"/>
      <c r="N409"/>
      <c r="O409"/>
      <c r="P409"/>
      <c r="Q409"/>
      <c r="R409"/>
      <c r="AE409" s="4">
        <v>24</v>
      </c>
    </row>
    <row r="410" spans="2:31" ht="18" customHeight="1" x14ac:dyDescent="0.3">
      <c r="B410" s="3" t="s">
        <v>13</v>
      </c>
      <c r="C410" s="57">
        <v>0</v>
      </c>
      <c r="D410"/>
      <c r="E410"/>
      <c r="F410" s="4">
        <v>1</v>
      </c>
      <c r="G410" s="4">
        <v>0</v>
      </c>
      <c r="H410"/>
      <c r="I410" s="4">
        <v>2</v>
      </c>
      <c r="J410" s="24">
        <v>0</v>
      </c>
      <c r="K410" s="4">
        <v>0</v>
      </c>
      <c r="L410" s="4">
        <v>1</v>
      </c>
      <c r="M410"/>
      <c r="N410"/>
      <c r="O410"/>
      <c r="P410"/>
      <c r="Q410"/>
      <c r="R410"/>
    </row>
    <row r="411" spans="2:31" ht="18" customHeight="1" x14ac:dyDescent="0.3">
      <c r="B411" s="3" t="s">
        <v>14</v>
      </c>
      <c r="C411" s="56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2:31" ht="18" customHeight="1" x14ac:dyDescent="0.25">
      <c r="B412" s="8" t="s">
        <v>41</v>
      </c>
      <c r="C412" s="56"/>
      <c r="D412"/>
      <c r="E412"/>
      <c r="F412" s="26" t="s">
        <v>45</v>
      </c>
      <c r="G412"/>
      <c r="H412"/>
      <c r="I412"/>
      <c r="J412"/>
      <c r="K412"/>
      <c r="L412" s="4" t="s">
        <v>42</v>
      </c>
      <c r="M412"/>
      <c r="N412"/>
      <c r="O412"/>
      <c r="P412"/>
      <c r="Q412"/>
      <c r="R412"/>
    </row>
    <row r="413" spans="2:31" ht="18" customHeight="1" x14ac:dyDescent="0.3">
      <c r="B413" s="11" t="s">
        <v>15</v>
      </c>
      <c r="C413" s="56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2:31" ht="18" customHeight="1" x14ac:dyDescent="0.3">
      <c r="B414" s="3" t="s">
        <v>17</v>
      </c>
      <c r="C414" s="57" t="s">
        <v>47</v>
      </c>
      <c r="D414" s="4" t="s">
        <v>47</v>
      </c>
      <c r="E414" s="4" t="s">
        <v>47</v>
      </c>
      <c r="F414" s="4" t="s">
        <v>47</v>
      </c>
      <c r="G414" s="4" t="s">
        <v>47</v>
      </c>
      <c r="H414" s="4" t="s">
        <v>47</v>
      </c>
      <c r="I414" s="4" t="s">
        <v>47</v>
      </c>
      <c r="J414" s="4" t="s">
        <v>47</v>
      </c>
      <c r="K414" s="4" t="s">
        <v>47</v>
      </c>
      <c r="L414" s="4" t="s">
        <v>47</v>
      </c>
      <c r="M414"/>
      <c r="N414"/>
      <c r="O414"/>
      <c r="P414"/>
      <c r="Q414"/>
      <c r="R414"/>
      <c r="AE414" s="4" t="s">
        <v>47</v>
      </c>
    </row>
    <row r="415" spans="2:31" ht="18" customHeight="1" x14ac:dyDescent="0.3">
      <c r="B415" s="3" t="s">
        <v>18</v>
      </c>
      <c r="C415" s="57" t="s">
        <v>68</v>
      </c>
      <c r="D415" s="4" t="s">
        <v>68</v>
      </c>
      <c r="E415" s="4" t="s">
        <v>68</v>
      </c>
      <c r="F415" s="4" t="s">
        <v>68</v>
      </c>
      <c r="G415" s="4" t="s">
        <v>68</v>
      </c>
      <c r="H415" s="4" t="s">
        <v>68</v>
      </c>
      <c r="I415" s="4" t="s">
        <v>68</v>
      </c>
      <c r="J415" s="4" t="s">
        <v>68</v>
      </c>
      <c r="K415" s="4" t="s">
        <v>68</v>
      </c>
      <c r="L415" s="4" t="s">
        <v>68</v>
      </c>
      <c r="M415"/>
      <c r="N415"/>
      <c r="O415"/>
      <c r="P415"/>
      <c r="Q415"/>
      <c r="R415"/>
      <c r="AE415" s="4" t="s">
        <v>43</v>
      </c>
    </row>
    <row r="416" spans="2:31" ht="18" customHeight="1" x14ac:dyDescent="0.25">
      <c r="C416" s="56"/>
      <c r="D416"/>
      <c r="E416"/>
      <c r="F416"/>
      <c r="G416"/>
      <c r="H416"/>
      <c r="I416"/>
      <c r="J416" s="4"/>
      <c r="K416"/>
      <c r="L416"/>
      <c r="M416"/>
      <c r="N416"/>
      <c r="O416"/>
      <c r="P416"/>
      <c r="Q416"/>
      <c r="R416"/>
    </row>
    <row r="417" spans="2:31" ht="18" customHeight="1" x14ac:dyDescent="0.3">
      <c r="B417" s="3" t="s">
        <v>19</v>
      </c>
      <c r="C417" s="57">
        <v>2</v>
      </c>
      <c r="D417" s="4">
        <v>2</v>
      </c>
      <c r="E417" s="4">
        <v>2</v>
      </c>
      <c r="F417" s="4">
        <v>2</v>
      </c>
      <c r="G417" s="4">
        <v>2</v>
      </c>
      <c r="H417" s="4">
        <v>2</v>
      </c>
      <c r="I417" s="4">
        <v>2</v>
      </c>
      <c r="J417" s="4">
        <v>2</v>
      </c>
      <c r="K417" s="4">
        <v>2</v>
      </c>
      <c r="L417" s="4">
        <v>2</v>
      </c>
      <c r="M417"/>
      <c r="N417"/>
      <c r="O417"/>
      <c r="P417"/>
      <c r="Q417"/>
      <c r="R417"/>
      <c r="AE417" s="4">
        <v>2</v>
      </c>
    </row>
    <row r="418" spans="2:31" ht="18" customHeight="1" x14ac:dyDescent="0.3">
      <c r="B418" s="3" t="s">
        <v>20</v>
      </c>
      <c r="C418" s="57">
        <v>0.35</v>
      </c>
      <c r="D418" s="4">
        <v>0.35</v>
      </c>
      <c r="E418" s="4">
        <v>0.35</v>
      </c>
      <c r="F418" s="4">
        <v>0.35</v>
      </c>
      <c r="G418" s="4">
        <v>0.35</v>
      </c>
      <c r="H418" s="4">
        <v>0.35</v>
      </c>
      <c r="I418" s="4">
        <v>0.35</v>
      </c>
      <c r="J418" s="4">
        <v>0.35</v>
      </c>
      <c r="K418" s="4">
        <v>0.35</v>
      </c>
      <c r="L418" s="4">
        <v>0.35</v>
      </c>
      <c r="M418"/>
      <c r="N418"/>
      <c r="O418"/>
      <c r="P418"/>
      <c r="Q418"/>
      <c r="R418"/>
      <c r="AE418" s="4">
        <v>0.35</v>
      </c>
    </row>
    <row r="419" spans="2:31" ht="18" customHeight="1" x14ac:dyDescent="0.3">
      <c r="B419" s="3" t="s">
        <v>21</v>
      </c>
      <c r="C419" s="57">
        <v>2.5</v>
      </c>
      <c r="D419" s="4">
        <v>2.5</v>
      </c>
      <c r="E419" s="4">
        <v>2.5</v>
      </c>
      <c r="F419" s="4">
        <v>2.5</v>
      </c>
      <c r="G419" s="4">
        <v>2.5</v>
      </c>
      <c r="H419" s="4">
        <v>2.5</v>
      </c>
      <c r="I419" s="4">
        <v>2.5</v>
      </c>
      <c r="J419" s="4">
        <v>2.5</v>
      </c>
      <c r="K419" s="4">
        <v>2.5</v>
      </c>
      <c r="L419" s="4">
        <v>2.5</v>
      </c>
      <c r="M419"/>
      <c r="N419"/>
      <c r="O419"/>
      <c r="P419"/>
      <c r="Q419"/>
      <c r="R419"/>
      <c r="AE419" s="4">
        <v>2.5</v>
      </c>
    </row>
    <row r="420" spans="2:31" ht="18" customHeight="1" x14ac:dyDescent="0.3">
      <c r="B420" s="3" t="s">
        <v>22</v>
      </c>
      <c r="C420" s="57">
        <v>0.35</v>
      </c>
      <c r="D420" s="4">
        <v>0.35</v>
      </c>
      <c r="E420" s="4">
        <v>0.35</v>
      </c>
      <c r="F420" s="4">
        <v>0.35</v>
      </c>
      <c r="G420" s="4">
        <v>0.35</v>
      </c>
      <c r="H420" s="4">
        <v>0.35</v>
      </c>
      <c r="I420" s="4">
        <v>0.35</v>
      </c>
      <c r="J420" s="4">
        <v>0.35</v>
      </c>
      <c r="K420" s="4">
        <v>0.35</v>
      </c>
      <c r="L420" s="4">
        <v>0.35</v>
      </c>
      <c r="M420"/>
      <c r="N420"/>
      <c r="O420"/>
      <c r="P420"/>
      <c r="Q420"/>
      <c r="R420"/>
      <c r="AE420" s="4">
        <v>0.35</v>
      </c>
    </row>
    <row r="421" spans="2:31" ht="18" customHeight="1" x14ac:dyDescent="0.3">
      <c r="B421" s="3" t="s">
        <v>23</v>
      </c>
      <c r="C421" s="56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2:31" ht="18" customHeight="1" x14ac:dyDescent="0.3">
      <c r="B422" s="3" t="s">
        <v>24</v>
      </c>
      <c r="C422" s="56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2:31" x14ac:dyDescent="0.25">
      <c r="C423" s="56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2:31" ht="18" customHeight="1" x14ac:dyDescent="0.25">
      <c r="B424" s="8" t="s">
        <v>33</v>
      </c>
      <c r="C424" s="56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2:31" x14ac:dyDescent="0.25">
      <c r="C425" s="56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2:31" x14ac:dyDescent="0.25">
      <c r="C426" s="5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2:31" x14ac:dyDescent="0.25">
      <c r="C427" s="56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2:31" x14ac:dyDescent="0.25">
      <c r="C428" s="56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2:31" ht="18" customHeight="1" x14ac:dyDescent="0.3">
      <c r="B429" s="3" t="s">
        <v>0</v>
      </c>
      <c r="C429" s="57" t="s">
        <v>76</v>
      </c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2:31" ht="18" customHeight="1" x14ac:dyDescent="0.25">
      <c r="B430" s="8" t="s">
        <v>3</v>
      </c>
      <c r="C430" s="57">
        <v>2</v>
      </c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2:31" ht="18" customHeight="1" x14ac:dyDescent="0.25">
      <c r="B431" s="8"/>
      <c r="C431" s="56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2:31" ht="18" customHeight="1" x14ac:dyDescent="0.25">
      <c r="B432" s="8" t="s">
        <v>6</v>
      </c>
      <c r="C432" s="61">
        <v>38790</v>
      </c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2:31" ht="18" customHeight="1" x14ac:dyDescent="0.3">
      <c r="B433" s="11" t="s">
        <v>9</v>
      </c>
      <c r="C433" s="61">
        <v>40673</v>
      </c>
      <c r="D433" s="13">
        <v>40813</v>
      </c>
      <c r="E433" s="13">
        <v>40897</v>
      </c>
      <c r="F433" s="13">
        <v>41023</v>
      </c>
      <c r="G433" s="13">
        <v>41086</v>
      </c>
      <c r="H433" s="13">
        <v>41163</v>
      </c>
      <c r="I433" s="13">
        <v>41222</v>
      </c>
      <c r="J433" s="27">
        <v>41268</v>
      </c>
      <c r="K433" s="25">
        <v>41272</v>
      </c>
      <c r="L433" s="25">
        <v>41284</v>
      </c>
      <c r="M433" s="25">
        <v>41306</v>
      </c>
      <c r="N433" s="25">
        <v>41366</v>
      </c>
      <c r="O433" s="25">
        <v>41428</v>
      </c>
      <c r="P433"/>
      <c r="Q433"/>
      <c r="R433"/>
      <c r="AE433" s="13">
        <v>41163</v>
      </c>
    </row>
    <row r="434" spans="2:31" ht="18" customHeight="1" x14ac:dyDescent="0.3">
      <c r="B434" s="11" t="s">
        <v>8</v>
      </c>
      <c r="C434" s="56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2:31" ht="18" customHeight="1" x14ac:dyDescent="0.3">
      <c r="B435" s="3" t="s">
        <v>11</v>
      </c>
      <c r="C435" s="57">
        <v>5.17</v>
      </c>
      <c r="D435" s="4">
        <v>5.15</v>
      </c>
      <c r="E435" s="4">
        <v>5.15</v>
      </c>
      <c r="F435" s="4">
        <v>5.14</v>
      </c>
      <c r="G435" s="4">
        <v>5.14</v>
      </c>
      <c r="H435" s="4">
        <v>5.13</v>
      </c>
      <c r="I435" s="4">
        <v>5.0999999999999996</v>
      </c>
      <c r="J435" s="24">
        <v>5.0999999999999996</v>
      </c>
      <c r="K435" s="4">
        <v>5.08</v>
      </c>
      <c r="L435" s="4">
        <v>5.05</v>
      </c>
      <c r="M435" s="4">
        <v>5.03</v>
      </c>
      <c r="N435" s="4">
        <v>4.9000000000000004</v>
      </c>
      <c r="O435" s="4">
        <v>4.7699999999999996</v>
      </c>
      <c r="P435"/>
      <c r="Q435"/>
      <c r="R435"/>
      <c r="AE435" s="4">
        <v>5.13</v>
      </c>
    </row>
    <row r="436" spans="2:31" ht="18" customHeight="1" x14ac:dyDescent="0.3">
      <c r="B436" s="3" t="s">
        <v>12</v>
      </c>
      <c r="C436" s="57">
        <v>0</v>
      </c>
      <c r="D436" s="4">
        <v>5</v>
      </c>
      <c r="E436" s="4">
        <v>1</v>
      </c>
      <c r="F436" s="4">
        <v>42</v>
      </c>
      <c r="G436" s="4">
        <v>65</v>
      </c>
      <c r="H436" s="4">
        <v>50</v>
      </c>
      <c r="I436" s="4">
        <v>59</v>
      </c>
      <c r="J436" s="24">
        <v>59</v>
      </c>
      <c r="K436" s="4">
        <v>73</v>
      </c>
      <c r="L436" s="4">
        <v>88</v>
      </c>
      <c r="M436" s="4">
        <v>89</v>
      </c>
      <c r="N436" s="4">
        <v>74</v>
      </c>
      <c r="O436" s="4">
        <v>62</v>
      </c>
      <c r="P436"/>
      <c r="Q436"/>
      <c r="R436"/>
      <c r="AE436" s="4">
        <v>50</v>
      </c>
    </row>
    <row r="437" spans="2:31" ht="18" customHeight="1" x14ac:dyDescent="0.3">
      <c r="B437" s="3" t="s">
        <v>13</v>
      </c>
      <c r="C437" s="57">
        <v>0</v>
      </c>
      <c r="D437" s="4">
        <v>0</v>
      </c>
      <c r="E437" s="4">
        <v>0</v>
      </c>
      <c r="F437" s="4">
        <v>0</v>
      </c>
      <c r="G437" s="4">
        <v>0</v>
      </c>
      <c r="H437"/>
      <c r="I437"/>
      <c r="J437"/>
      <c r="K437"/>
      <c r="L437"/>
      <c r="M437"/>
      <c r="N437"/>
      <c r="O437"/>
      <c r="P437"/>
      <c r="Q437"/>
      <c r="R437"/>
    </row>
    <row r="438" spans="2:31" ht="18" customHeight="1" x14ac:dyDescent="0.3">
      <c r="B438" s="3" t="s">
        <v>14</v>
      </c>
      <c r="C438" s="56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2:31" ht="18" customHeight="1" x14ac:dyDescent="0.25">
      <c r="B439" s="8" t="s">
        <v>41</v>
      </c>
      <c r="C439" s="57" t="s">
        <v>42</v>
      </c>
      <c r="D439" s="4" t="s">
        <v>77</v>
      </c>
      <c r="E439" s="4" t="s">
        <v>42</v>
      </c>
      <c r="F439" s="26"/>
      <c r="G439"/>
      <c r="H439" s="26"/>
      <c r="I439" s="29" t="s">
        <v>78</v>
      </c>
      <c r="J439" s="30" t="s">
        <v>79</v>
      </c>
      <c r="K439" s="4" t="s">
        <v>79</v>
      </c>
      <c r="L439" s="26" t="s">
        <v>80</v>
      </c>
      <c r="M439" s="4" t="s">
        <v>80</v>
      </c>
      <c r="N439"/>
      <c r="O439"/>
      <c r="P439"/>
      <c r="Q439"/>
      <c r="R439"/>
      <c r="AE439" s="26"/>
    </row>
    <row r="440" spans="2:31" ht="18" customHeight="1" x14ac:dyDescent="0.3">
      <c r="B440" s="11" t="s">
        <v>15</v>
      </c>
      <c r="C440" s="56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2:31" ht="18" customHeight="1" x14ac:dyDescent="0.3">
      <c r="B441" s="3" t="s">
        <v>17</v>
      </c>
      <c r="C441" s="57" t="s">
        <v>67</v>
      </c>
      <c r="D441" s="4" t="s">
        <v>67</v>
      </c>
      <c r="E441" s="4" t="s">
        <v>67</v>
      </c>
      <c r="F441" s="4" t="s">
        <v>67</v>
      </c>
      <c r="G441" s="4" t="s">
        <v>81</v>
      </c>
      <c r="H441" s="4" t="s">
        <v>81</v>
      </c>
      <c r="I441" s="4" t="s">
        <v>81</v>
      </c>
      <c r="J441" s="4" t="s">
        <v>81</v>
      </c>
      <c r="K441" s="4" t="s">
        <v>81</v>
      </c>
      <c r="L441" s="4" t="s">
        <v>81</v>
      </c>
      <c r="M441" s="4" t="s">
        <v>81</v>
      </c>
      <c r="N441" s="4" t="s">
        <v>81</v>
      </c>
      <c r="O441" s="4" t="s">
        <v>81</v>
      </c>
      <c r="P441"/>
      <c r="Q441"/>
      <c r="R441"/>
      <c r="AE441" s="4" t="s">
        <v>81</v>
      </c>
    </row>
    <row r="442" spans="2:31" ht="18" customHeight="1" x14ac:dyDescent="0.3">
      <c r="B442" s="3" t="s">
        <v>18</v>
      </c>
      <c r="C442" s="57" t="s">
        <v>68</v>
      </c>
      <c r="D442" s="4" t="s">
        <v>68</v>
      </c>
      <c r="E442" s="4" t="s">
        <v>68</v>
      </c>
      <c r="F442" s="4" t="s">
        <v>68</v>
      </c>
      <c r="G442" s="4" t="s">
        <v>68</v>
      </c>
      <c r="H442" s="4" t="s">
        <v>68</v>
      </c>
      <c r="I442" s="4" t="s">
        <v>68</v>
      </c>
      <c r="J442" s="4" t="s">
        <v>68</v>
      </c>
      <c r="K442" s="4" t="s">
        <v>68</v>
      </c>
      <c r="L442" s="4" t="s">
        <v>68</v>
      </c>
      <c r="M442" s="4" t="s">
        <v>68</v>
      </c>
      <c r="N442" s="4" t="s">
        <v>68</v>
      </c>
      <c r="O442" s="4" t="s">
        <v>68</v>
      </c>
      <c r="P442"/>
      <c r="Q442"/>
      <c r="R442"/>
      <c r="AE442" s="4" t="s">
        <v>43</v>
      </c>
    </row>
    <row r="443" spans="2:31" ht="18" customHeight="1" x14ac:dyDescent="0.25">
      <c r="C443" s="56"/>
      <c r="D443"/>
      <c r="E443"/>
      <c r="F443"/>
      <c r="G443"/>
      <c r="H443"/>
      <c r="I443"/>
      <c r="J443" s="4"/>
      <c r="K443"/>
      <c r="L443"/>
      <c r="M443"/>
      <c r="N443"/>
      <c r="O443"/>
      <c r="P443"/>
      <c r="Q443"/>
      <c r="R443"/>
    </row>
    <row r="444" spans="2:31" ht="18" customHeight="1" x14ac:dyDescent="0.3">
      <c r="B444" s="3" t="s">
        <v>19</v>
      </c>
      <c r="C444" s="57">
        <v>2.5</v>
      </c>
      <c r="D444" s="4">
        <v>2.5</v>
      </c>
      <c r="E444" s="4">
        <v>2.5</v>
      </c>
      <c r="F444" s="4">
        <v>2.5</v>
      </c>
      <c r="G444" s="4">
        <v>2.5</v>
      </c>
      <c r="H444" s="4">
        <v>2.5</v>
      </c>
      <c r="I444" s="4">
        <v>2.5</v>
      </c>
      <c r="J444" s="4">
        <v>2.5</v>
      </c>
      <c r="K444" s="4">
        <v>2.5</v>
      </c>
      <c r="L444" s="4">
        <v>2.5</v>
      </c>
      <c r="M444" s="4">
        <v>2.5</v>
      </c>
      <c r="N444" s="4">
        <v>2.5</v>
      </c>
      <c r="O444" s="4">
        <v>2</v>
      </c>
      <c r="P444"/>
      <c r="Q444"/>
      <c r="R444"/>
      <c r="AE444" s="4">
        <v>2.5</v>
      </c>
    </row>
    <row r="445" spans="2:31" ht="18" customHeight="1" x14ac:dyDescent="0.3">
      <c r="B445" s="3" t="s">
        <v>20</v>
      </c>
      <c r="C445" s="57">
        <v>0.5</v>
      </c>
      <c r="D445" s="4">
        <v>0.5</v>
      </c>
      <c r="E445" s="4">
        <v>0.5</v>
      </c>
      <c r="F445" s="4">
        <v>0.5</v>
      </c>
      <c r="G445" s="4">
        <v>0.5</v>
      </c>
      <c r="H445" s="4">
        <v>0.5</v>
      </c>
      <c r="I445" s="4">
        <v>0.5</v>
      </c>
      <c r="J445" s="4">
        <v>0.5</v>
      </c>
      <c r="K445" s="4">
        <v>0.5</v>
      </c>
      <c r="L445" s="4">
        <v>0.5</v>
      </c>
      <c r="M445" s="4">
        <v>0.5</v>
      </c>
      <c r="N445" s="4">
        <v>0.5</v>
      </c>
      <c r="O445" s="4">
        <v>0.5</v>
      </c>
      <c r="P445"/>
      <c r="Q445"/>
      <c r="R445"/>
      <c r="AE445" s="4">
        <v>0.5</v>
      </c>
    </row>
    <row r="446" spans="2:31" ht="18" customHeight="1" x14ac:dyDescent="0.3">
      <c r="B446" s="3" t="s">
        <v>21</v>
      </c>
      <c r="C446" s="57">
        <v>2.5</v>
      </c>
      <c r="D446" s="4">
        <v>2.5</v>
      </c>
      <c r="E446" s="4">
        <v>2.5</v>
      </c>
      <c r="F446" s="4">
        <v>2.5</v>
      </c>
      <c r="G446" s="4">
        <v>2.5</v>
      </c>
      <c r="H446" s="4">
        <v>2.5</v>
      </c>
      <c r="I446" s="4">
        <v>2.5</v>
      </c>
      <c r="J446" s="4">
        <v>2.5</v>
      </c>
      <c r="K446" s="4">
        <v>2.5</v>
      </c>
      <c r="L446" s="4">
        <v>2.5</v>
      </c>
      <c r="M446" s="4">
        <v>2.5</v>
      </c>
      <c r="N446" s="4">
        <v>2.5</v>
      </c>
      <c r="O446" s="4">
        <v>2.5</v>
      </c>
      <c r="P446"/>
      <c r="Q446"/>
      <c r="R446"/>
      <c r="AE446" s="4">
        <v>2.5</v>
      </c>
    </row>
    <row r="447" spans="2:31" ht="18" customHeight="1" x14ac:dyDescent="0.3">
      <c r="B447" s="3" t="s">
        <v>22</v>
      </c>
      <c r="C447" s="57">
        <v>0.5</v>
      </c>
      <c r="D447" s="4">
        <v>0.5</v>
      </c>
      <c r="E447" s="4">
        <v>0.5</v>
      </c>
      <c r="F447" s="4">
        <v>0.5</v>
      </c>
      <c r="G447" s="4">
        <v>0.5</v>
      </c>
      <c r="H447" s="4">
        <v>0.5</v>
      </c>
      <c r="I447" s="4">
        <v>0.5</v>
      </c>
      <c r="J447" s="4">
        <v>0.5</v>
      </c>
      <c r="K447" s="4">
        <v>0.5</v>
      </c>
      <c r="L447" s="4">
        <v>0.5</v>
      </c>
      <c r="M447" s="4">
        <v>0.5</v>
      </c>
      <c r="N447" s="4">
        <v>0.5</v>
      </c>
      <c r="O447" s="4">
        <v>0.5</v>
      </c>
      <c r="P447"/>
      <c r="Q447"/>
      <c r="R447"/>
      <c r="AE447" s="4">
        <v>0.5</v>
      </c>
    </row>
    <row r="448" spans="2:31" ht="18" customHeight="1" x14ac:dyDescent="0.3">
      <c r="B448" s="3" t="s">
        <v>23</v>
      </c>
      <c r="C448" s="56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2:31" ht="18" customHeight="1" x14ac:dyDescent="0.3">
      <c r="B449" s="3" t="s">
        <v>24</v>
      </c>
      <c r="C449" s="56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2:31" x14ac:dyDescent="0.25">
      <c r="C450" s="56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2:31" ht="18" customHeight="1" x14ac:dyDescent="0.25">
      <c r="B451" s="8" t="s">
        <v>33</v>
      </c>
      <c r="C451" s="56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2:31" x14ac:dyDescent="0.25">
      <c r="C452" s="56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2:31" x14ac:dyDescent="0.25">
      <c r="C453" s="56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2:31" x14ac:dyDescent="0.25">
      <c r="C454" s="56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2:31" x14ac:dyDescent="0.25">
      <c r="C455" s="56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2:31" x14ac:dyDescent="0.25">
      <c r="C456" s="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2:31" x14ac:dyDescent="0.25">
      <c r="C457" s="56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2:31" x14ac:dyDescent="0.25">
      <c r="C458" s="56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2:31" x14ac:dyDescent="0.25">
      <c r="C459" s="56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2:31" ht="18" customHeight="1" x14ac:dyDescent="0.3">
      <c r="B460" s="3" t="s">
        <v>0</v>
      </c>
      <c r="C460" s="57" t="s">
        <v>82</v>
      </c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2:31" ht="18" customHeight="1" x14ac:dyDescent="0.25">
      <c r="B461" s="8" t="s">
        <v>3</v>
      </c>
      <c r="C461" s="57">
        <v>2</v>
      </c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2:31" ht="18" customHeight="1" x14ac:dyDescent="0.25">
      <c r="B462" s="8"/>
      <c r="C462" s="56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2:31" ht="18" customHeight="1" x14ac:dyDescent="0.25">
      <c r="B463" s="8" t="s">
        <v>6</v>
      </c>
      <c r="C463" s="61">
        <v>39735</v>
      </c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2:31" ht="18" customHeight="1" x14ac:dyDescent="0.3">
      <c r="B464" s="11" t="s">
        <v>9</v>
      </c>
      <c r="C464" s="61">
        <v>40995</v>
      </c>
      <c r="D464" s="13">
        <v>41184</v>
      </c>
      <c r="E464" s="13">
        <v>41309</v>
      </c>
      <c r="F464" s="13">
        <v>41429</v>
      </c>
      <c r="G464" s="13">
        <v>41568</v>
      </c>
      <c r="H464" s="13">
        <v>41751</v>
      </c>
      <c r="I464" s="13">
        <v>41940</v>
      </c>
      <c r="J464" s="27">
        <v>42207</v>
      </c>
      <c r="K464" s="25"/>
      <c r="L464"/>
      <c r="M464"/>
      <c r="N464"/>
      <c r="O464"/>
      <c r="P464"/>
      <c r="Q464"/>
      <c r="R464"/>
      <c r="AE464" s="13">
        <v>41751</v>
      </c>
    </row>
    <row r="465" spans="2:31" ht="18" customHeight="1" x14ac:dyDescent="0.3">
      <c r="B465" s="11" t="s">
        <v>8</v>
      </c>
      <c r="C465" s="56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2:31" ht="18" customHeight="1" x14ac:dyDescent="0.3">
      <c r="B466" s="3" t="s">
        <v>11</v>
      </c>
      <c r="C466" s="57">
        <v>5.75</v>
      </c>
      <c r="D466" s="4">
        <v>5.32</v>
      </c>
      <c r="E466" s="4">
        <v>5.24</v>
      </c>
      <c r="F466" s="4">
        <v>5.18</v>
      </c>
      <c r="G466" s="4">
        <v>5.17</v>
      </c>
      <c r="H466" s="4">
        <v>5.15</v>
      </c>
      <c r="I466" s="4">
        <v>5.1100000000000003</v>
      </c>
      <c r="J466" s="24">
        <v>4.8</v>
      </c>
      <c r="K466"/>
      <c r="L466"/>
      <c r="M466"/>
      <c r="N466"/>
      <c r="O466"/>
      <c r="P466"/>
      <c r="Q466"/>
      <c r="R466"/>
      <c r="AE466" s="4">
        <v>5.15</v>
      </c>
    </row>
    <row r="467" spans="2:31" ht="18" customHeight="1" x14ac:dyDescent="0.3">
      <c r="B467" s="3" t="s">
        <v>12</v>
      </c>
      <c r="C467" s="57">
        <v>0</v>
      </c>
      <c r="D467" s="4" t="s">
        <v>83</v>
      </c>
      <c r="E467" s="4" t="s">
        <v>84</v>
      </c>
      <c r="F467" s="4" t="s">
        <v>85</v>
      </c>
      <c r="G467" s="4" t="s">
        <v>86</v>
      </c>
      <c r="H467" s="4" t="s">
        <v>87</v>
      </c>
      <c r="I467" s="4" t="s">
        <v>88</v>
      </c>
      <c r="J467" s="24" t="s">
        <v>89</v>
      </c>
      <c r="K467"/>
      <c r="L467"/>
      <c r="M467"/>
      <c r="N467"/>
      <c r="O467"/>
      <c r="P467"/>
      <c r="Q467"/>
      <c r="R467"/>
      <c r="AE467" s="4" t="s">
        <v>87</v>
      </c>
    </row>
    <row r="468" spans="2:31" ht="18" customHeight="1" x14ac:dyDescent="0.3">
      <c r="B468" s="3" t="s">
        <v>13</v>
      </c>
      <c r="C468" s="57">
        <v>0</v>
      </c>
      <c r="D468" s="4" t="s">
        <v>90</v>
      </c>
      <c r="E468" s="4" t="s">
        <v>91</v>
      </c>
      <c r="F468" s="4" t="s">
        <v>92</v>
      </c>
      <c r="G468" s="4" t="s">
        <v>93</v>
      </c>
      <c r="H468" s="4" t="s">
        <v>94</v>
      </c>
      <c r="I468" s="4" t="s">
        <v>91</v>
      </c>
      <c r="J468" s="24" t="s">
        <v>95</v>
      </c>
      <c r="K468"/>
      <c r="L468"/>
      <c r="M468"/>
      <c r="N468"/>
      <c r="O468"/>
      <c r="P468"/>
      <c r="Q468"/>
      <c r="R468"/>
      <c r="AE468" s="4" t="s">
        <v>94</v>
      </c>
    </row>
    <row r="469" spans="2:31" ht="18" customHeight="1" x14ac:dyDescent="0.3">
      <c r="B469" s="3" t="s">
        <v>14</v>
      </c>
      <c r="C469" s="56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2:31" ht="18" customHeight="1" x14ac:dyDescent="0.25">
      <c r="B470" s="8" t="s">
        <v>41</v>
      </c>
      <c r="C470" s="57" t="s">
        <v>42</v>
      </c>
      <c r="D470" s="4" t="s">
        <v>42</v>
      </c>
      <c r="E470" s="4" t="s">
        <v>42</v>
      </c>
      <c r="F470" s="26"/>
      <c r="G470"/>
      <c r="H470" s="26"/>
      <c r="I470" s="29" t="s">
        <v>78</v>
      </c>
      <c r="J470" s="30" t="s">
        <v>79</v>
      </c>
      <c r="K470"/>
      <c r="L470"/>
      <c r="M470"/>
      <c r="N470"/>
      <c r="O470"/>
      <c r="P470"/>
      <c r="Q470"/>
      <c r="R470"/>
      <c r="AE470" s="26"/>
    </row>
    <row r="471" spans="2:31" ht="18" customHeight="1" x14ac:dyDescent="0.3">
      <c r="B471" s="11" t="s">
        <v>15</v>
      </c>
      <c r="C471" s="56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2:31" ht="18" customHeight="1" x14ac:dyDescent="0.3">
      <c r="B472" s="3" t="s">
        <v>17</v>
      </c>
      <c r="C472" s="57" t="s">
        <v>47</v>
      </c>
      <c r="D472" s="4" t="s">
        <v>47</v>
      </c>
      <c r="E472" s="4" t="s">
        <v>47</v>
      </c>
      <c r="F472" s="4" t="s">
        <v>47</v>
      </c>
      <c r="G472" s="4" t="s">
        <v>47</v>
      </c>
      <c r="H472" s="4" t="s">
        <v>47</v>
      </c>
      <c r="I472" s="4" t="s">
        <v>47</v>
      </c>
      <c r="J472" s="4" t="s">
        <v>47</v>
      </c>
      <c r="K472"/>
      <c r="L472"/>
      <c r="M472"/>
      <c r="N472"/>
      <c r="O472"/>
      <c r="P472"/>
      <c r="Q472"/>
      <c r="R472"/>
      <c r="AE472" s="4" t="s">
        <v>47</v>
      </c>
    </row>
    <row r="473" spans="2:31" ht="18" customHeight="1" x14ac:dyDescent="0.3">
      <c r="B473" s="3" t="s">
        <v>18</v>
      </c>
      <c r="C473" s="57" t="s">
        <v>96</v>
      </c>
      <c r="D473" s="4" t="s">
        <v>96</v>
      </c>
      <c r="E473" s="4" t="s">
        <v>96</v>
      </c>
      <c r="F473" s="4" t="s">
        <v>96</v>
      </c>
      <c r="G473" s="4" t="s">
        <v>96</v>
      </c>
      <c r="H473" s="4" t="s">
        <v>96</v>
      </c>
      <c r="I473" s="4" t="s">
        <v>96</v>
      </c>
      <c r="J473" s="4" t="s">
        <v>96</v>
      </c>
      <c r="K473"/>
      <c r="L473"/>
      <c r="M473"/>
      <c r="N473"/>
      <c r="O473"/>
      <c r="P473"/>
      <c r="Q473"/>
      <c r="R473"/>
      <c r="AE473" s="4" t="s">
        <v>96</v>
      </c>
    </row>
    <row r="474" spans="2:31" ht="18" customHeight="1" x14ac:dyDescent="0.25">
      <c r="C474" s="56"/>
      <c r="D474"/>
      <c r="E474"/>
      <c r="F474"/>
      <c r="G474"/>
      <c r="H474"/>
      <c r="I474"/>
      <c r="J474" s="4"/>
      <c r="K474"/>
      <c r="L474"/>
      <c r="M474"/>
      <c r="N474"/>
      <c r="O474"/>
      <c r="P474"/>
      <c r="Q474"/>
      <c r="R474"/>
    </row>
    <row r="475" spans="2:31" ht="18" customHeight="1" x14ac:dyDescent="0.3">
      <c r="B475" s="3" t="s">
        <v>19</v>
      </c>
      <c r="C475" s="57">
        <v>2.5</v>
      </c>
      <c r="D475" s="4">
        <v>2.5</v>
      </c>
      <c r="E475" s="4">
        <v>2.5</v>
      </c>
      <c r="F475" s="4">
        <v>2</v>
      </c>
      <c r="G475" s="4">
        <v>2</v>
      </c>
      <c r="H475" s="4">
        <v>2</v>
      </c>
      <c r="I475" s="4">
        <v>2</v>
      </c>
      <c r="J475" s="4">
        <v>2</v>
      </c>
      <c r="K475"/>
      <c r="L475"/>
      <c r="M475"/>
      <c r="N475"/>
      <c r="O475"/>
      <c r="P475"/>
      <c r="Q475"/>
      <c r="R475"/>
      <c r="AE475" s="4">
        <v>2</v>
      </c>
    </row>
    <row r="476" spans="2:31" ht="18" customHeight="1" x14ac:dyDescent="0.3">
      <c r="B476" s="3" t="s">
        <v>20</v>
      </c>
      <c r="C476" s="57">
        <v>0.35</v>
      </c>
      <c r="D476" s="4">
        <v>0.35</v>
      </c>
      <c r="E476" s="4">
        <v>0.35</v>
      </c>
      <c r="F476" s="4">
        <v>0.35</v>
      </c>
      <c r="G476" s="4">
        <v>0.35</v>
      </c>
      <c r="H476" s="4">
        <v>0.35</v>
      </c>
      <c r="I476" s="4">
        <v>0.35</v>
      </c>
      <c r="J476" s="4">
        <v>0.35</v>
      </c>
      <c r="K476"/>
      <c r="L476"/>
      <c r="M476"/>
      <c r="N476"/>
      <c r="O476"/>
      <c r="P476"/>
      <c r="Q476"/>
      <c r="R476"/>
      <c r="AE476" s="4">
        <v>0.35</v>
      </c>
    </row>
    <row r="477" spans="2:31" ht="18" customHeight="1" x14ac:dyDescent="0.3">
      <c r="B477" s="3" t="s">
        <v>21</v>
      </c>
      <c r="C477" s="57">
        <v>2.5</v>
      </c>
      <c r="D477" s="4">
        <v>2.5</v>
      </c>
      <c r="E477" s="4">
        <v>2.5</v>
      </c>
      <c r="F477" s="4">
        <v>2.5</v>
      </c>
      <c r="G477" s="4">
        <v>2.5</v>
      </c>
      <c r="H477" s="4">
        <v>2.5</v>
      </c>
      <c r="I477" s="4">
        <v>2.5</v>
      </c>
      <c r="J477" s="4">
        <v>2.5</v>
      </c>
      <c r="K477"/>
      <c r="L477"/>
      <c r="M477"/>
      <c r="N477"/>
      <c r="O477"/>
      <c r="P477"/>
      <c r="Q477"/>
      <c r="R477"/>
      <c r="AE477" s="4">
        <v>2.5</v>
      </c>
    </row>
    <row r="478" spans="2:31" ht="18" customHeight="1" x14ac:dyDescent="0.3">
      <c r="B478" s="3" t="s">
        <v>22</v>
      </c>
      <c r="C478" s="57">
        <v>0.35</v>
      </c>
      <c r="D478" s="4">
        <v>0.35</v>
      </c>
      <c r="E478" s="4">
        <v>0.35</v>
      </c>
      <c r="F478" s="4">
        <v>0.35</v>
      </c>
      <c r="G478" s="4">
        <v>0.35</v>
      </c>
      <c r="H478" s="4">
        <v>0.35</v>
      </c>
      <c r="I478" s="4">
        <v>0.35</v>
      </c>
      <c r="J478" s="4">
        <v>0.35</v>
      </c>
      <c r="K478"/>
      <c r="L478"/>
      <c r="M478"/>
      <c r="N478"/>
      <c r="O478"/>
      <c r="P478"/>
      <c r="Q478"/>
      <c r="R478"/>
      <c r="AE478" s="4">
        <v>0.35</v>
      </c>
    </row>
    <row r="479" spans="2:31" ht="18" customHeight="1" x14ac:dyDescent="0.3">
      <c r="B479" s="3" t="s">
        <v>23</v>
      </c>
      <c r="C479" s="56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2:31" ht="18" customHeight="1" x14ac:dyDescent="0.3">
      <c r="B480" s="3" t="s">
        <v>24</v>
      </c>
      <c r="C480" s="56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2:18" x14ac:dyDescent="0.25">
      <c r="C481" s="56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2:18" ht="18" customHeight="1" x14ac:dyDescent="0.25">
      <c r="B482" s="8" t="s">
        <v>33</v>
      </c>
      <c r="C482" s="56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2:18" x14ac:dyDescent="0.25">
      <c r="C483" s="56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2:18" x14ac:dyDescent="0.25">
      <c r="C484" s="56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2:18" x14ac:dyDescent="0.25">
      <c r="C485" s="56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2:18" x14ac:dyDescent="0.25">
      <c r="C486" s="5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2:18" ht="18" customHeight="1" x14ac:dyDescent="0.3">
      <c r="B487" s="3" t="s">
        <v>0</v>
      </c>
      <c r="C487" s="57" t="s">
        <v>97</v>
      </c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2:18" ht="18" customHeight="1" x14ac:dyDescent="0.25">
      <c r="B488" s="8" t="s">
        <v>3</v>
      </c>
      <c r="C488" s="57">
        <v>2</v>
      </c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2:18" ht="18" customHeight="1" x14ac:dyDescent="0.25">
      <c r="B489" s="8"/>
      <c r="C489" s="56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2:18" ht="18" customHeight="1" x14ac:dyDescent="0.25">
      <c r="B490" s="8" t="s">
        <v>6</v>
      </c>
      <c r="C490" s="61">
        <v>39147</v>
      </c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2:18" ht="18" customHeight="1" x14ac:dyDescent="0.3">
      <c r="B491" s="11" t="s">
        <v>9</v>
      </c>
      <c r="C491" s="61">
        <v>40960</v>
      </c>
      <c r="D491" s="13">
        <v>41138</v>
      </c>
      <c r="E491" s="13">
        <v>41345</v>
      </c>
      <c r="F491" s="13">
        <v>41401</v>
      </c>
      <c r="G491" s="13">
        <v>41436</v>
      </c>
      <c r="H491"/>
      <c r="I491"/>
      <c r="J491"/>
      <c r="K491"/>
      <c r="L491"/>
      <c r="M491"/>
      <c r="N491"/>
      <c r="O491"/>
      <c r="P491"/>
      <c r="Q491"/>
      <c r="R491"/>
    </row>
    <row r="492" spans="2:18" ht="18" customHeight="1" x14ac:dyDescent="0.3">
      <c r="B492" s="11" t="s">
        <v>8</v>
      </c>
      <c r="C492" s="56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2:18" ht="18" customHeight="1" x14ac:dyDescent="0.3">
      <c r="B493" s="3" t="s">
        <v>11</v>
      </c>
      <c r="C493" s="57">
        <v>5.13</v>
      </c>
      <c r="D493" s="4">
        <v>5.1100000000000003</v>
      </c>
      <c r="E493" s="4">
        <v>4.9800000000000004</v>
      </c>
      <c r="F493" s="4">
        <v>4.88</v>
      </c>
      <c r="G493" s="4">
        <v>4.8099999999999996</v>
      </c>
      <c r="H493"/>
      <c r="I493"/>
      <c r="J493"/>
      <c r="K493"/>
      <c r="L493"/>
      <c r="M493"/>
      <c r="N493"/>
      <c r="O493"/>
      <c r="P493"/>
      <c r="Q493"/>
      <c r="R493"/>
    </row>
    <row r="494" spans="2:18" ht="18" customHeight="1" x14ac:dyDescent="0.3">
      <c r="B494" s="3" t="s">
        <v>12</v>
      </c>
      <c r="C494" s="57" t="s">
        <v>98</v>
      </c>
      <c r="D494" s="4" t="s">
        <v>98</v>
      </c>
      <c r="E494" s="4" t="s">
        <v>99</v>
      </c>
      <c r="F494" s="4" t="s">
        <v>100</v>
      </c>
      <c r="G494" s="4" t="s">
        <v>101</v>
      </c>
      <c r="H494"/>
      <c r="I494"/>
      <c r="J494"/>
      <c r="K494"/>
      <c r="L494"/>
      <c r="M494"/>
      <c r="N494"/>
      <c r="O494"/>
      <c r="P494"/>
      <c r="Q494"/>
      <c r="R494"/>
    </row>
    <row r="495" spans="2:18" ht="18" customHeight="1" x14ac:dyDescent="0.3">
      <c r="B495" s="3" t="s">
        <v>13</v>
      </c>
      <c r="C495" s="57" t="s">
        <v>102</v>
      </c>
      <c r="D495" s="4" t="s">
        <v>103</v>
      </c>
      <c r="E495" s="4" t="s">
        <v>104</v>
      </c>
      <c r="F495" s="4">
        <v>0</v>
      </c>
      <c r="G495" s="4">
        <v>0</v>
      </c>
      <c r="H495"/>
      <c r="I495"/>
      <c r="J495"/>
      <c r="K495"/>
      <c r="L495"/>
      <c r="M495"/>
      <c r="N495"/>
      <c r="O495"/>
      <c r="P495"/>
      <c r="Q495"/>
      <c r="R495"/>
    </row>
    <row r="496" spans="2:18" ht="18" customHeight="1" x14ac:dyDescent="0.3">
      <c r="B496" s="3" t="s">
        <v>14</v>
      </c>
      <c r="C496" s="5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2:18" ht="18" customHeight="1" x14ac:dyDescent="0.25">
      <c r="B497" s="8" t="s">
        <v>41</v>
      </c>
      <c r="C497" s="57" t="s">
        <v>42</v>
      </c>
      <c r="D497" s="4" t="s">
        <v>46</v>
      </c>
      <c r="E497"/>
      <c r="F497" s="26" t="s">
        <v>42</v>
      </c>
      <c r="G497" s="26" t="s">
        <v>42</v>
      </c>
      <c r="H497"/>
      <c r="I497"/>
      <c r="J497"/>
      <c r="K497"/>
      <c r="L497"/>
      <c r="M497"/>
      <c r="N497"/>
      <c r="O497"/>
      <c r="P497"/>
      <c r="Q497"/>
      <c r="R497"/>
    </row>
    <row r="498" spans="2:18" ht="18" customHeight="1" x14ac:dyDescent="0.3">
      <c r="B498" s="11" t="s">
        <v>15</v>
      </c>
      <c r="C498" s="56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2:18" ht="18" customHeight="1" x14ac:dyDescent="0.3">
      <c r="B499" s="3" t="s">
        <v>17</v>
      </c>
      <c r="C499" s="57" t="s">
        <v>47</v>
      </c>
      <c r="D499" s="4" t="s">
        <v>47</v>
      </c>
      <c r="E499" s="4" t="s">
        <v>47</v>
      </c>
      <c r="F499" s="4" t="s">
        <v>47</v>
      </c>
      <c r="G499" s="4" t="s">
        <v>105</v>
      </c>
      <c r="H499"/>
      <c r="I499"/>
      <c r="J499"/>
      <c r="K499"/>
      <c r="L499"/>
      <c r="M499"/>
      <c r="N499"/>
      <c r="O499"/>
      <c r="P499"/>
      <c r="Q499"/>
      <c r="R499"/>
    </row>
    <row r="500" spans="2:18" ht="18" customHeight="1" x14ac:dyDescent="0.3">
      <c r="B500" s="3" t="s">
        <v>18</v>
      </c>
      <c r="C500" s="57" t="s">
        <v>96</v>
      </c>
      <c r="D500" s="4" t="s">
        <v>96</v>
      </c>
      <c r="E500" s="4" t="s">
        <v>106</v>
      </c>
      <c r="F500" s="4" t="s">
        <v>106</v>
      </c>
      <c r="G500" s="4" t="s">
        <v>69</v>
      </c>
      <c r="H500"/>
      <c r="I500"/>
      <c r="J500"/>
      <c r="K500"/>
      <c r="L500"/>
      <c r="M500"/>
      <c r="N500"/>
      <c r="O500"/>
      <c r="P500"/>
      <c r="Q500"/>
      <c r="R500"/>
    </row>
    <row r="501" spans="2:18" x14ac:dyDescent="0.25">
      <c r="C501" s="56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2:18" ht="18" customHeight="1" x14ac:dyDescent="0.3">
      <c r="B502" s="3" t="s">
        <v>19</v>
      </c>
      <c r="C502" s="57">
        <v>2.5</v>
      </c>
      <c r="D502" s="4">
        <v>2.5</v>
      </c>
      <c r="E502" s="4">
        <v>2.5</v>
      </c>
      <c r="F502" s="4">
        <v>2.5</v>
      </c>
      <c r="G502" s="4">
        <v>2.5</v>
      </c>
      <c r="H502"/>
      <c r="I502"/>
      <c r="J502"/>
      <c r="K502"/>
      <c r="L502"/>
      <c r="M502"/>
      <c r="N502"/>
      <c r="O502"/>
      <c r="P502"/>
      <c r="Q502"/>
      <c r="R502"/>
    </row>
    <row r="503" spans="2:18" ht="18" customHeight="1" x14ac:dyDescent="0.3">
      <c r="B503" s="3" t="s">
        <v>20</v>
      </c>
      <c r="C503" s="57">
        <v>0.5</v>
      </c>
      <c r="D503" s="4">
        <v>0.5</v>
      </c>
      <c r="E503" s="4">
        <v>0.5</v>
      </c>
      <c r="F503" s="4">
        <v>0.5</v>
      </c>
      <c r="G503" s="4">
        <v>0.5</v>
      </c>
      <c r="H503"/>
      <c r="I503"/>
      <c r="J503"/>
      <c r="K503"/>
      <c r="L503"/>
      <c r="M503"/>
      <c r="N503"/>
      <c r="O503"/>
      <c r="P503"/>
      <c r="Q503"/>
      <c r="R503"/>
    </row>
    <row r="504" spans="2:18" ht="18" customHeight="1" x14ac:dyDescent="0.3">
      <c r="B504" s="3" t="s">
        <v>21</v>
      </c>
      <c r="C504" s="57">
        <v>2.5</v>
      </c>
      <c r="D504" s="4">
        <v>2.5</v>
      </c>
      <c r="E504" s="4">
        <v>2.5</v>
      </c>
      <c r="F504" s="4">
        <v>2.5</v>
      </c>
      <c r="G504" s="4">
        <v>2.5</v>
      </c>
      <c r="H504"/>
      <c r="I504"/>
      <c r="J504"/>
      <c r="K504"/>
      <c r="L504"/>
      <c r="M504"/>
      <c r="N504"/>
      <c r="O504"/>
      <c r="P504"/>
      <c r="Q504"/>
      <c r="R504"/>
    </row>
    <row r="505" spans="2:18" ht="18" customHeight="1" x14ac:dyDescent="0.3">
      <c r="B505" s="3" t="s">
        <v>22</v>
      </c>
      <c r="C505" s="57">
        <v>0.5</v>
      </c>
      <c r="D505" s="4">
        <v>0.5</v>
      </c>
      <c r="E505" s="4">
        <v>0.5</v>
      </c>
      <c r="F505" s="4">
        <v>0.5</v>
      </c>
      <c r="G505" s="4">
        <v>0.5</v>
      </c>
      <c r="H505"/>
      <c r="I505"/>
      <c r="J505"/>
      <c r="K505"/>
      <c r="L505"/>
      <c r="M505"/>
      <c r="N505"/>
      <c r="O505"/>
      <c r="P505"/>
      <c r="Q505"/>
      <c r="R505"/>
    </row>
    <row r="506" spans="2:18" ht="18" customHeight="1" x14ac:dyDescent="0.3">
      <c r="B506" s="3" t="s">
        <v>23</v>
      </c>
      <c r="C506" s="5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2:18" ht="18" customHeight="1" x14ac:dyDescent="0.3">
      <c r="B507" s="3" t="s">
        <v>24</v>
      </c>
      <c r="C507" s="56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2:18" x14ac:dyDescent="0.25">
      <c r="C508" s="56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2:18" ht="18" customHeight="1" x14ac:dyDescent="0.25">
      <c r="B509" s="8" t="s">
        <v>33</v>
      </c>
      <c r="C509" s="56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2:18" x14ac:dyDescent="0.25">
      <c r="C510" s="56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2:18" x14ac:dyDescent="0.25">
      <c r="C511" s="56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2:18" x14ac:dyDescent="0.25">
      <c r="C512" s="56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2:31" x14ac:dyDescent="0.25">
      <c r="C513" s="56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2:31" x14ac:dyDescent="0.25">
      <c r="C514" s="56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2:31" x14ac:dyDescent="0.25">
      <c r="C515" s="56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2:31" ht="18" customHeight="1" x14ac:dyDescent="0.3">
      <c r="B516" s="3" t="s">
        <v>0</v>
      </c>
      <c r="C516" s="57" t="s">
        <v>107</v>
      </c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2:31" ht="18" customHeight="1" x14ac:dyDescent="0.25">
      <c r="B517" s="8" t="s">
        <v>3</v>
      </c>
      <c r="C517" s="57">
        <v>2</v>
      </c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2:31" ht="18" customHeight="1" x14ac:dyDescent="0.25">
      <c r="B518" s="8"/>
      <c r="C518" s="56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2:31" ht="18" customHeight="1" x14ac:dyDescent="0.25">
      <c r="B519" s="8" t="s">
        <v>6</v>
      </c>
      <c r="C519" s="61">
        <v>38832</v>
      </c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2:31" ht="18" customHeight="1" x14ac:dyDescent="0.3">
      <c r="B520" s="11" t="s">
        <v>9</v>
      </c>
      <c r="C520" s="61">
        <v>40197</v>
      </c>
      <c r="D520" s="13">
        <v>40652</v>
      </c>
      <c r="E520" s="13">
        <v>40862</v>
      </c>
      <c r="F520" s="13">
        <v>41051</v>
      </c>
      <c r="G520" s="13">
        <v>41240</v>
      </c>
      <c r="H520" s="25">
        <v>41394</v>
      </c>
      <c r="I520" s="25">
        <v>41451</v>
      </c>
      <c r="J520"/>
      <c r="K520"/>
      <c r="L520"/>
      <c r="M520"/>
      <c r="N520"/>
      <c r="O520"/>
      <c r="P520"/>
      <c r="Q520"/>
      <c r="R520"/>
      <c r="AE520" s="25">
        <v>41394</v>
      </c>
    </row>
    <row r="521" spans="2:31" ht="18" customHeight="1" x14ac:dyDescent="0.3">
      <c r="B521" s="11" t="s">
        <v>8</v>
      </c>
      <c r="C521" s="56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2:31" ht="18" customHeight="1" x14ac:dyDescent="0.3">
      <c r="B522" s="3" t="s">
        <v>11</v>
      </c>
      <c r="C522" s="57">
        <v>5.63</v>
      </c>
      <c r="D522" s="4">
        <v>5.18</v>
      </c>
      <c r="E522" s="4">
        <v>5.16</v>
      </c>
      <c r="F522" s="4">
        <v>5.15</v>
      </c>
      <c r="G522" s="4">
        <v>5.12</v>
      </c>
      <c r="H522" s="4">
        <v>4.95</v>
      </c>
      <c r="I522" s="4">
        <v>4.87</v>
      </c>
      <c r="J522"/>
      <c r="K522"/>
      <c r="L522"/>
      <c r="M522"/>
      <c r="N522"/>
      <c r="O522"/>
      <c r="P522"/>
      <c r="Q522"/>
      <c r="R522"/>
      <c r="AE522" s="4">
        <v>4.95</v>
      </c>
    </row>
    <row r="523" spans="2:31" ht="18" customHeight="1" x14ac:dyDescent="0.3">
      <c r="B523" s="3" t="s">
        <v>12</v>
      </c>
      <c r="C523" s="57">
        <v>58</v>
      </c>
      <c r="D523" s="4">
        <v>63</v>
      </c>
      <c r="E523" s="4">
        <v>64</v>
      </c>
      <c r="F523" s="4">
        <v>62</v>
      </c>
      <c r="G523" s="4">
        <v>64</v>
      </c>
      <c r="H523" s="4">
        <v>57</v>
      </c>
      <c r="I523" s="4">
        <v>60</v>
      </c>
      <c r="J523"/>
      <c r="K523"/>
      <c r="L523"/>
      <c r="M523"/>
      <c r="N523"/>
      <c r="O523"/>
      <c r="P523"/>
      <c r="Q523"/>
      <c r="R523"/>
      <c r="AE523" s="4">
        <v>57</v>
      </c>
    </row>
    <row r="524" spans="2:31" ht="18" customHeight="1" x14ac:dyDescent="0.3">
      <c r="B524" s="3" t="s">
        <v>13</v>
      </c>
      <c r="C524" s="57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/>
      <c r="K524"/>
      <c r="L524"/>
      <c r="M524"/>
      <c r="N524"/>
      <c r="O524"/>
      <c r="P524"/>
      <c r="Q524"/>
      <c r="R524"/>
    </row>
    <row r="525" spans="2:31" ht="18" customHeight="1" x14ac:dyDescent="0.3">
      <c r="B525" s="3" t="s">
        <v>14</v>
      </c>
      <c r="C525" s="56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2:31" ht="18" customHeight="1" x14ac:dyDescent="0.25">
      <c r="B526" s="8" t="s">
        <v>41</v>
      </c>
      <c r="C526" s="57" t="s">
        <v>42</v>
      </c>
      <c r="D526"/>
      <c r="E526"/>
      <c r="F526" s="26"/>
      <c r="G526"/>
      <c r="H526"/>
      <c r="I526"/>
      <c r="J526"/>
      <c r="K526"/>
      <c r="L526"/>
      <c r="M526"/>
      <c r="N526"/>
      <c r="O526"/>
      <c r="P526"/>
      <c r="Q526"/>
      <c r="R526"/>
    </row>
    <row r="527" spans="2:31" ht="18" customHeight="1" x14ac:dyDescent="0.3">
      <c r="B527" s="11" t="s">
        <v>15</v>
      </c>
      <c r="C527" s="56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</row>
    <row r="528" spans="2:31" ht="18" customHeight="1" x14ac:dyDescent="0.3">
      <c r="B528" s="3" t="s">
        <v>17</v>
      </c>
      <c r="C528" s="57" t="s">
        <v>47</v>
      </c>
      <c r="D528" s="4" t="s">
        <v>47</v>
      </c>
      <c r="E528" s="4" t="s">
        <v>47</v>
      </c>
      <c r="F528" s="4" t="s">
        <v>47</v>
      </c>
      <c r="G528" s="4" t="s">
        <v>47</v>
      </c>
      <c r="H528" s="4" t="s">
        <v>47</v>
      </c>
      <c r="I528"/>
      <c r="J528"/>
      <c r="K528"/>
      <c r="L528"/>
      <c r="M528"/>
      <c r="N528"/>
      <c r="O528"/>
      <c r="P528"/>
      <c r="Q528"/>
      <c r="R528"/>
    </row>
    <row r="529" spans="2:36" ht="18" customHeight="1" x14ac:dyDescent="0.3">
      <c r="B529" s="3" t="s">
        <v>18</v>
      </c>
      <c r="C529" s="57" t="s">
        <v>43</v>
      </c>
      <c r="D529" s="4" t="s">
        <v>43</v>
      </c>
      <c r="E529" s="4" t="s">
        <v>43</v>
      </c>
      <c r="F529" s="4" t="s">
        <v>43</v>
      </c>
      <c r="G529" s="4" t="s">
        <v>43</v>
      </c>
      <c r="H529" s="4" t="s">
        <v>43</v>
      </c>
      <c r="I529"/>
      <c r="J529"/>
      <c r="K529"/>
      <c r="L529"/>
      <c r="M529"/>
      <c r="N529"/>
      <c r="O529"/>
      <c r="P529"/>
      <c r="Q529"/>
      <c r="R529"/>
    </row>
    <row r="530" spans="2:36" x14ac:dyDescent="0.25">
      <c r="C530" s="56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2:36" ht="18" customHeight="1" x14ac:dyDescent="0.3">
      <c r="B531" s="3" t="s">
        <v>19</v>
      </c>
      <c r="C531" s="57">
        <v>2.5</v>
      </c>
      <c r="D531" s="4">
        <v>2.5</v>
      </c>
      <c r="E531" s="4">
        <v>2.5</v>
      </c>
      <c r="F531" s="4">
        <v>2.5</v>
      </c>
      <c r="G531" s="4">
        <v>2</v>
      </c>
      <c r="H531" s="4">
        <v>2</v>
      </c>
      <c r="I531"/>
      <c r="J531"/>
      <c r="K531"/>
      <c r="L531"/>
      <c r="M531"/>
      <c r="N531"/>
      <c r="O531"/>
      <c r="P531"/>
      <c r="Q531"/>
      <c r="R531"/>
    </row>
    <row r="532" spans="2:36" ht="18" customHeight="1" x14ac:dyDescent="0.3">
      <c r="B532" s="3" t="s">
        <v>20</v>
      </c>
      <c r="C532" s="57">
        <v>0.5</v>
      </c>
      <c r="D532" s="4">
        <v>0.5</v>
      </c>
      <c r="E532" s="4">
        <v>0.5</v>
      </c>
      <c r="F532" s="4">
        <v>0.5</v>
      </c>
      <c r="G532" s="4">
        <v>0.5</v>
      </c>
      <c r="H532" s="4">
        <v>0.5</v>
      </c>
      <c r="I532"/>
      <c r="J532"/>
      <c r="K532"/>
      <c r="L532"/>
      <c r="M532"/>
      <c r="N532"/>
      <c r="O532"/>
      <c r="P532"/>
      <c r="Q532"/>
      <c r="R532"/>
    </row>
    <row r="533" spans="2:36" ht="18" customHeight="1" x14ac:dyDescent="0.3">
      <c r="B533" s="3" t="s">
        <v>21</v>
      </c>
      <c r="C533" s="57">
        <v>2.5</v>
      </c>
      <c r="D533" s="4">
        <v>2.5</v>
      </c>
      <c r="E533" s="4">
        <v>2.5</v>
      </c>
      <c r="F533" s="4">
        <v>2.5</v>
      </c>
      <c r="G533" s="4">
        <v>2</v>
      </c>
      <c r="H533" s="4">
        <v>2</v>
      </c>
      <c r="I533"/>
      <c r="J533"/>
      <c r="K533"/>
      <c r="L533"/>
      <c r="M533"/>
      <c r="N533"/>
      <c r="O533"/>
      <c r="P533"/>
      <c r="Q533"/>
      <c r="R533"/>
    </row>
    <row r="534" spans="2:36" ht="18" customHeight="1" x14ac:dyDescent="0.3">
      <c r="B534" s="3" t="s">
        <v>22</v>
      </c>
      <c r="C534" s="57">
        <v>0.5</v>
      </c>
      <c r="D534" s="4">
        <v>0.5</v>
      </c>
      <c r="E534" s="4">
        <v>0.5</v>
      </c>
      <c r="F534" s="4">
        <v>0.5</v>
      </c>
      <c r="G534" s="4">
        <v>0.5</v>
      </c>
      <c r="H534" s="4">
        <v>0.5</v>
      </c>
      <c r="I534"/>
      <c r="J534"/>
      <c r="K534"/>
      <c r="L534"/>
      <c r="M534"/>
      <c r="N534"/>
      <c r="O534"/>
      <c r="P534"/>
      <c r="Q534"/>
      <c r="R534"/>
    </row>
    <row r="535" spans="2:36" ht="18" customHeight="1" x14ac:dyDescent="0.3">
      <c r="B535" s="3" t="s">
        <v>23</v>
      </c>
      <c r="C535" s="56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</row>
    <row r="536" spans="2:36" ht="18" customHeight="1" x14ac:dyDescent="0.3">
      <c r="B536" s="3" t="s">
        <v>24</v>
      </c>
      <c r="C536" s="5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</row>
    <row r="537" spans="2:36" x14ac:dyDescent="0.25">
      <c r="C537" s="56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</row>
    <row r="538" spans="2:36" ht="18" customHeight="1" x14ac:dyDescent="0.25">
      <c r="B538" s="8" t="s">
        <v>33</v>
      </c>
      <c r="C538" s="56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</row>
    <row r="539" spans="2:36" x14ac:dyDescent="0.25">
      <c r="C539" s="56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</row>
    <row r="540" spans="2:36" x14ac:dyDescent="0.25">
      <c r="C540" s="56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</row>
    <row r="541" spans="2:36" x14ac:dyDescent="0.25">
      <c r="C541" s="56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</row>
    <row r="542" spans="2:36" x14ac:dyDescent="0.25">
      <c r="C542" s="56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</row>
    <row r="543" spans="2:36" ht="18" customHeight="1" x14ac:dyDescent="0.25">
      <c r="B543" s="31" t="s">
        <v>0</v>
      </c>
      <c r="C543" s="66" t="s">
        <v>108</v>
      </c>
      <c r="D543" s="24"/>
      <c r="E543" s="24"/>
      <c r="F543" s="24"/>
      <c r="G543" s="24"/>
      <c r="H543" s="24"/>
      <c r="I543" s="24"/>
      <c r="J543"/>
      <c r="K543" s="24"/>
      <c r="L543"/>
      <c r="M543"/>
      <c r="N543" s="24"/>
      <c r="O543" s="24"/>
      <c r="P543" s="24"/>
      <c r="Q543" s="23"/>
      <c r="R543" s="23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</row>
    <row r="544" spans="2:36" ht="18" customHeight="1" x14ac:dyDescent="0.25">
      <c r="B544" s="32" t="s">
        <v>3</v>
      </c>
      <c r="C544" s="66">
        <v>2</v>
      </c>
      <c r="D544" s="24"/>
      <c r="E544" s="24"/>
      <c r="F544" s="24"/>
      <c r="G544" s="24"/>
      <c r="H544" s="24"/>
      <c r="I544" s="24"/>
      <c r="J544"/>
      <c r="K544" s="24"/>
      <c r="L544"/>
      <c r="M544"/>
      <c r="N544" s="24"/>
      <c r="O544" s="24"/>
      <c r="P544" s="24"/>
      <c r="Q544" s="24"/>
      <c r="R544" s="23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</row>
    <row r="545" spans="2:36" ht="18" customHeight="1" x14ac:dyDescent="0.25">
      <c r="B545" s="32"/>
      <c r="C545" s="66"/>
      <c r="D545" s="24"/>
      <c r="E545" s="24"/>
      <c r="F545" s="24"/>
      <c r="G545" s="24"/>
      <c r="H545" s="24"/>
      <c r="I545" s="24"/>
      <c r="J545"/>
      <c r="K545" s="24"/>
      <c r="L545"/>
      <c r="M545"/>
      <c r="N545" s="24"/>
      <c r="O545" s="24"/>
      <c r="P545" s="24"/>
      <c r="Q545" s="24"/>
      <c r="R545" s="23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</row>
    <row r="546" spans="2:36" ht="18" customHeight="1" x14ac:dyDescent="0.25">
      <c r="B546" s="32" t="s">
        <v>6</v>
      </c>
      <c r="C546" s="67">
        <v>39437</v>
      </c>
      <c r="D546" s="24"/>
      <c r="E546" s="24"/>
      <c r="F546" s="24"/>
      <c r="G546" s="24"/>
      <c r="H546" s="24"/>
      <c r="I546" s="24"/>
      <c r="J546"/>
      <c r="K546" s="24"/>
      <c r="L546"/>
      <c r="M546"/>
      <c r="N546" s="24"/>
      <c r="O546" s="24"/>
      <c r="P546" s="24"/>
      <c r="Q546" s="24"/>
      <c r="R546" s="23"/>
      <c r="S546" s="24"/>
      <c r="T546" s="24"/>
      <c r="U546" s="24"/>
      <c r="V546" s="24"/>
      <c r="W546" s="24"/>
      <c r="X546" s="35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</row>
    <row r="547" spans="2:36" ht="18" customHeight="1" x14ac:dyDescent="0.25">
      <c r="B547" s="33" t="s">
        <v>9</v>
      </c>
      <c r="C547" s="67">
        <v>40722</v>
      </c>
      <c r="D547" s="23">
        <v>40946</v>
      </c>
      <c r="E547" s="23">
        <v>41079</v>
      </c>
      <c r="F547" s="23">
        <v>41324</v>
      </c>
      <c r="G547" s="23">
        <v>41450</v>
      </c>
      <c r="H547" s="27">
        <v>41528</v>
      </c>
      <c r="I547" s="27">
        <v>41407</v>
      </c>
      <c r="J547" s="27">
        <v>41877</v>
      </c>
      <c r="K547" s="27">
        <v>42052</v>
      </c>
      <c r="L547" s="25">
        <v>42139</v>
      </c>
      <c r="M547"/>
      <c r="N547" s="24"/>
      <c r="O547" s="24"/>
      <c r="P547" s="24"/>
      <c r="Q547" s="24"/>
      <c r="R547" s="23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</row>
    <row r="548" spans="2:36" ht="18" customHeight="1" x14ac:dyDescent="0.25">
      <c r="B548" s="33" t="s">
        <v>8</v>
      </c>
      <c r="C548" s="66"/>
      <c r="D548" s="24"/>
      <c r="E548" s="24"/>
      <c r="F548" s="24"/>
      <c r="G548" s="24"/>
      <c r="H548" s="24"/>
      <c r="I548" s="24"/>
      <c r="J548"/>
      <c r="K548" s="24"/>
      <c r="L548"/>
      <c r="M548"/>
      <c r="N548" s="24"/>
      <c r="O548" s="24"/>
      <c r="P548" s="24"/>
      <c r="Q548" s="24"/>
      <c r="R548" s="27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</row>
    <row r="549" spans="2:36" ht="18" customHeight="1" x14ac:dyDescent="0.25">
      <c r="B549" s="31" t="s">
        <v>11</v>
      </c>
      <c r="C549" s="66">
        <v>5.91</v>
      </c>
      <c r="D549" s="24">
        <v>5.56</v>
      </c>
      <c r="E549" s="24">
        <v>5.33</v>
      </c>
      <c r="F549" s="24">
        <v>5.21</v>
      </c>
      <c r="G549" s="24">
        <v>5.18</v>
      </c>
      <c r="H549" s="24">
        <v>5.18</v>
      </c>
      <c r="I549" s="24">
        <v>5.15</v>
      </c>
      <c r="J549" s="24">
        <v>5.15</v>
      </c>
      <c r="K549" s="24">
        <v>5.09</v>
      </c>
      <c r="L549" s="4">
        <v>5.04</v>
      </c>
      <c r="M549"/>
      <c r="N549" s="24"/>
      <c r="O549" s="24"/>
      <c r="P549" s="24"/>
      <c r="Q549" s="24"/>
      <c r="R549" s="27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</row>
    <row r="550" spans="2:36" ht="18" customHeight="1" x14ac:dyDescent="0.25">
      <c r="B550" s="31" t="s">
        <v>12</v>
      </c>
      <c r="C550" s="66">
        <v>15</v>
      </c>
      <c r="D550" s="24">
        <v>15</v>
      </c>
      <c r="E550" s="24">
        <v>18</v>
      </c>
      <c r="F550" s="24">
        <v>15</v>
      </c>
      <c r="G550" s="24">
        <v>11</v>
      </c>
      <c r="H550" s="24">
        <v>0</v>
      </c>
      <c r="I550" s="24">
        <v>0</v>
      </c>
      <c r="J550" s="24">
        <v>0</v>
      </c>
      <c r="K550" s="24">
        <v>0</v>
      </c>
      <c r="L550" s="34" t="s">
        <v>109</v>
      </c>
      <c r="M550"/>
      <c r="N550"/>
      <c r="O550"/>
      <c r="P550"/>
      <c r="Q550"/>
      <c r="R550" s="27"/>
      <c r="T550" s="24"/>
      <c r="U550" s="24"/>
      <c r="V550" s="24"/>
      <c r="Z550" s="24"/>
      <c r="AA550" s="24"/>
      <c r="AC550" s="24"/>
      <c r="AD550" s="24"/>
      <c r="AE550" s="24"/>
      <c r="AF550" s="24"/>
    </row>
    <row r="551" spans="2:36" ht="18" customHeight="1" x14ac:dyDescent="0.25">
      <c r="B551" s="31" t="s">
        <v>13</v>
      </c>
      <c r="C551" s="66">
        <v>0</v>
      </c>
      <c r="D551" s="24">
        <v>0</v>
      </c>
      <c r="E551" s="24">
        <v>0</v>
      </c>
      <c r="F551" s="24">
        <v>0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/>
      <c r="M551"/>
      <c r="N551" s="24"/>
      <c r="O551" s="24"/>
      <c r="P551" s="24"/>
      <c r="Q551" s="24"/>
      <c r="R551" s="27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</row>
    <row r="552" spans="2:36" ht="18" customHeight="1" x14ac:dyDescent="0.25">
      <c r="B552" s="31" t="s">
        <v>14</v>
      </c>
      <c r="C552" s="66"/>
      <c r="D552" s="24"/>
      <c r="E552" s="24"/>
      <c r="F552" s="24"/>
      <c r="G552" s="24"/>
      <c r="H552" s="24"/>
      <c r="I552" s="24"/>
      <c r="J552"/>
      <c r="K552" s="24"/>
      <c r="L552"/>
      <c r="M552"/>
      <c r="N552"/>
      <c r="O552"/>
      <c r="P552"/>
      <c r="Q552"/>
      <c r="R552" s="25"/>
      <c r="T552" s="4"/>
      <c r="U552" s="34"/>
      <c r="Z552" s="24"/>
      <c r="AA552" s="24"/>
      <c r="AB552" s="24"/>
      <c r="AC552" s="24"/>
      <c r="AD552" s="24"/>
      <c r="AE552" s="24"/>
      <c r="AF552" s="24"/>
    </row>
    <row r="553" spans="2:36" ht="18" customHeight="1" x14ac:dyDescent="0.25">
      <c r="B553" s="32" t="s">
        <v>41</v>
      </c>
      <c r="C553" s="66" t="s">
        <v>42</v>
      </c>
      <c r="D553" s="24"/>
      <c r="E553" s="24"/>
      <c r="F553" s="35"/>
      <c r="G553" s="24"/>
      <c r="H553" s="24"/>
      <c r="I553" s="24"/>
      <c r="J553"/>
      <c r="K553" s="24"/>
      <c r="L553"/>
      <c r="M553"/>
      <c r="N553" s="27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 spans="2:36" ht="18" customHeight="1" x14ac:dyDescent="0.25">
      <c r="B554" s="33" t="s">
        <v>15</v>
      </c>
      <c r="C554" s="66"/>
      <c r="D554" s="24"/>
      <c r="E554" s="24"/>
      <c r="F554" s="24"/>
      <c r="G554" s="24"/>
      <c r="H554" s="24"/>
      <c r="I554" s="24"/>
      <c r="J554"/>
      <c r="K554" s="24"/>
      <c r="L554"/>
      <c r="M554"/>
      <c r="N554" s="27"/>
      <c r="O554"/>
      <c r="P554" s="24"/>
      <c r="Q554" s="24"/>
      <c r="R554" s="24"/>
      <c r="V554" s="24"/>
      <c r="W554" s="24"/>
      <c r="Y554" s="24"/>
      <c r="Z554" s="24"/>
      <c r="AA554" s="24"/>
      <c r="AB554" s="24"/>
    </row>
    <row r="555" spans="2:36" ht="18" customHeight="1" x14ac:dyDescent="0.25">
      <c r="B555" s="31" t="s">
        <v>17</v>
      </c>
      <c r="C555" s="66" t="s">
        <v>47</v>
      </c>
      <c r="D555" s="24" t="s">
        <v>47</v>
      </c>
      <c r="E555" s="24" t="s">
        <v>47</v>
      </c>
      <c r="F555" s="24" t="s">
        <v>47</v>
      </c>
      <c r="G555" s="24" t="s">
        <v>47</v>
      </c>
      <c r="H555" s="24" t="s">
        <v>110</v>
      </c>
      <c r="I555" s="24" t="s">
        <v>110</v>
      </c>
      <c r="J555" s="24" t="s">
        <v>110</v>
      </c>
      <c r="K555" s="24" t="s">
        <v>111</v>
      </c>
      <c r="L555" s="24" t="s">
        <v>111</v>
      </c>
      <c r="M555"/>
      <c r="N555" s="27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 spans="2:36" ht="18" customHeight="1" x14ac:dyDescent="0.25">
      <c r="B556" s="31" t="s">
        <v>18</v>
      </c>
      <c r="C556" s="66" t="s">
        <v>43</v>
      </c>
      <c r="D556" s="24" t="s">
        <v>43</v>
      </c>
      <c r="E556" s="24" t="s">
        <v>43</v>
      </c>
      <c r="F556" s="24" t="s">
        <v>43</v>
      </c>
      <c r="G556" s="24" t="s">
        <v>43</v>
      </c>
      <c r="H556" s="24" t="s">
        <v>43</v>
      </c>
      <c r="I556" s="24" t="s">
        <v>43</v>
      </c>
      <c r="J556" s="24" t="s">
        <v>43</v>
      </c>
      <c r="K556" s="24" t="s">
        <v>43</v>
      </c>
      <c r="L556" s="24" t="s">
        <v>43</v>
      </c>
      <c r="M556"/>
      <c r="N556" s="25"/>
      <c r="O556"/>
      <c r="P556" s="4"/>
      <c r="Q556" s="34"/>
      <c r="R556"/>
      <c r="V556" s="24"/>
      <c r="W556" s="24"/>
      <c r="X556" s="24"/>
      <c r="Y556" s="24"/>
      <c r="Z556" s="24"/>
      <c r="AA556" s="24"/>
      <c r="AB556" s="24"/>
    </row>
    <row r="557" spans="2:36" ht="18" customHeight="1" x14ac:dyDescent="0.25">
      <c r="B557" s="24"/>
      <c r="C557" s="66"/>
      <c r="D557" s="24"/>
      <c r="E557" s="24"/>
      <c r="F557" s="24"/>
      <c r="G557" s="24"/>
      <c r="H557" s="24"/>
      <c r="I557" s="24"/>
      <c r="J557"/>
      <c r="K557" s="24"/>
      <c r="L557" s="24"/>
      <c r="M557"/>
      <c r="N557"/>
      <c r="O557"/>
      <c r="P557"/>
      <c r="Q557"/>
      <c r="R557"/>
    </row>
    <row r="558" spans="2:36" ht="18" customHeight="1" x14ac:dyDescent="0.25">
      <c r="B558" s="31" t="s">
        <v>19</v>
      </c>
      <c r="C558" s="66">
        <v>2</v>
      </c>
      <c r="D558" s="24">
        <v>2</v>
      </c>
      <c r="E558" s="24">
        <v>2</v>
      </c>
      <c r="F558" s="24">
        <v>2</v>
      </c>
      <c r="G558" s="24">
        <v>2</v>
      </c>
      <c r="H558" s="24">
        <v>2</v>
      </c>
      <c r="I558" s="24">
        <v>2</v>
      </c>
      <c r="J558" s="24">
        <v>2</v>
      </c>
      <c r="K558" s="24">
        <v>2</v>
      </c>
      <c r="L558" s="24">
        <v>2</v>
      </c>
      <c r="M558"/>
      <c r="N558"/>
      <c r="O558"/>
      <c r="P558"/>
      <c r="Q558"/>
      <c r="R558"/>
    </row>
    <row r="559" spans="2:36" ht="18" customHeight="1" x14ac:dyDescent="0.25">
      <c r="B559" s="31" t="s">
        <v>20</v>
      </c>
      <c r="C559" s="66">
        <v>0.5</v>
      </c>
      <c r="D559" s="24">
        <v>0.5</v>
      </c>
      <c r="E559" s="24">
        <v>0.5</v>
      </c>
      <c r="F559" s="24">
        <v>0.5</v>
      </c>
      <c r="G559" s="24">
        <v>0.5</v>
      </c>
      <c r="H559" s="24">
        <v>0.5</v>
      </c>
      <c r="I559" s="24">
        <v>0.5</v>
      </c>
      <c r="J559" s="24">
        <v>0.5</v>
      </c>
      <c r="K559" s="24">
        <v>0.5</v>
      </c>
      <c r="L559" s="24">
        <v>0.5</v>
      </c>
      <c r="M559"/>
      <c r="N559"/>
      <c r="O559"/>
      <c r="P559"/>
      <c r="Q559"/>
      <c r="R559"/>
    </row>
    <row r="560" spans="2:36" ht="18" customHeight="1" x14ac:dyDescent="0.25">
      <c r="B560" s="31" t="s">
        <v>21</v>
      </c>
      <c r="C560" s="66">
        <v>4.5</v>
      </c>
      <c r="D560" s="24">
        <v>4.5</v>
      </c>
      <c r="E560" s="24">
        <v>4.5</v>
      </c>
      <c r="F560" s="24">
        <v>4.5</v>
      </c>
      <c r="G560" s="24">
        <v>4.5</v>
      </c>
      <c r="H560" s="24">
        <v>3</v>
      </c>
      <c r="I560" s="24">
        <v>3</v>
      </c>
      <c r="J560" s="24">
        <v>3</v>
      </c>
      <c r="K560" s="24">
        <v>3</v>
      </c>
      <c r="L560" s="24">
        <v>3</v>
      </c>
      <c r="M560"/>
      <c r="N560"/>
      <c r="O560"/>
      <c r="P560"/>
      <c r="Q560"/>
      <c r="R560"/>
    </row>
    <row r="561" spans="2:18" ht="18" customHeight="1" x14ac:dyDescent="0.25">
      <c r="B561" s="31" t="s">
        <v>22</v>
      </c>
      <c r="C561" s="66">
        <v>0.5</v>
      </c>
      <c r="D561" s="24">
        <v>0.5</v>
      </c>
      <c r="E561" s="24">
        <v>0.5</v>
      </c>
      <c r="F561" s="24">
        <v>0.5</v>
      </c>
      <c r="G561" s="24">
        <v>0.5</v>
      </c>
      <c r="H561" s="24">
        <v>0.5</v>
      </c>
      <c r="I561" s="24">
        <v>0.5</v>
      </c>
      <c r="J561" s="24">
        <v>0.5</v>
      </c>
      <c r="K561" s="24">
        <v>0.5</v>
      </c>
      <c r="L561" s="24">
        <v>0.5</v>
      </c>
      <c r="M561"/>
      <c r="N561"/>
      <c r="O561"/>
      <c r="P561"/>
      <c r="Q561"/>
      <c r="R561"/>
    </row>
    <row r="562" spans="2:18" ht="18" customHeight="1" x14ac:dyDescent="0.25">
      <c r="B562" s="31" t="s">
        <v>23</v>
      </c>
      <c r="C562" s="66"/>
      <c r="D562" s="24"/>
      <c r="E562" s="24"/>
      <c r="F562" s="24"/>
      <c r="G562" s="24"/>
      <c r="H562" s="24"/>
      <c r="I562" s="24"/>
      <c r="J562"/>
      <c r="K562" s="24"/>
      <c r="L562"/>
      <c r="M562"/>
      <c r="N562"/>
      <c r="O562"/>
      <c r="P562"/>
      <c r="Q562"/>
      <c r="R562"/>
    </row>
    <row r="563" spans="2:18" ht="18" customHeight="1" x14ac:dyDescent="0.25">
      <c r="B563" s="31" t="s">
        <v>24</v>
      </c>
      <c r="C563" s="66"/>
      <c r="D563" s="24"/>
      <c r="E563" s="24"/>
      <c r="F563" s="24"/>
      <c r="G563" s="24"/>
      <c r="H563" s="24"/>
      <c r="I563" s="24"/>
      <c r="J563"/>
      <c r="K563" s="24"/>
      <c r="L563"/>
      <c r="M563"/>
      <c r="N563"/>
      <c r="O563"/>
      <c r="P563"/>
      <c r="Q563"/>
      <c r="R563"/>
    </row>
    <row r="564" spans="2:18" ht="18" customHeight="1" x14ac:dyDescent="0.25">
      <c r="B564" s="24"/>
      <c r="C564" s="66"/>
      <c r="D564" s="24"/>
      <c r="E564" s="24"/>
      <c r="F564" s="24"/>
      <c r="G564" s="24"/>
      <c r="H564" s="24"/>
      <c r="I564" s="24"/>
      <c r="J564"/>
      <c r="K564" s="24"/>
      <c r="L564"/>
      <c r="M564"/>
      <c r="N564"/>
      <c r="O564"/>
      <c r="P564"/>
      <c r="Q564"/>
      <c r="R564"/>
    </row>
    <row r="565" spans="2:18" ht="18" customHeight="1" x14ac:dyDescent="0.25">
      <c r="B565" s="32" t="s">
        <v>33</v>
      </c>
      <c r="C565" s="66"/>
      <c r="D565" s="24"/>
      <c r="E565" s="24"/>
      <c r="F565" s="24"/>
      <c r="G565" s="24"/>
      <c r="H565" s="24"/>
      <c r="I565" s="24"/>
      <c r="J565"/>
      <c r="K565" s="24"/>
      <c r="L565"/>
      <c r="M565"/>
      <c r="N565"/>
      <c r="O565"/>
      <c r="P565"/>
      <c r="Q565"/>
      <c r="R565"/>
    </row>
    <row r="566" spans="2:18" ht="18" customHeight="1" x14ac:dyDescent="0.25">
      <c r="B566" s="24"/>
      <c r="C566" s="66"/>
      <c r="D566" s="24"/>
      <c r="E566" s="24"/>
      <c r="F566" s="24"/>
      <c r="G566" s="24"/>
      <c r="H566" s="24"/>
      <c r="I566" s="24"/>
      <c r="J566"/>
      <c r="K566" s="24"/>
      <c r="L566"/>
      <c r="M566"/>
      <c r="N566"/>
      <c r="O566"/>
      <c r="P566"/>
      <c r="Q566"/>
      <c r="R566"/>
    </row>
    <row r="567" spans="2:18" x14ac:dyDescent="0.25">
      <c r="C567" s="56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</row>
    <row r="568" spans="2:18" x14ac:dyDescent="0.25">
      <c r="C568" s="56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</row>
    <row r="569" spans="2:18" ht="18" customHeight="1" x14ac:dyDescent="0.25">
      <c r="B569" s="31" t="s">
        <v>0</v>
      </c>
      <c r="C569" s="66" t="s">
        <v>112</v>
      </c>
      <c r="D569" s="24"/>
      <c r="E569" s="24"/>
      <c r="F569" s="24"/>
      <c r="G569" s="24"/>
      <c r="H569" s="24"/>
      <c r="I569" s="24"/>
      <c r="J569"/>
      <c r="K569" s="24"/>
      <c r="L569"/>
      <c r="M569"/>
      <c r="N569"/>
      <c r="O569"/>
      <c r="P569"/>
      <c r="Q569"/>
      <c r="R569"/>
    </row>
    <row r="570" spans="2:18" ht="18" customHeight="1" x14ac:dyDescent="0.25">
      <c r="B570" s="32" t="s">
        <v>3</v>
      </c>
      <c r="C570" s="66">
        <v>2</v>
      </c>
      <c r="D570" s="24"/>
      <c r="E570" s="24"/>
      <c r="F570" s="24"/>
      <c r="G570" s="24"/>
      <c r="H570" s="24"/>
      <c r="I570" s="24"/>
      <c r="J570"/>
      <c r="K570" s="24"/>
      <c r="L570"/>
      <c r="M570"/>
      <c r="N570"/>
      <c r="O570"/>
      <c r="P570"/>
      <c r="Q570"/>
      <c r="R570"/>
    </row>
    <row r="571" spans="2:18" ht="18" customHeight="1" x14ac:dyDescent="0.25">
      <c r="B571" s="32"/>
      <c r="C571" s="66"/>
      <c r="D571" s="24"/>
      <c r="E571" s="24"/>
      <c r="F571" s="24"/>
      <c r="G571" s="24"/>
      <c r="H571" s="24"/>
      <c r="I571" s="24"/>
      <c r="J571"/>
      <c r="K571" s="24"/>
      <c r="L571"/>
      <c r="M571"/>
      <c r="N571"/>
      <c r="O571"/>
      <c r="P571"/>
      <c r="Q571"/>
      <c r="R571"/>
    </row>
    <row r="572" spans="2:18" ht="18" customHeight="1" x14ac:dyDescent="0.25">
      <c r="B572" s="32" t="s">
        <v>6</v>
      </c>
      <c r="C572" s="67">
        <v>39948</v>
      </c>
      <c r="D572" s="24"/>
      <c r="E572" s="24"/>
      <c r="F572" s="24"/>
      <c r="G572" s="24"/>
      <c r="H572" s="24"/>
      <c r="I572" s="24"/>
      <c r="J572"/>
      <c r="K572" s="24"/>
      <c r="L572"/>
      <c r="M572"/>
      <c r="N572"/>
      <c r="O572"/>
      <c r="P572"/>
      <c r="Q572"/>
      <c r="R572"/>
    </row>
    <row r="573" spans="2:18" ht="18" customHeight="1" x14ac:dyDescent="0.25">
      <c r="B573" s="33" t="s">
        <v>9</v>
      </c>
      <c r="C573" s="67">
        <v>40666</v>
      </c>
      <c r="D573" s="23">
        <v>40869</v>
      </c>
      <c r="E573" s="23">
        <v>41058</v>
      </c>
      <c r="F573" s="23">
        <v>41247</v>
      </c>
      <c r="G573" s="23">
        <v>41351</v>
      </c>
      <c r="H573" s="27">
        <v>41436</v>
      </c>
      <c r="I573" s="27">
        <v>41554</v>
      </c>
      <c r="J573" s="27">
        <v>41736</v>
      </c>
      <c r="K573" s="27">
        <v>41954</v>
      </c>
      <c r="L573" s="25">
        <v>42164</v>
      </c>
      <c r="M573"/>
      <c r="N573"/>
      <c r="O573"/>
      <c r="P573"/>
      <c r="Q573"/>
      <c r="R573"/>
    </row>
    <row r="574" spans="2:18" ht="18" customHeight="1" x14ac:dyDescent="0.25">
      <c r="B574" s="33" t="s">
        <v>8</v>
      </c>
      <c r="C574" s="66"/>
      <c r="D574" s="24"/>
      <c r="E574" s="24"/>
      <c r="F574" s="24"/>
      <c r="G574" s="24"/>
      <c r="H574" s="24"/>
      <c r="I574" s="24"/>
      <c r="J574"/>
      <c r="K574" s="24"/>
      <c r="L574"/>
      <c r="M574"/>
      <c r="N574"/>
      <c r="O574"/>
      <c r="P574"/>
      <c r="Q574"/>
      <c r="R574"/>
    </row>
    <row r="575" spans="2:18" ht="18" customHeight="1" x14ac:dyDescent="0.25">
      <c r="B575" s="31" t="s">
        <v>11</v>
      </c>
      <c r="C575" s="66">
        <v>6.36</v>
      </c>
      <c r="D575" s="24">
        <v>6.12</v>
      </c>
      <c r="E575" s="24">
        <v>5.89</v>
      </c>
      <c r="F575" s="24">
        <v>5.55</v>
      </c>
      <c r="G575" s="24">
        <v>5.34</v>
      </c>
      <c r="H575" s="24">
        <v>5.28</v>
      </c>
      <c r="I575" s="24">
        <v>5.21</v>
      </c>
      <c r="J575" s="24">
        <v>5.18</v>
      </c>
      <c r="K575" s="24">
        <v>5.16</v>
      </c>
      <c r="L575" s="4">
        <v>5.13</v>
      </c>
      <c r="M575"/>
      <c r="N575"/>
      <c r="O575"/>
      <c r="P575"/>
      <c r="Q575"/>
      <c r="R575"/>
    </row>
    <row r="576" spans="2:18" ht="18" customHeight="1" x14ac:dyDescent="0.25">
      <c r="B576" s="31" t="s">
        <v>12</v>
      </c>
      <c r="C576" s="66">
        <v>77</v>
      </c>
      <c r="D576" s="24">
        <v>70</v>
      </c>
      <c r="E576" s="24">
        <v>60</v>
      </c>
      <c r="F576" s="24">
        <v>56</v>
      </c>
      <c r="G576" s="24">
        <v>99</v>
      </c>
      <c r="H576" s="24" t="s">
        <v>113</v>
      </c>
      <c r="I576" s="24" t="s">
        <v>114</v>
      </c>
      <c r="J576" s="24" t="s">
        <v>115</v>
      </c>
      <c r="K576" s="24" t="s">
        <v>116</v>
      </c>
      <c r="L576" s="4" t="s">
        <v>113</v>
      </c>
      <c r="M576"/>
      <c r="N576"/>
      <c r="O576"/>
      <c r="P576"/>
      <c r="Q576"/>
      <c r="R576"/>
    </row>
    <row r="577" spans="2:18" ht="18" customHeight="1" x14ac:dyDescent="0.25">
      <c r="B577" s="31" t="s">
        <v>13</v>
      </c>
      <c r="C577" s="66">
        <v>77</v>
      </c>
      <c r="D577" s="24">
        <v>70</v>
      </c>
      <c r="E577" s="24">
        <v>60</v>
      </c>
      <c r="F577" s="24">
        <v>56</v>
      </c>
      <c r="G577" s="24">
        <v>99</v>
      </c>
      <c r="H577" s="24" t="s">
        <v>117</v>
      </c>
      <c r="I577" s="24" t="s">
        <v>118</v>
      </c>
      <c r="J577" s="24" t="s">
        <v>119</v>
      </c>
      <c r="K577" s="24" t="s">
        <v>120</v>
      </c>
      <c r="L577" s="4" t="s">
        <v>121</v>
      </c>
      <c r="M577"/>
      <c r="N577"/>
      <c r="O577"/>
      <c r="P577"/>
      <c r="Q577"/>
      <c r="R577"/>
    </row>
    <row r="578" spans="2:18" ht="18" customHeight="1" x14ac:dyDescent="0.25">
      <c r="B578" s="31" t="s">
        <v>14</v>
      </c>
      <c r="C578" s="66"/>
      <c r="D578" s="24"/>
      <c r="E578" s="24"/>
      <c r="F578" s="24"/>
      <c r="G578" s="24"/>
      <c r="H578" s="24"/>
      <c r="I578" s="24"/>
      <c r="J578"/>
      <c r="K578" s="24"/>
      <c r="L578"/>
      <c r="M578"/>
      <c r="N578"/>
      <c r="O578"/>
      <c r="P578"/>
      <c r="Q578"/>
      <c r="R578"/>
    </row>
    <row r="579" spans="2:18" ht="18" customHeight="1" x14ac:dyDescent="0.25">
      <c r="B579" s="32" t="s">
        <v>41</v>
      </c>
      <c r="C579" s="66" t="s">
        <v>42</v>
      </c>
      <c r="D579" s="24"/>
      <c r="E579" s="24"/>
      <c r="F579" s="35"/>
      <c r="G579" s="24"/>
      <c r="H579" s="24"/>
      <c r="I579" s="24"/>
      <c r="J579"/>
      <c r="K579" s="24"/>
      <c r="L579"/>
      <c r="M579"/>
      <c r="N579"/>
      <c r="O579"/>
      <c r="P579"/>
      <c r="Q579"/>
      <c r="R579"/>
    </row>
    <row r="580" spans="2:18" ht="18" customHeight="1" x14ac:dyDescent="0.25">
      <c r="B580" s="33" t="s">
        <v>15</v>
      </c>
      <c r="C580" s="66"/>
      <c r="D580" s="24"/>
      <c r="E580" s="24"/>
      <c r="F580" s="24"/>
      <c r="G580" s="24"/>
      <c r="H580" s="24"/>
      <c r="I580" s="24"/>
      <c r="J580"/>
      <c r="K580" s="24"/>
      <c r="L580"/>
      <c r="M580"/>
      <c r="N580"/>
      <c r="O580"/>
      <c r="P580"/>
      <c r="Q580"/>
      <c r="R580"/>
    </row>
    <row r="581" spans="2:18" ht="18" customHeight="1" x14ac:dyDescent="0.25">
      <c r="B581" s="31" t="s">
        <v>17</v>
      </c>
      <c r="C581" s="66" t="s">
        <v>47</v>
      </c>
      <c r="D581" s="24" t="s">
        <v>47</v>
      </c>
      <c r="E581" s="24" t="s">
        <v>47</v>
      </c>
      <c r="F581" s="24" t="s">
        <v>47</v>
      </c>
      <c r="G581" s="24" t="s">
        <v>47</v>
      </c>
      <c r="H581" s="24" t="s">
        <v>47</v>
      </c>
      <c r="I581" s="24" t="s">
        <v>47</v>
      </c>
      <c r="J581" s="24" t="s">
        <v>47</v>
      </c>
      <c r="K581" s="24" t="s">
        <v>47</v>
      </c>
      <c r="L581" s="24" t="s">
        <v>47</v>
      </c>
      <c r="M581"/>
      <c r="N581"/>
      <c r="O581"/>
      <c r="P581"/>
      <c r="Q581"/>
      <c r="R581"/>
    </row>
    <row r="582" spans="2:18" ht="18" customHeight="1" x14ac:dyDescent="0.25">
      <c r="B582" s="31" t="s">
        <v>18</v>
      </c>
      <c r="C582" s="66" t="s">
        <v>43</v>
      </c>
      <c r="D582" s="24" t="s">
        <v>43</v>
      </c>
      <c r="E582" s="24" t="s">
        <v>43</v>
      </c>
      <c r="F582" s="24" t="s">
        <v>43</v>
      </c>
      <c r="G582" s="24" t="s">
        <v>43</v>
      </c>
      <c r="H582" s="24" t="s">
        <v>28</v>
      </c>
      <c r="I582" s="24" t="s">
        <v>28</v>
      </c>
      <c r="J582" s="24" t="s">
        <v>28</v>
      </c>
      <c r="K582" s="24" t="s">
        <v>28</v>
      </c>
      <c r="L582" s="24" t="s">
        <v>28</v>
      </c>
      <c r="M582"/>
      <c r="N582"/>
      <c r="O582"/>
      <c r="P582"/>
      <c r="Q582"/>
      <c r="R582"/>
    </row>
    <row r="583" spans="2:18" ht="18" customHeight="1" x14ac:dyDescent="0.25">
      <c r="B583" s="24"/>
      <c r="C583" s="66"/>
      <c r="D583" s="24"/>
      <c r="E583" s="24"/>
      <c r="F583" s="24"/>
      <c r="G583" s="24"/>
      <c r="H583" s="24"/>
      <c r="I583" s="24"/>
      <c r="J583"/>
      <c r="K583" s="24"/>
      <c r="L583" s="24"/>
      <c r="M583"/>
      <c r="N583"/>
      <c r="O583"/>
      <c r="P583"/>
      <c r="Q583"/>
      <c r="R583"/>
    </row>
    <row r="584" spans="2:18" ht="18" customHeight="1" x14ac:dyDescent="0.25">
      <c r="B584" s="31" t="s">
        <v>19</v>
      </c>
      <c r="C584" s="66">
        <v>3.5</v>
      </c>
      <c r="D584" s="24">
        <v>3.5</v>
      </c>
      <c r="E584" s="24">
        <v>3</v>
      </c>
      <c r="F584" s="24">
        <v>3</v>
      </c>
      <c r="G584" s="24">
        <v>2.5</v>
      </c>
      <c r="H584" s="24">
        <v>2.5</v>
      </c>
      <c r="I584" s="24">
        <v>2.5</v>
      </c>
      <c r="J584" s="24">
        <v>2.5</v>
      </c>
      <c r="K584" s="24">
        <v>2.5</v>
      </c>
      <c r="L584" s="24">
        <v>2.5</v>
      </c>
      <c r="M584"/>
      <c r="N584"/>
      <c r="O584"/>
      <c r="P584"/>
      <c r="Q584"/>
      <c r="R584"/>
    </row>
    <row r="585" spans="2:18" ht="18" customHeight="1" x14ac:dyDescent="0.25">
      <c r="B585" s="31" t="s">
        <v>20</v>
      </c>
      <c r="C585" s="66">
        <v>0.35</v>
      </c>
      <c r="D585" s="24">
        <v>0.35</v>
      </c>
      <c r="E585" s="24">
        <v>0.35</v>
      </c>
      <c r="F585" s="24">
        <v>0.35</v>
      </c>
      <c r="G585" s="24">
        <v>0.35</v>
      </c>
      <c r="H585" s="24">
        <v>0.35</v>
      </c>
      <c r="I585" s="24">
        <v>0.35</v>
      </c>
      <c r="J585" s="24">
        <v>0.35</v>
      </c>
      <c r="K585" s="24">
        <v>0.35</v>
      </c>
      <c r="L585" s="24">
        <v>0.35</v>
      </c>
      <c r="M585"/>
      <c r="N585"/>
      <c r="O585"/>
      <c r="P585"/>
      <c r="Q585"/>
      <c r="R585"/>
    </row>
    <row r="586" spans="2:18" ht="18" customHeight="1" x14ac:dyDescent="0.25">
      <c r="B586" s="31" t="s">
        <v>21</v>
      </c>
      <c r="C586" s="66">
        <v>3.5</v>
      </c>
      <c r="D586" s="24">
        <v>2.5</v>
      </c>
      <c r="E586" s="24">
        <v>2.5</v>
      </c>
      <c r="F586" s="24">
        <v>2.5</v>
      </c>
      <c r="G586" s="24">
        <v>2</v>
      </c>
      <c r="H586" s="24">
        <v>2</v>
      </c>
      <c r="I586" s="24">
        <v>2</v>
      </c>
      <c r="J586" s="24">
        <v>2</v>
      </c>
      <c r="K586" s="24">
        <v>2</v>
      </c>
      <c r="L586" s="24">
        <v>2</v>
      </c>
      <c r="M586"/>
      <c r="N586"/>
      <c r="O586"/>
      <c r="P586"/>
      <c r="Q586"/>
      <c r="R586"/>
    </row>
    <row r="587" spans="2:18" ht="18" customHeight="1" x14ac:dyDescent="0.25">
      <c r="B587" s="31" t="s">
        <v>22</v>
      </c>
      <c r="C587" s="66">
        <v>0.35</v>
      </c>
      <c r="D587" s="24">
        <v>0.35</v>
      </c>
      <c r="E587" s="24">
        <v>0.35</v>
      </c>
      <c r="F587" s="24">
        <v>0.35</v>
      </c>
      <c r="G587" s="24">
        <v>0.35</v>
      </c>
      <c r="H587" s="24">
        <v>0.35</v>
      </c>
      <c r="I587" s="24">
        <v>0.35</v>
      </c>
      <c r="J587" s="24">
        <v>0.35</v>
      </c>
      <c r="K587" s="24">
        <v>0.35</v>
      </c>
      <c r="L587" s="24">
        <v>0.35</v>
      </c>
      <c r="M587"/>
      <c r="N587"/>
      <c r="O587"/>
      <c r="P587"/>
      <c r="Q587"/>
      <c r="R587"/>
    </row>
    <row r="588" spans="2:18" ht="18" customHeight="1" x14ac:dyDescent="0.25">
      <c r="B588" s="31" t="s">
        <v>23</v>
      </c>
      <c r="C588" s="66"/>
      <c r="D588" s="24"/>
      <c r="E588" s="24"/>
      <c r="F588" s="24"/>
      <c r="G588" s="24"/>
      <c r="H588" s="24"/>
      <c r="I588" s="24"/>
      <c r="J588"/>
      <c r="K588" s="24"/>
      <c r="L588"/>
      <c r="M588"/>
      <c r="N588"/>
      <c r="O588"/>
      <c r="P588"/>
      <c r="Q588"/>
      <c r="R588"/>
    </row>
    <row r="589" spans="2:18" ht="18" customHeight="1" x14ac:dyDescent="0.25">
      <c r="B589" s="31" t="s">
        <v>24</v>
      </c>
      <c r="C589" s="66"/>
      <c r="D589" s="24"/>
      <c r="E589" s="24"/>
      <c r="F589" s="24"/>
      <c r="G589" s="24"/>
      <c r="H589" s="24"/>
      <c r="I589" s="24"/>
      <c r="J589"/>
      <c r="K589" s="24"/>
      <c r="L589"/>
      <c r="M589"/>
      <c r="N589"/>
      <c r="O589"/>
      <c r="P589"/>
      <c r="Q589"/>
      <c r="R589"/>
    </row>
    <row r="590" spans="2:18" ht="18" customHeight="1" x14ac:dyDescent="0.25">
      <c r="B590" s="24"/>
      <c r="C590" s="66"/>
      <c r="D590" s="24"/>
      <c r="E590" s="24"/>
      <c r="F590" s="24"/>
      <c r="G590" s="24"/>
      <c r="H590" s="24"/>
      <c r="I590" s="24"/>
      <c r="J590"/>
      <c r="K590" s="24"/>
      <c r="L590"/>
      <c r="M590"/>
      <c r="N590"/>
      <c r="O590"/>
      <c r="P590"/>
      <c r="Q590"/>
      <c r="R590"/>
    </row>
    <row r="591" spans="2:18" ht="18" customHeight="1" x14ac:dyDescent="0.25">
      <c r="B591" s="32" t="s">
        <v>33</v>
      </c>
      <c r="C591" s="66"/>
      <c r="D591" s="24"/>
      <c r="E591" s="24"/>
      <c r="F591" s="24"/>
      <c r="G591" s="24"/>
      <c r="H591" s="24"/>
      <c r="I591" s="24"/>
      <c r="J591"/>
      <c r="K591" s="24"/>
      <c r="L591"/>
      <c r="M591"/>
      <c r="N591"/>
      <c r="O591"/>
      <c r="P591"/>
      <c r="Q591"/>
      <c r="R591"/>
    </row>
    <row r="592" spans="2:18" x14ac:dyDescent="0.25">
      <c r="C592" s="56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</row>
    <row r="593" spans="2:23" x14ac:dyDescent="0.25">
      <c r="C593" s="56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</row>
    <row r="594" spans="2:23" x14ac:dyDescent="0.25">
      <c r="C594" s="56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</row>
    <row r="595" spans="2:23" ht="18" customHeight="1" x14ac:dyDescent="0.25">
      <c r="B595" s="31" t="s">
        <v>0</v>
      </c>
      <c r="C595" s="66" t="s">
        <v>122</v>
      </c>
      <c r="D595" s="24"/>
      <c r="E595" s="24"/>
      <c r="F595" s="24"/>
      <c r="G595" s="24"/>
      <c r="H595" s="24"/>
      <c r="I595" s="24"/>
      <c r="J595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</row>
    <row r="596" spans="2:23" ht="18" customHeight="1" x14ac:dyDescent="0.25">
      <c r="B596" s="32" t="s">
        <v>3</v>
      </c>
      <c r="C596" s="66">
        <v>2</v>
      </c>
      <c r="D596" s="24"/>
      <c r="E596" s="24"/>
      <c r="F596" s="24"/>
      <c r="G596" s="24"/>
      <c r="H596" s="24"/>
      <c r="I596" s="24"/>
      <c r="J596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</row>
    <row r="597" spans="2:23" ht="18" customHeight="1" x14ac:dyDescent="0.25">
      <c r="B597" s="32"/>
      <c r="C597" s="66"/>
      <c r="D597" s="24"/>
      <c r="E597" s="24"/>
      <c r="F597" s="24"/>
      <c r="G597" s="24"/>
      <c r="H597" s="24"/>
      <c r="I597" s="24"/>
      <c r="J597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</row>
    <row r="598" spans="2:23" ht="18" customHeight="1" x14ac:dyDescent="0.25">
      <c r="B598" s="32" t="s">
        <v>6</v>
      </c>
      <c r="C598" s="67">
        <v>39993</v>
      </c>
      <c r="D598" s="24"/>
      <c r="E598" s="24"/>
      <c r="F598" s="24"/>
      <c r="G598" s="24"/>
      <c r="H598" s="24"/>
      <c r="I598" s="24"/>
      <c r="J598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</row>
    <row r="599" spans="2:23" ht="18" customHeight="1" x14ac:dyDescent="0.25">
      <c r="B599" s="33" t="s">
        <v>9</v>
      </c>
      <c r="C599" s="67">
        <v>40659</v>
      </c>
      <c r="D599" s="23">
        <v>40680</v>
      </c>
      <c r="E599" s="23">
        <v>40862</v>
      </c>
      <c r="F599" s="23">
        <v>41036</v>
      </c>
      <c r="G599" s="23">
        <v>41213</v>
      </c>
      <c r="H599" s="27">
        <v>41323</v>
      </c>
      <c r="I599" s="27">
        <v>41474</v>
      </c>
      <c r="J599" s="27">
        <v>41486</v>
      </c>
      <c r="K599" s="27">
        <v>41520</v>
      </c>
      <c r="L599" s="27">
        <v>41765</v>
      </c>
      <c r="M599" s="27">
        <v>41975</v>
      </c>
      <c r="N599" s="27">
        <v>42023</v>
      </c>
      <c r="O599" s="27">
        <v>42067</v>
      </c>
      <c r="P599" s="24"/>
      <c r="Q599" s="24"/>
      <c r="R599" s="24"/>
      <c r="S599" s="24"/>
      <c r="T599" s="24"/>
      <c r="U599" s="24"/>
      <c r="V599" s="24"/>
      <c r="W599" s="24"/>
    </row>
    <row r="600" spans="2:23" ht="18" customHeight="1" x14ac:dyDescent="0.25">
      <c r="B600" s="33" t="s">
        <v>8</v>
      </c>
      <c r="C600" s="66"/>
      <c r="D600" s="24"/>
      <c r="E600" s="24"/>
      <c r="F600" s="24"/>
      <c r="G600" s="24"/>
      <c r="H600" s="24"/>
      <c r="I600" s="24"/>
      <c r="J600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</row>
    <row r="601" spans="2:23" ht="18" customHeight="1" x14ac:dyDescent="0.25">
      <c r="B601" s="31" t="s">
        <v>11</v>
      </c>
      <c r="C601" s="66">
        <v>6.37</v>
      </c>
      <c r="D601" s="24">
        <v>6.37</v>
      </c>
      <c r="E601" s="24">
        <v>6.27</v>
      </c>
      <c r="F601" s="24">
        <v>6.09</v>
      </c>
      <c r="G601" s="24">
        <v>5.85</v>
      </c>
      <c r="H601" s="24">
        <v>5.65</v>
      </c>
      <c r="I601" s="24">
        <v>5.32</v>
      </c>
      <c r="J601" s="24">
        <v>5.31</v>
      </c>
      <c r="K601" s="24">
        <v>5.28</v>
      </c>
      <c r="L601" s="24">
        <v>5.15</v>
      </c>
      <c r="M601" s="24">
        <v>5.14</v>
      </c>
      <c r="N601" s="24">
        <v>5.13</v>
      </c>
      <c r="O601" s="24">
        <v>5.13</v>
      </c>
      <c r="P601" s="24"/>
      <c r="Q601" s="24"/>
      <c r="R601" s="24"/>
      <c r="S601" s="24"/>
      <c r="T601" s="24"/>
      <c r="U601" s="24"/>
      <c r="V601" s="24"/>
      <c r="W601" s="24"/>
    </row>
    <row r="602" spans="2:23" ht="18" customHeight="1" x14ac:dyDescent="0.25">
      <c r="B602" s="31" t="s">
        <v>12</v>
      </c>
      <c r="C602" s="66">
        <v>83</v>
      </c>
      <c r="D602" s="24">
        <v>81</v>
      </c>
      <c r="E602" s="24">
        <v>95</v>
      </c>
      <c r="F602" s="24">
        <v>88</v>
      </c>
      <c r="G602" s="24">
        <v>99</v>
      </c>
      <c r="H602" s="24">
        <v>99</v>
      </c>
      <c r="I602" s="24">
        <v>99</v>
      </c>
      <c r="J602" s="24">
        <v>99</v>
      </c>
      <c r="K602" s="24">
        <v>100</v>
      </c>
      <c r="L602" s="24">
        <v>99</v>
      </c>
      <c r="M602" s="24" t="s">
        <v>123</v>
      </c>
      <c r="N602" s="24" t="s">
        <v>124</v>
      </c>
      <c r="O602" s="24" t="s">
        <v>125</v>
      </c>
      <c r="P602" s="24"/>
      <c r="Q602" s="24"/>
      <c r="R602" s="24"/>
      <c r="S602" s="24"/>
      <c r="T602" s="24"/>
      <c r="U602" s="24"/>
      <c r="V602" s="24"/>
      <c r="W602" s="24"/>
    </row>
    <row r="603" spans="2:23" ht="18" customHeight="1" x14ac:dyDescent="0.25">
      <c r="B603" s="31" t="s">
        <v>13</v>
      </c>
      <c r="C603" s="66">
        <v>0</v>
      </c>
      <c r="D603" s="24">
        <v>0</v>
      </c>
      <c r="E603" s="24">
        <v>0</v>
      </c>
      <c r="F603" s="24">
        <v>34</v>
      </c>
      <c r="G603" s="24">
        <v>0</v>
      </c>
      <c r="H603" s="24">
        <v>0</v>
      </c>
      <c r="I603" s="24">
        <v>1</v>
      </c>
      <c r="J603" s="24">
        <v>5</v>
      </c>
      <c r="K603" s="24">
        <v>0</v>
      </c>
      <c r="L603" s="24">
        <v>12</v>
      </c>
      <c r="M603" s="24" t="s">
        <v>126</v>
      </c>
      <c r="N603" s="24" t="s">
        <v>127</v>
      </c>
      <c r="O603" s="24" t="s">
        <v>125</v>
      </c>
      <c r="P603" s="24"/>
      <c r="Q603" s="24"/>
      <c r="R603" s="24"/>
      <c r="S603" s="24"/>
      <c r="T603" s="24"/>
      <c r="U603" s="24"/>
      <c r="V603" s="24"/>
      <c r="W603" s="24"/>
    </row>
    <row r="604" spans="2:23" ht="18" customHeight="1" x14ac:dyDescent="0.25">
      <c r="B604" s="31" t="s">
        <v>14</v>
      </c>
      <c r="C604" s="66"/>
      <c r="D604" s="24"/>
      <c r="E604" s="24"/>
      <c r="F604" s="24"/>
      <c r="G604" s="24"/>
      <c r="H604" s="24"/>
      <c r="I604" s="24"/>
      <c r="J60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</row>
    <row r="605" spans="2:23" ht="18" customHeight="1" x14ac:dyDescent="0.25">
      <c r="B605" s="32" t="s">
        <v>41</v>
      </c>
      <c r="C605" s="66" t="s">
        <v>77</v>
      </c>
      <c r="D605" s="30" t="s">
        <v>128</v>
      </c>
      <c r="E605" s="24" t="s">
        <v>46</v>
      </c>
      <c r="F605" s="35" t="s">
        <v>77</v>
      </c>
      <c r="G605" s="24" t="s">
        <v>42</v>
      </c>
      <c r="H605" s="24" t="s">
        <v>42</v>
      </c>
      <c r="I605" s="24" t="s">
        <v>46</v>
      </c>
      <c r="J605" s="24" t="s">
        <v>129</v>
      </c>
      <c r="K605" s="24" t="s">
        <v>46</v>
      </c>
      <c r="L605" s="24" t="s">
        <v>130</v>
      </c>
      <c r="M605" s="24" t="s">
        <v>42</v>
      </c>
      <c r="N605" s="30" t="s">
        <v>131</v>
      </c>
      <c r="O605" s="24" t="s">
        <v>46</v>
      </c>
      <c r="P605" s="24"/>
      <c r="Q605" s="24"/>
      <c r="R605" s="24"/>
      <c r="S605" s="24"/>
      <c r="T605" s="24"/>
      <c r="U605" s="24"/>
      <c r="V605" s="24"/>
      <c r="W605" s="24"/>
    </row>
    <row r="606" spans="2:23" ht="18" customHeight="1" x14ac:dyDescent="0.25">
      <c r="B606" s="33" t="s">
        <v>15</v>
      </c>
      <c r="C606" s="66"/>
      <c r="D606" s="24"/>
      <c r="E606" s="24"/>
      <c r="F606" s="24"/>
      <c r="G606" s="24"/>
      <c r="H606" s="24"/>
      <c r="I606" s="24"/>
      <c r="J606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</row>
    <row r="607" spans="2:23" ht="18" customHeight="1" x14ac:dyDescent="0.25">
      <c r="B607" s="31" t="s">
        <v>17</v>
      </c>
      <c r="C607" s="66" t="s">
        <v>63</v>
      </c>
      <c r="D607" s="24" t="s">
        <v>63</v>
      </c>
      <c r="E607" s="24" t="s">
        <v>63</v>
      </c>
      <c r="F607" s="24" t="s">
        <v>63</v>
      </c>
      <c r="G607" s="24" t="s">
        <v>63</v>
      </c>
      <c r="H607" s="24" t="s">
        <v>47</v>
      </c>
      <c r="I607" s="24" t="s">
        <v>47</v>
      </c>
      <c r="J607" s="24" t="s">
        <v>47</v>
      </c>
      <c r="K607" s="24" t="s">
        <v>47</v>
      </c>
      <c r="L607" s="24" t="s">
        <v>47</v>
      </c>
      <c r="M607" s="24" t="s">
        <v>132</v>
      </c>
      <c r="N607" s="24" t="s">
        <v>132</v>
      </c>
      <c r="O607" s="24" t="s">
        <v>132</v>
      </c>
      <c r="P607" s="24"/>
      <c r="Q607" s="24"/>
      <c r="R607" s="24"/>
      <c r="S607" s="24"/>
      <c r="T607" s="24"/>
      <c r="U607" s="24"/>
      <c r="V607" s="24"/>
      <c r="W607" s="24"/>
    </row>
    <row r="608" spans="2:23" ht="18" customHeight="1" x14ac:dyDescent="0.25">
      <c r="B608" s="31" t="s">
        <v>18</v>
      </c>
      <c r="C608" s="66" t="s">
        <v>43</v>
      </c>
      <c r="D608" s="24" t="s">
        <v>43</v>
      </c>
      <c r="E608" s="24" t="s">
        <v>43</v>
      </c>
      <c r="F608" s="24" t="s">
        <v>43</v>
      </c>
      <c r="G608" s="24" t="s">
        <v>43</v>
      </c>
      <c r="H608" s="24" t="s">
        <v>28</v>
      </c>
      <c r="I608" s="24" t="s">
        <v>28</v>
      </c>
      <c r="J608" s="24" t="s">
        <v>28</v>
      </c>
      <c r="K608" s="24" t="s">
        <v>28</v>
      </c>
      <c r="L608" s="24" t="s">
        <v>28</v>
      </c>
      <c r="M608" s="24" t="s">
        <v>28</v>
      </c>
      <c r="N608" s="24" t="s">
        <v>28</v>
      </c>
      <c r="O608" s="24" t="s">
        <v>28</v>
      </c>
      <c r="P608" s="24"/>
      <c r="Q608" s="24"/>
      <c r="R608" s="24"/>
      <c r="S608" s="24"/>
      <c r="T608" s="24"/>
      <c r="U608" s="24"/>
      <c r="V608" s="24"/>
      <c r="W608" s="24"/>
    </row>
    <row r="609" spans="2:23" ht="18" customHeight="1" x14ac:dyDescent="0.25">
      <c r="B609" s="24"/>
      <c r="C609" s="66"/>
      <c r="D609" s="24"/>
      <c r="E609" s="24"/>
      <c r="F609" s="24"/>
      <c r="G609" s="24"/>
      <c r="H609" s="24"/>
      <c r="I609" s="24"/>
      <c r="J609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</row>
    <row r="610" spans="2:23" ht="18" customHeight="1" x14ac:dyDescent="0.25">
      <c r="B610" s="31" t="s">
        <v>19</v>
      </c>
      <c r="C610" s="66">
        <v>3.5</v>
      </c>
      <c r="D610" s="24">
        <v>3.5</v>
      </c>
      <c r="E610" s="24">
        <v>3.5</v>
      </c>
      <c r="F610" s="24">
        <v>3.5</v>
      </c>
      <c r="G610" s="24">
        <v>3.5</v>
      </c>
      <c r="H610" s="24">
        <v>3.5</v>
      </c>
      <c r="I610" s="24">
        <v>3.5</v>
      </c>
      <c r="J610" s="24">
        <v>3.5</v>
      </c>
      <c r="K610" s="24">
        <v>3.5</v>
      </c>
      <c r="L610" s="24">
        <v>4</v>
      </c>
      <c r="M610" s="24">
        <v>4</v>
      </c>
      <c r="N610" s="24">
        <v>4</v>
      </c>
      <c r="O610" s="24">
        <v>4</v>
      </c>
      <c r="P610" s="24"/>
      <c r="Q610" s="24"/>
      <c r="R610" s="24"/>
      <c r="S610" s="24"/>
      <c r="T610" s="24"/>
      <c r="U610" s="24"/>
      <c r="V610" s="24"/>
      <c r="W610" s="24"/>
    </row>
    <row r="611" spans="2:23" ht="18" customHeight="1" x14ac:dyDescent="0.25">
      <c r="B611" s="31" t="s">
        <v>20</v>
      </c>
      <c r="C611" s="66">
        <v>0.35</v>
      </c>
      <c r="D611" s="24">
        <v>0.35</v>
      </c>
      <c r="E611" s="24">
        <v>0.35</v>
      </c>
      <c r="F611" s="24">
        <v>0.35</v>
      </c>
      <c r="G611" s="24">
        <v>0.35</v>
      </c>
      <c r="H611" s="24">
        <v>0.35</v>
      </c>
      <c r="I611" s="24">
        <v>0.35</v>
      </c>
      <c r="J611" s="24">
        <v>0.35</v>
      </c>
      <c r="K611" s="24">
        <v>0.35</v>
      </c>
      <c r="L611" s="24">
        <v>0.35</v>
      </c>
      <c r="M611" s="24">
        <v>0.35</v>
      </c>
      <c r="N611" s="24">
        <v>0.35</v>
      </c>
      <c r="O611" s="24">
        <v>0.35</v>
      </c>
      <c r="P611" s="24"/>
      <c r="Q611" s="24"/>
      <c r="R611" s="24"/>
      <c r="S611" s="24"/>
      <c r="T611" s="24"/>
      <c r="U611" s="24"/>
      <c r="V611" s="24"/>
      <c r="W611" s="24"/>
    </row>
    <row r="612" spans="2:23" ht="18" customHeight="1" x14ac:dyDescent="0.25">
      <c r="B612" s="31" t="s">
        <v>21</v>
      </c>
      <c r="C612" s="66">
        <v>3.5</v>
      </c>
      <c r="D612" s="24">
        <v>3.5</v>
      </c>
      <c r="E612" s="24">
        <v>2.5</v>
      </c>
      <c r="F612" s="24">
        <v>4.5</v>
      </c>
      <c r="G612" s="24">
        <v>4</v>
      </c>
      <c r="H612" s="24">
        <v>2.5</v>
      </c>
      <c r="I612" s="24">
        <v>2.5</v>
      </c>
      <c r="J612" s="24">
        <v>2.5</v>
      </c>
      <c r="K612" s="24">
        <v>2.5</v>
      </c>
      <c r="L612" s="24">
        <v>3.5</v>
      </c>
      <c r="M612" s="24">
        <v>3.5</v>
      </c>
      <c r="N612" s="24">
        <v>3.5</v>
      </c>
      <c r="O612" s="24">
        <v>3.5</v>
      </c>
      <c r="P612" s="24"/>
      <c r="Q612" s="24"/>
      <c r="R612" s="24"/>
      <c r="S612" s="24"/>
      <c r="T612" s="24"/>
      <c r="U612" s="24"/>
      <c r="V612" s="24"/>
      <c r="W612" s="24"/>
    </row>
    <row r="613" spans="2:23" ht="18" customHeight="1" x14ac:dyDescent="0.25">
      <c r="B613" s="31" t="s">
        <v>22</v>
      </c>
      <c r="C613" s="66">
        <v>0.35</v>
      </c>
      <c r="D613" s="24">
        <v>0.35</v>
      </c>
      <c r="E613" s="24">
        <v>0.35</v>
      </c>
      <c r="F613" s="24">
        <v>0.35</v>
      </c>
      <c r="G613" s="24">
        <v>0.35</v>
      </c>
      <c r="H613" s="24">
        <v>0.35</v>
      </c>
      <c r="I613" s="24">
        <v>0.35</v>
      </c>
      <c r="J613" s="24">
        <v>0.35</v>
      </c>
      <c r="K613" s="24">
        <v>0.35</v>
      </c>
      <c r="L613" s="24">
        <v>0.35</v>
      </c>
      <c r="M613" s="24">
        <v>0.35</v>
      </c>
      <c r="N613" s="24">
        <v>0.35</v>
      </c>
      <c r="O613" s="24">
        <v>0.35</v>
      </c>
      <c r="P613" s="24"/>
      <c r="Q613" s="24"/>
      <c r="R613" s="24"/>
      <c r="S613" s="24"/>
      <c r="T613" s="24"/>
      <c r="U613" s="24"/>
      <c r="V613" s="24"/>
      <c r="W613" s="24"/>
    </row>
    <row r="614" spans="2:23" ht="18" customHeight="1" x14ac:dyDescent="0.25">
      <c r="B614" s="31" t="s">
        <v>23</v>
      </c>
      <c r="C614" s="66"/>
      <c r="D614" s="24"/>
      <c r="E614" s="24"/>
      <c r="F614" s="24"/>
      <c r="G614" s="24"/>
      <c r="H614" s="24"/>
      <c r="I614" s="24"/>
      <c r="J61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</row>
    <row r="615" spans="2:23" ht="18" customHeight="1" x14ac:dyDescent="0.25">
      <c r="B615" s="31" t="s">
        <v>24</v>
      </c>
      <c r="C615" s="66"/>
      <c r="D615" s="24"/>
      <c r="E615" s="24"/>
      <c r="F615" s="24"/>
      <c r="G615" s="24"/>
      <c r="H615" s="24"/>
      <c r="I615" s="24"/>
      <c r="J615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</row>
    <row r="616" spans="2:23" ht="18" customHeight="1" x14ac:dyDescent="0.25">
      <c r="B616" s="24"/>
      <c r="C616" s="66"/>
      <c r="D616" s="24"/>
      <c r="E616" s="24"/>
      <c r="F616" s="24"/>
      <c r="G616" s="24"/>
      <c r="H616" s="24"/>
      <c r="I616" s="24"/>
      <c r="J616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</row>
    <row r="617" spans="2:23" ht="18" customHeight="1" x14ac:dyDescent="0.25">
      <c r="B617" s="32" t="s">
        <v>33</v>
      </c>
      <c r="C617" s="66"/>
      <c r="D617" s="24"/>
      <c r="E617" s="24"/>
      <c r="F617" s="24"/>
      <c r="G617" s="24"/>
      <c r="H617" s="24"/>
      <c r="I617" s="24"/>
      <c r="J617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</row>
    <row r="618" spans="2:23" ht="18" customHeight="1" x14ac:dyDescent="0.25">
      <c r="B618" s="24"/>
      <c r="C618" s="66"/>
      <c r="D618" s="24"/>
      <c r="E618" s="24"/>
      <c r="F618" s="24"/>
      <c r="G618" s="24"/>
      <c r="H618" s="24"/>
      <c r="I618" s="24"/>
      <c r="J618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</row>
    <row r="619" spans="2:23" ht="18" customHeight="1" x14ac:dyDescent="0.25">
      <c r="B619" s="24"/>
      <c r="C619" s="66"/>
      <c r="D619" s="24"/>
      <c r="E619" s="24"/>
      <c r="F619" s="24"/>
      <c r="G619" s="24"/>
      <c r="H619" s="24"/>
      <c r="I619" s="24"/>
      <c r="J619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</row>
    <row r="620" spans="2:23" ht="18" customHeight="1" x14ac:dyDescent="0.25">
      <c r="B620" s="24"/>
      <c r="C620" s="66"/>
      <c r="D620" s="24"/>
      <c r="E620" s="24"/>
      <c r="F620" s="24"/>
      <c r="G620" s="24"/>
      <c r="H620" s="24"/>
      <c r="I620" s="24"/>
      <c r="J620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</row>
    <row r="621" spans="2:23" ht="18" customHeight="1" x14ac:dyDescent="0.25">
      <c r="B621" s="24"/>
      <c r="C621" s="66"/>
      <c r="D621" s="24"/>
      <c r="E621" s="24"/>
      <c r="F621" s="24"/>
      <c r="G621" s="24"/>
      <c r="H621" s="24"/>
      <c r="I621" s="24"/>
      <c r="J621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</row>
    <row r="622" spans="2:23" ht="18" customHeight="1" x14ac:dyDescent="0.25">
      <c r="B622" s="31" t="s">
        <v>0</v>
      </c>
      <c r="C622" s="66" t="s">
        <v>133</v>
      </c>
      <c r="D622" s="24"/>
      <c r="E622" s="24"/>
      <c r="F622" s="24"/>
      <c r="G622" s="24"/>
      <c r="H622" s="24"/>
      <c r="I622" s="24"/>
      <c r="J622"/>
      <c r="K622" s="24"/>
      <c r="L622"/>
      <c r="M622"/>
      <c r="N622"/>
      <c r="O622"/>
      <c r="P622"/>
      <c r="Q622"/>
      <c r="R622"/>
    </row>
    <row r="623" spans="2:23" ht="18" customHeight="1" x14ac:dyDescent="0.25">
      <c r="B623" s="32" t="s">
        <v>3</v>
      </c>
      <c r="C623" s="66">
        <v>2</v>
      </c>
      <c r="D623" s="24"/>
      <c r="E623" s="24"/>
      <c r="F623" s="24"/>
      <c r="G623" s="24"/>
      <c r="H623" s="24"/>
      <c r="I623" s="24"/>
      <c r="J623"/>
      <c r="K623" s="24"/>
      <c r="L623"/>
      <c r="M623"/>
      <c r="N623"/>
      <c r="O623"/>
      <c r="P623"/>
      <c r="Q623"/>
      <c r="R623"/>
    </row>
    <row r="624" spans="2:23" ht="18" customHeight="1" x14ac:dyDescent="0.25">
      <c r="B624" s="32"/>
      <c r="C624" s="66"/>
      <c r="D624" s="24"/>
      <c r="E624" s="24"/>
      <c r="F624" s="24"/>
      <c r="G624" s="24"/>
      <c r="H624" s="24"/>
      <c r="I624" s="24"/>
      <c r="J624"/>
      <c r="K624" s="24"/>
      <c r="L624"/>
      <c r="M624"/>
      <c r="N624"/>
      <c r="O624"/>
      <c r="P624"/>
      <c r="Q624"/>
      <c r="R624"/>
    </row>
    <row r="625" spans="2:18" ht="18" customHeight="1" x14ac:dyDescent="0.25">
      <c r="B625" s="32" t="s">
        <v>6</v>
      </c>
      <c r="C625" s="67">
        <v>39119</v>
      </c>
      <c r="D625" s="24"/>
      <c r="E625" s="24"/>
      <c r="F625" s="24"/>
      <c r="G625" s="24"/>
      <c r="H625" s="24"/>
      <c r="I625" s="24"/>
      <c r="J625"/>
      <c r="K625" s="24"/>
      <c r="L625"/>
      <c r="M625"/>
      <c r="N625"/>
      <c r="O625"/>
      <c r="P625"/>
      <c r="Q625"/>
      <c r="R625"/>
    </row>
    <row r="626" spans="2:18" ht="18" customHeight="1" x14ac:dyDescent="0.25">
      <c r="B626" s="33" t="s">
        <v>9</v>
      </c>
      <c r="C626" s="67">
        <v>40687</v>
      </c>
      <c r="D626" s="23">
        <v>40736</v>
      </c>
      <c r="E626" s="23">
        <v>40834</v>
      </c>
      <c r="F626" s="23" t="s">
        <v>134</v>
      </c>
      <c r="G626" s="23">
        <v>41100</v>
      </c>
      <c r="H626" s="27">
        <v>41331</v>
      </c>
      <c r="I626" s="27"/>
      <c r="J626" s="27"/>
      <c r="K626" s="27"/>
      <c r="L626"/>
      <c r="M626"/>
      <c r="N626"/>
      <c r="O626"/>
      <c r="P626"/>
      <c r="Q626"/>
      <c r="R626"/>
    </row>
    <row r="627" spans="2:18" ht="18" customHeight="1" x14ac:dyDescent="0.25">
      <c r="B627" s="33" t="s">
        <v>8</v>
      </c>
      <c r="C627" s="66"/>
      <c r="D627" s="24"/>
      <c r="E627" s="24"/>
      <c r="F627" s="24"/>
      <c r="G627" s="24"/>
      <c r="H627" s="24"/>
      <c r="I627" s="24"/>
      <c r="J627"/>
      <c r="K627" s="24"/>
      <c r="L627"/>
      <c r="M627"/>
      <c r="N627"/>
      <c r="O627"/>
      <c r="P627"/>
      <c r="Q627"/>
      <c r="R627"/>
    </row>
    <row r="628" spans="2:18" ht="18" customHeight="1" x14ac:dyDescent="0.25">
      <c r="B628" s="31" t="s">
        <v>11</v>
      </c>
      <c r="C628" s="66">
        <v>5.15</v>
      </c>
      <c r="D628" s="24">
        <v>5.14</v>
      </c>
      <c r="E628" s="24">
        <v>5.14</v>
      </c>
      <c r="F628" s="24">
        <v>5.13</v>
      </c>
      <c r="G628" s="24">
        <v>5.07</v>
      </c>
      <c r="H628" s="24">
        <v>4.72</v>
      </c>
      <c r="I628" s="24"/>
      <c r="J628"/>
      <c r="K628" s="24"/>
      <c r="L628"/>
      <c r="M628"/>
      <c r="N628"/>
      <c r="O628"/>
      <c r="P628"/>
      <c r="Q628"/>
      <c r="R628"/>
    </row>
    <row r="629" spans="2:18" ht="18" customHeight="1" x14ac:dyDescent="0.25">
      <c r="B629" s="31" t="s">
        <v>12</v>
      </c>
      <c r="C629" s="66">
        <v>70</v>
      </c>
      <c r="D629" s="24">
        <v>74</v>
      </c>
      <c r="E629" s="24">
        <v>70</v>
      </c>
      <c r="F629" s="24">
        <v>69</v>
      </c>
      <c r="G629" s="24">
        <v>64</v>
      </c>
      <c r="H629" s="24">
        <v>60</v>
      </c>
      <c r="I629" s="24"/>
      <c r="J629"/>
      <c r="K629" s="24"/>
      <c r="L629"/>
      <c r="M629"/>
      <c r="N629"/>
      <c r="O629"/>
      <c r="P629"/>
      <c r="Q629"/>
      <c r="R629"/>
    </row>
    <row r="630" spans="2:18" ht="18" customHeight="1" x14ac:dyDescent="0.25">
      <c r="B630" s="31" t="s">
        <v>13</v>
      </c>
      <c r="C630" s="66">
        <v>3</v>
      </c>
      <c r="D630" s="24">
        <v>31</v>
      </c>
      <c r="E630" s="24">
        <v>29</v>
      </c>
      <c r="F630" s="24">
        <v>5</v>
      </c>
      <c r="G630" s="24">
        <v>21</v>
      </c>
      <c r="H630" s="24">
        <v>20</v>
      </c>
      <c r="I630" s="24"/>
      <c r="J630"/>
      <c r="K630" s="24"/>
      <c r="L630"/>
      <c r="M630"/>
      <c r="N630"/>
      <c r="O630"/>
      <c r="P630"/>
      <c r="Q630"/>
      <c r="R630"/>
    </row>
    <row r="631" spans="2:18" ht="18" customHeight="1" x14ac:dyDescent="0.25">
      <c r="B631" s="31" t="s">
        <v>14</v>
      </c>
      <c r="C631" s="66"/>
      <c r="D631" s="24"/>
      <c r="E631" s="24"/>
      <c r="F631" s="24"/>
      <c r="G631" s="24"/>
      <c r="H631" s="24"/>
      <c r="I631" s="24"/>
      <c r="J631"/>
      <c r="K631" s="24"/>
      <c r="L631"/>
      <c r="M631"/>
      <c r="N631"/>
      <c r="O631"/>
      <c r="P631"/>
      <c r="Q631"/>
      <c r="R631"/>
    </row>
    <row r="632" spans="2:18" ht="18" customHeight="1" x14ac:dyDescent="0.25">
      <c r="B632" s="32" t="s">
        <v>41</v>
      </c>
      <c r="C632" s="66" t="s">
        <v>46</v>
      </c>
      <c r="D632" s="30" t="s">
        <v>42</v>
      </c>
      <c r="E632" s="30" t="s">
        <v>42</v>
      </c>
      <c r="F632" s="30" t="s">
        <v>42</v>
      </c>
      <c r="G632" s="30" t="s">
        <v>42</v>
      </c>
      <c r="H632" s="30" t="s">
        <v>42</v>
      </c>
      <c r="I632" s="24"/>
      <c r="J632"/>
      <c r="K632" s="24"/>
      <c r="L632"/>
      <c r="M632"/>
      <c r="N632"/>
      <c r="O632"/>
      <c r="P632"/>
      <c r="Q632"/>
      <c r="R632"/>
    </row>
    <row r="633" spans="2:18" ht="18" customHeight="1" x14ac:dyDescent="0.25">
      <c r="B633" s="33" t="s">
        <v>15</v>
      </c>
      <c r="C633" s="66"/>
      <c r="D633" s="24"/>
      <c r="E633" s="24"/>
      <c r="F633" s="24"/>
      <c r="G633" s="24"/>
      <c r="H633" s="24"/>
      <c r="I633" s="24"/>
      <c r="J633"/>
      <c r="K633" s="24"/>
      <c r="L633"/>
      <c r="M633"/>
      <c r="N633"/>
      <c r="O633"/>
      <c r="P633"/>
      <c r="Q633"/>
      <c r="R633"/>
    </row>
    <row r="634" spans="2:18" ht="18" customHeight="1" x14ac:dyDescent="0.25">
      <c r="B634" s="31" t="s">
        <v>17</v>
      </c>
      <c r="C634" s="66" t="s">
        <v>47</v>
      </c>
      <c r="D634" s="24" t="s">
        <v>47</v>
      </c>
      <c r="E634" s="24" t="s">
        <v>47</v>
      </c>
      <c r="F634" s="24" t="s">
        <v>47</v>
      </c>
      <c r="G634" s="24" t="s">
        <v>47</v>
      </c>
      <c r="H634" s="24" t="s">
        <v>47</v>
      </c>
      <c r="I634" s="24"/>
      <c r="J634"/>
      <c r="K634" s="24"/>
      <c r="L634"/>
      <c r="M634"/>
      <c r="N634"/>
      <c r="O634"/>
      <c r="P634"/>
      <c r="Q634"/>
      <c r="R634"/>
    </row>
    <row r="635" spans="2:18" ht="18" customHeight="1" x14ac:dyDescent="0.25">
      <c r="B635" s="31" t="s">
        <v>18</v>
      </c>
      <c r="C635" s="66" t="s">
        <v>43</v>
      </c>
      <c r="D635" s="24" t="s">
        <v>43</v>
      </c>
      <c r="E635" s="24" t="s">
        <v>43</v>
      </c>
      <c r="F635" s="24" t="s">
        <v>43</v>
      </c>
      <c r="G635" s="24" t="s">
        <v>43</v>
      </c>
      <c r="H635" s="24" t="s">
        <v>28</v>
      </c>
      <c r="I635" s="24"/>
      <c r="J635"/>
      <c r="K635" s="24"/>
      <c r="L635"/>
      <c r="M635"/>
      <c r="N635"/>
      <c r="O635"/>
      <c r="P635"/>
      <c r="Q635"/>
      <c r="R635"/>
    </row>
    <row r="636" spans="2:18" ht="18" customHeight="1" x14ac:dyDescent="0.25">
      <c r="B636" s="24"/>
      <c r="C636" s="66"/>
      <c r="D636" s="24"/>
      <c r="E636" s="24"/>
      <c r="F636" s="24"/>
      <c r="G636" s="24"/>
      <c r="H636" s="24"/>
      <c r="I636" s="24"/>
      <c r="J636"/>
      <c r="K636" s="24"/>
      <c r="L636"/>
      <c r="M636"/>
      <c r="N636"/>
      <c r="O636"/>
      <c r="P636"/>
      <c r="Q636"/>
      <c r="R636"/>
    </row>
    <row r="637" spans="2:18" ht="18" customHeight="1" x14ac:dyDescent="0.25">
      <c r="B637" s="31" t="s">
        <v>19</v>
      </c>
      <c r="C637" s="66">
        <v>4.5</v>
      </c>
      <c r="D637" s="24">
        <v>4.5</v>
      </c>
      <c r="E637" s="24">
        <v>4.5</v>
      </c>
      <c r="F637" s="24">
        <v>4.5</v>
      </c>
      <c r="G637" s="24">
        <v>3</v>
      </c>
      <c r="H637" s="24">
        <v>3</v>
      </c>
      <c r="I637" s="24"/>
      <c r="J637"/>
      <c r="K637" s="24"/>
      <c r="L637"/>
      <c r="M637"/>
      <c r="N637"/>
      <c r="O637"/>
      <c r="P637"/>
      <c r="Q637"/>
      <c r="R637"/>
    </row>
    <row r="638" spans="2:18" ht="18" customHeight="1" x14ac:dyDescent="0.25">
      <c r="B638" s="31" t="s">
        <v>20</v>
      </c>
      <c r="C638" s="66">
        <v>0.6</v>
      </c>
      <c r="D638" s="24">
        <v>0.6</v>
      </c>
      <c r="E638" s="24">
        <v>0.6</v>
      </c>
      <c r="F638" s="24">
        <v>0.6</v>
      </c>
      <c r="G638" s="24">
        <v>0.6</v>
      </c>
      <c r="H638" s="24">
        <v>0.6</v>
      </c>
      <c r="I638" s="24"/>
      <c r="J638"/>
      <c r="K638" s="24"/>
      <c r="L638"/>
      <c r="M638"/>
      <c r="N638"/>
      <c r="O638"/>
      <c r="P638"/>
      <c r="Q638"/>
      <c r="R638"/>
    </row>
    <row r="639" spans="2:18" ht="18" customHeight="1" x14ac:dyDescent="0.25">
      <c r="B639" s="31" t="s">
        <v>21</v>
      </c>
      <c r="C639" s="66">
        <v>2.5</v>
      </c>
      <c r="D639" s="24">
        <v>2.5</v>
      </c>
      <c r="E639" s="24">
        <v>2.5</v>
      </c>
      <c r="F639" s="24">
        <v>2.5</v>
      </c>
      <c r="G639" s="24">
        <v>3</v>
      </c>
      <c r="H639" s="24">
        <v>3</v>
      </c>
      <c r="I639" s="24"/>
      <c r="J639"/>
      <c r="K639" s="24"/>
      <c r="L639"/>
      <c r="M639"/>
      <c r="N639"/>
      <c r="O639"/>
      <c r="P639"/>
      <c r="Q639"/>
      <c r="R639"/>
    </row>
    <row r="640" spans="2:18" ht="18" customHeight="1" x14ac:dyDescent="0.25">
      <c r="B640" s="31" t="s">
        <v>22</v>
      </c>
      <c r="C640" s="66">
        <v>0.5</v>
      </c>
      <c r="D640" s="24">
        <v>0.5</v>
      </c>
      <c r="E640" s="24">
        <v>0.5</v>
      </c>
      <c r="F640" s="24">
        <v>0.5</v>
      </c>
      <c r="G640" s="24">
        <v>0.5</v>
      </c>
      <c r="H640" s="24">
        <v>0.5</v>
      </c>
      <c r="I640" s="24"/>
      <c r="J640"/>
      <c r="K640" s="24"/>
      <c r="L640"/>
      <c r="M640"/>
      <c r="N640"/>
      <c r="O640"/>
      <c r="P640"/>
      <c r="Q640"/>
      <c r="R640"/>
    </row>
    <row r="641" spans="2:18" ht="18" customHeight="1" x14ac:dyDescent="0.25">
      <c r="B641" s="31" t="s">
        <v>23</v>
      </c>
      <c r="C641" s="66"/>
      <c r="D641" s="24"/>
      <c r="E641" s="24"/>
      <c r="F641" s="24"/>
      <c r="G641" s="24"/>
      <c r="H641" s="24"/>
      <c r="I641" s="24"/>
      <c r="J641"/>
      <c r="K641" s="24"/>
      <c r="L641"/>
      <c r="M641"/>
      <c r="N641"/>
      <c r="O641"/>
      <c r="P641"/>
      <c r="Q641"/>
      <c r="R641"/>
    </row>
    <row r="642" spans="2:18" ht="18" customHeight="1" x14ac:dyDescent="0.25">
      <c r="B642" s="31" t="s">
        <v>24</v>
      </c>
      <c r="C642" s="66"/>
      <c r="D642" s="24"/>
      <c r="E642" s="24"/>
      <c r="F642" s="24"/>
      <c r="G642" s="24"/>
      <c r="H642" s="24"/>
      <c r="I642" s="24"/>
      <c r="J642"/>
      <c r="K642" s="24"/>
      <c r="L642"/>
      <c r="M642"/>
      <c r="N642"/>
      <c r="O642"/>
      <c r="P642"/>
      <c r="Q642"/>
      <c r="R642"/>
    </row>
    <row r="643" spans="2:18" ht="18" customHeight="1" x14ac:dyDescent="0.25">
      <c r="B643" s="24"/>
      <c r="C643" s="66"/>
      <c r="D643" s="24"/>
      <c r="E643" s="24"/>
      <c r="F643" s="24"/>
      <c r="G643" s="24"/>
      <c r="H643" s="24"/>
      <c r="I643" s="24"/>
      <c r="J643"/>
      <c r="K643" s="24"/>
      <c r="L643"/>
      <c r="M643"/>
      <c r="N643"/>
      <c r="O643"/>
      <c r="P643"/>
      <c r="Q643"/>
      <c r="R643"/>
    </row>
    <row r="644" spans="2:18" ht="18" customHeight="1" x14ac:dyDescent="0.25">
      <c r="B644" s="32" t="s">
        <v>33</v>
      </c>
      <c r="C644" s="66"/>
      <c r="D644" s="24"/>
      <c r="E644" s="24"/>
      <c r="F644" s="24"/>
      <c r="G644" s="24"/>
      <c r="H644" s="24"/>
      <c r="I644" s="24"/>
      <c r="J644"/>
      <c r="K644" s="24"/>
      <c r="L644"/>
      <c r="M644"/>
      <c r="N644"/>
      <c r="O644"/>
      <c r="P644"/>
      <c r="Q644"/>
      <c r="R644"/>
    </row>
    <row r="645" spans="2:18" x14ac:dyDescent="0.25">
      <c r="C645" s="56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2:18" x14ac:dyDescent="0.25">
      <c r="C646" s="56"/>
      <c r="D646"/>
      <c r="E646"/>
      <c r="F646"/>
      <c r="G646"/>
      <c r="H646"/>
      <c r="I646"/>
      <c r="J646"/>
      <c r="K646" s="25">
        <v>41778</v>
      </c>
      <c r="L646"/>
      <c r="M646"/>
      <c r="N646"/>
      <c r="O646"/>
      <c r="P646"/>
      <c r="Q646"/>
      <c r="R646"/>
    </row>
    <row r="647" spans="2:18" x14ac:dyDescent="0.25">
      <c r="C647" s="56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2:18" x14ac:dyDescent="0.25">
      <c r="C648" s="56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2:18" x14ac:dyDescent="0.25">
      <c r="C649" s="56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2:18" ht="18" customHeight="1" x14ac:dyDescent="0.25">
      <c r="B650" s="31" t="s">
        <v>0</v>
      </c>
      <c r="C650" s="66" t="s">
        <v>135</v>
      </c>
      <c r="D650" s="24"/>
      <c r="E650" s="24"/>
      <c r="F650" s="24"/>
      <c r="G650" s="24"/>
      <c r="H650" s="24"/>
      <c r="I650" s="24"/>
      <c r="J650"/>
      <c r="K650"/>
      <c r="L650"/>
      <c r="M650"/>
      <c r="N650"/>
      <c r="O650"/>
      <c r="P650"/>
      <c r="Q650"/>
      <c r="R650"/>
    </row>
    <row r="651" spans="2:18" ht="18" customHeight="1" x14ac:dyDescent="0.25">
      <c r="B651" s="32" t="s">
        <v>3</v>
      </c>
      <c r="C651" s="66">
        <v>2</v>
      </c>
      <c r="D651" s="24"/>
      <c r="E651" s="24"/>
      <c r="F651" s="24"/>
      <c r="G651" s="24"/>
      <c r="H651" s="24"/>
      <c r="I651" s="24"/>
      <c r="J651"/>
      <c r="K651"/>
      <c r="L651"/>
      <c r="M651"/>
      <c r="N651"/>
      <c r="O651"/>
      <c r="P651"/>
      <c r="Q651"/>
      <c r="R651"/>
    </row>
    <row r="652" spans="2:18" ht="18" customHeight="1" x14ac:dyDescent="0.25">
      <c r="B652" s="32"/>
      <c r="C652" s="66"/>
      <c r="D652" s="24"/>
      <c r="E652" s="24"/>
      <c r="F652" s="24"/>
      <c r="G652" s="24"/>
      <c r="H652" s="24"/>
      <c r="I652" s="24"/>
      <c r="J652"/>
      <c r="K652"/>
      <c r="L652"/>
      <c r="M652"/>
      <c r="N652"/>
      <c r="O652"/>
      <c r="P652"/>
      <c r="Q652"/>
      <c r="R652"/>
    </row>
    <row r="653" spans="2:18" ht="18" customHeight="1" x14ac:dyDescent="0.25">
      <c r="B653" s="32" t="s">
        <v>6</v>
      </c>
      <c r="C653" s="67">
        <v>39161</v>
      </c>
      <c r="D653" s="24"/>
      <c r="E653" s="24"/>
      <c r="F653" s="24"/>
      <c r="G653" s="24"/>
      <c r="H653" s="24"/>
      <c r="I653" s="24"/>
      <c r="J653"/>
      <c r="K653"/>
      <c r="L653"/>
      <c r="M653"/>
      <c r="N653"/>
      <c r="O653"/>
      <c r="P653"/>
      <c r="Q653"/>
      <c r="R653"/>
    </row>
    <row r="654" spans="2:18" ht="18" customHeight="1" x14ac:dyDescent="0.25">
      <c r="B654" s="33" t="s">
        <v>9</v>
      </c>
      <c r="C654" s="67">
        <v>40813</v>
      </c>
      <c r="D654" s="23">
        <v>40995</v>
      </c>
      <c r="E654" s="23">
        <v>41198</v>
      </c>
      <c r="F654" s="23">
        <v>41208</v>
      </c>
      <c r="G654" s="23">
        <v>41351</v>
      </c>
      <c r="H654" s="27">
        <v>41428</v>
      </c>
      <c r="I654" s="27">
        <v>41547</v>
      </c>
      <c r="J654" s="27">
        <v>41723</v>
      </c>
      <c r="K654"/>
      <c r="L654"/>
      <c r="M654"/>
      <c r="N654"/>
      <c r="O654"/>
      <c r="P654"/>
      <c r="Q654"/>
      <c r="R654"/>
    </row>
    <row r="655" spans="2:18" ht="18" customHeight="1" x14ac:dyDescent="0.25">
      <c r="B655" s="33" t="s">
        <v>8</v>
      </c>
      <c r="C655" s="66"/>
      <c r="D655" s="24"/>
      <c r="E655" s="24"/>
      <c r="F655" s="24"/>
      <c r="G655" s="24"/>
      <c r="H655" s="24"/>
      <c r="I655" s="24"/>
      <c r="J655"/>
      <c r="K655"/>
      <c r="L655"/>
      <c r="M655"/>
      <c r="N655"/>
      <c r="O655"/>
      <c r="P655"/>
      <c r="Q655"/>
      <c r="R655"/>
    </row>
    <row r="656" spans="2:18" ht="18" customHeight="1" x14ac:dyDescent="0.25">
      <c r="B656" s="31" t="s">
        <v>11</v>
      </c>
      <c r="C656" s="66">
        <v>5.29</v>
      </c>
      <c r="D656" s="24">
        <v>5.18</v>
      </c>
      <c r="E656" s="24">
        <v>5.16</v>
      </c>
      <c r="F656" s="24">
        <v>5.16</v>
      </c>
      <c r="G656" s="24">
        <v>5.15</v>
      </c>
      <c r="H656" s="24">
        <v>5.14</v>
      </c>
      <c r="I656" s="24">
        <v>5.12</v>
      </c>
      <c r="J656" s="24">
        <v>5.04</v>
      </c>
      <c r="K656"/>
      <c r="L656"/>
      <c r="M656"/>
      <c r="N656"/>
      <c r="O656"/>
      <c r="P656"/>
      <c r="Q656"/>
      <c r="R656"/>
    </row>
    <row r="657" spans="2:18" ht="18" customHeight="1" x14ac:dyDescent="0.25">
      <c r="B657" s="31" t="s">
        <v>12</v>
      </c>
      <c r="C657" s="66">
        <v>89</v>
      </c>
      <c r="D657" s="24">
        <v>78</v>
      </c>
      <c r="E657" s="24">
        <v>57</v>
      </c>
      <c r="F657" s="24">
        <v>0</v>
      </c>
      <c r="G657" s="24" t="s">
        <v>136</v>
      </c>
      <c r="H657" s="24" t="s">
        <v>137</v>
      </c>
      <c r="I657" s="24" t="s">
        <v>138</v>
      </c>
      <c r="J657" s="24" t="s">
        <v>139</v>
      </c>
      <c r="K657"/>
      <c r="L657"/>
      <c r="M657"/>
      <c r="N657"/>
      <c r="O657"/>
      <c r="P657"/>
      <c r="Q657"/>
      <c r="R657"/>
    </row>
    <row r="658" spans="2:18" ht="18" customHeight="1" x14ac:dyDescent="0.25">
      <c r="B658" s="31" t="s">
        <v>13</v>
      </c>
      <c r="C658" s="66">
        <v>0</v>
      </c>
      <c r="D658" s="24">
        <v>0</v>
      </c>
      <c r="E658" s="24">
        <v>17</v>
      </c>
      <c r="F658" s="24">
        <v>68</v>
      </c>
      <c r="G658" s="24">
        <v>0</v>
      </c>
      <c r="H658" s="24" t="s">
        <v>140</v>
      </c>
      <c r="I658" s="24" t="s">
        <v>141</v>
      </c>
      <c r="J658" s="24" t="s">
        <v>142</v>
      </c>
      <c r="K658"/>
      <c r="L658"/>
      <c r="M658"/>
      <c r="N658"/>
      <c r="O658"/>
      <c r="P658"/>
      <c r="Q658"/>
      <c r="R658"/>
    </row>
    <row r="659" spans="2:18" ht="18" customHeight="1" x14ac:dyDescent="0.25">
      <c r="B659" s="31" t="s">
        <v>14</v>
      </c>
      <c r="C659" s="66"/>
      <c r="D659" s="24"/>
      <c r="E659" s="24"/>
      <c r="F659" s="24"/>
      <c r="G659" s="24"/>
      <c r="H659" s="24"/>
      <c r="I659" s="24"/>
      <c r="J659"/>
      <c r="K659"/>
      <c r="L659"/>
      <c r="M659"/>
      <c r="N659"/>
      <c r="O659"/>
      <c r="P659"/>
      <c r="Q659"/>
      <c r="R659"/>
    </row>
    <row r="660" spans="2:18" ht="18" customHeight="1" x14ac:dyDescent="0.25">
      <c r="B660" s="32" t="s">
        <v>41</v>
      </c>
      <c r="C660" s="66" t="s">
        <v>42</v>
      </c>
      <c r="D660" s="30" t="s">
        <v>143</v>
      </c>
      <c r="E660" s="30" t="s">
        <v>42</v>
      </c>
      <c r="F660" s="30" t="s">
        <v>42</v>
      </c>
      <c r="G660" s="30" t="s">
        <v>42</v>
      </c>
      <c r="H660" s="30" t="s">
        <v>42</v>
      </c>
      <c r="I660" s="30" t="s">
        <v>42</v>
      </c>
      <c r="J660" s="30" t="s">
        <v>42</v>
      </c>
      <c r="K660"/>
      <c r="L660"/>
      <c r="M660"/>
      <c r="N660"/>
      <c r="O660"/>
      <c r="P660"/>
      <c r="Q660"/>
      <c r="R660"/>
    </row>
    <row r="661" spans="2:18" ht="18" customHeight="1" x14ac:dyDescent="0.25">
      <c r="B661" s="33" t="s">
        <v>15</v>
      </c>
      <c r="C661" s="66"/>
      <c r="D661" s="24"/>
      <c r="E661" s="24"/>
      <c r="F661" s="24"/>
      <c r="G661" s="24"/>
      <c r="H661" s="24"/>
      <c r="I661" s="24"/>
      <c r="J661"/>
      <c r="K661"/>
      <c r="L661"/>
      <c r="M661"/>
      <c r="N661"/>
      <c r="O661"/>
      <c r="P661"/>
      <c r="Q661"/>
      <c r="R661"/>
    </row>
    <row r="662" spans="2:18" ht="18" customHeight="1" x14ac:dyDescent="0.25">
      <c r="B662" s="31" t="s">
        <v>17</v>
      </c>
      <c r="C662" s="66" t="s">
        <v>47</v>
      </c>
      <c r="D662" s="24" t="s">
        <v>47</v>
      </c>
      <c r="E662" s="24" t="s">
        <v>47</v>
      </c>
      <c r="F662" s="24" t="s">
        <v>47</v>
      </c>
      <c r="G662" s="24" t="s">
        <v>47</v>
      </c>
      <c r="H662" s="24" t="s">
        <v>47</v>
      </c>
      <c r="I662" s="24" t="s">
        <v>47</v>
      </c>
      <c r="J662" s="24" t="s">
        <v>47</v>
      </c>
      <c r="K662"/>
      <c r="L662"/>
      <c r="M662"/>
      <c r="N662"/>
      <c r="O662"/>
      <c r="P662"/>
      <c r="Q662"/>
      <c r="R662"/>
    </row>
    <row r="663" spans="2:18" ht="18" customHeight="1" x14ac:dyDescent="0.25">
      <c r="B663" s="31" t="s">
        <v>18</v>
      </c>
      <c r="C663" s="66" t="s">
        <v>43</v>
      </c>
      <c r="D663" s="24" t="s">
        <v>43</v>
      </c>
      <c r="E663" s="24" t="s">
        <v>43</v>
      </c>
      <c r="F663" s="24" t="s">
        <v>43</v>
      </c>
      <c r="G663" s="24" t="s">
        <v>28</v>
      </c>
      <c r="H663" s="24" t="s">
        <v>28</v>
      </c>
      <c r="I663" s="24" t="s">
        <v>28</v>
      </c>
      <c r="J663" s="24" t="s">
        <v>28</v>
      </c>
      <c r="K663"/>
      <c r="L663"/>
      <c r="M663"/>
      <c r="N663"/>
      <c r="O663"/>
      <c r="P663"/>
      <c r="Q663"/>
      <c r="R663"/>
    </row>
    <row r="664" spans="2:18" ht="18" customHeight="1" x14ac:dyDescent="0.25">
      <c r="B664" s="24"/>
      <c r="C664" s="66"/>
      <c r="D664" s="24"/>
      <c r="E664" s="24"/>
      <c r="F664" s="24"/>
      <c r="G664" s="24"/>
      <c r="H664" s="24"/>
      <c r="I664" s="24"/>
      <c r="J664"/>
      <c r="K664"/>
      <c r="L664"/>
      <c r="M664"/>
      <c r="N664"/>
      <c r="O664"/>
      <c r="P664"/>
      <c r="Q664"/>
      <c r="R664"/>
    </row>
    <row r="665" spans="2:18" ht="18" customHeight="1" x14ac:dyDescent="0.25">
      <c r="B665" s="31" t="s">
        <v>19</v>
      </c>
      <c r="C665" s="66">
        <v>2</v>
      </c>
      <c r="D665" s="24">
        <v>2</v>
      </c>
      <c r="E665" s="24">
        <v>2</v>
      </c>
      <c r="F665" s="24">
        <v>2</v>
      </c>
      <c r="G665" s="24">
        <v>2</v>
      </c>
      <c r="H665" s="24">
        <v>2</v>
      </c>
      <c r="I665" s="24">
        <v>2</v>
      </c>
      <c r="J665" s="24">
        <v>2</v>
      </c>
      <c r="K665"/>
      <c r="L665"/>
      <c r="M665"/>
      <c r="N665"/>
      <c r="O665"/>
      <c r="P665"/>
      <c r="Q665"/>
      <c r="R665"/>
    </row>
    <row r="666" spans="2:18" ht="18" customHeight="1" x14ac:dyDescent="0.25">
      <c r="B666" s="31" t="s">
        <v>20</v>
      </c>
      <c r="C666" s="66">
        <v>0.35</v>
      </c>
      <c r="D666" s="24">
        <v>0.35</v>
      </c>
      <c r="E666" s="24">
        <v>0.35</v>
      </c>
      <c r="F666" s="24">
        <v>0.35</v>
      </c>
      <c r="G666" s="24">
        <v>0.35</v>
      </c>
      <c r="H666" s="24">
        <v>0.35</v>
      </c>
      <c r="I666" s="24">
        <v>0.35</v>
      </c>
      <c r="J666" s="24">
        <v>0.35</v>
      </c>
      <c r="K666"/>
      <c r="L666"/>
      <c r="M666"/>
      <c r="N666"/>
      <c r="O666"/>
      <c r="P666"/>
      <c r="Q666"/>
      <c r="R666"/>
    </row>
    <row r="667" spans="2:18" ht="18" customHeight="1" x14ac:dyDescent="0.25">
      <c r="B667" s="31" t="s">
        <v>21</v>
      </c>
      <c r="C667" s="66">
        <v>2.5</v>
      </c>
      <c r="D667" s="24">
        <v>2.5</v>
      </c>
      <c r="E667" s="24">
        <v>2.5</v>
      </c>
      <c r="F667" s="24">
        <v>2.5</v>
      </c>
      <c r="G667" s="24">
        <v>2.5</v>
      </c>
      <c r="H667" s="24">
        <v>2.5</v>
      </c>
      <c r="I667" s="24">
        <v>2.5</v>
      </c>
      <c r="J667" s="24">
        <v>2.5</v>
      </c>
      <c r="K667"/>
      <c r="L667"/>
      <c r="M667"/>
      <c r="N667"/>
      <c r="O667"/>
      <c r="P667"/>
      <c r="Q667"/>
      <c r="R667"/>
    </row>
    <row r="668" spans="2:18" ht="18" customHeight="1" x14ac:dyDescent="0.25">
      <c r="B668" s="31" t="s">
        <v>22</v>
      </c>
      <c r="C668" s="66">
        <v>0.35</v>
      </c>
      <c r="D668" s="24">
        <v>0.35</v>
      </c>
      <c r="E668" s="24">
        <v>0.35</v>
      </c>
      <c r="F668" s="24">
        <v>0.35</v>
      </c>
      <c r="G668" s="24">
        <v>0.35</v>
      </c>
      <c r="H668" s="24">
        <v>0.35</v>
      </c>
      <c r="I668" s="24">
        <v>0.35</v>
      </c>
      <c r="J668" s="24">
        <v>0.35</v>
      </c>
      <c r="K668"/>
      <c r="L668"/>
      <c r="M668"/>
      <c r="N668"/>
      <c r="O668"/>
      <c r="P668"/>
      <c r="Q668"/>
      <c r="R668"/>
    </row>
    <row r="669" spans="2:18" ht="18" customHeight="1" x14ac:dyDescent="0.25">
      <c r="B669" s="31" t="s">
        <v>23</v>
      </c>
      <c r="C669" s="66"/>
      <c r="D669" s="24"/>
      <c r="E669" s="24"/>
      <c r="F669" s="24"/>
      <c r="G669" s="24"/>
      <c r="H669" s="24"/>
      <c r="I669" s="24"/>
      <c r="J669"/>
      <c r="K669"/>
      <c r="L669"/>
      <c r="M669"/>
      <c r="N669"/>
      <c r="O669"/>
      <c r="P669"/>
      <c r="Q669"/>
      <c r="R669"/>
    </row>
    <row r="670" spans="2:18" ht="18" customHeight="1" x14ac:dyDescent="0.25">
      <c r="B670" s="31" t="s">
        <v>24</v>
      </c>
      <c r="C670" s="66"/>
      <c r="D670" s="24"/>
      <c r="E670" s="24"/>
      <c r="F670" s="24"/>
      <c r="G670" s="24"/>
      <c r="H670" s="24"/>
      <c r="I670" s="24"/>
      <c r="J670"/>
      <c r="K670"/>
      <c r="L670"/>
      <c r="M670"/>
      <c r="N670"/>
      <c r="O670"/>
      <c r="P670"/>
      <c r="Q670"/>
      <c r="R670"/>
    </row>
    <row r="671" spans="2:18" ht="18" customHeight="1" x14ac:dyDescent="0.25">
      <c r="B671" s="24"/>
      <c r="C671" s="66"/>
      <c r="D671" s="24"/>
      <c r="E671" s="24"/>
      <c r="F671" s="24"/>
      <c r="G671" s="24"/>
      <c r="H671" s="24"/>
      <c r="I671" s="24"/>
      <c r="J671"/>
      <c r="K671"/>
      <c r="L671"/>
      <c r="M671"/>
      <c r="N671"/>
      <c r="O671"/>
      <c r="P671"/>
      <c r="Q671"/>
      <c r="R671"/>
    </row>
    <row r="672" spans="2:18" ht="18" customHeight="1" x14ac:dyDescent="0.25">
      <c r="B672" s="32" t="s">
        <v>33</v>
      </c>
      <c r="C672" s="66"/>
      <c r="D672" s="24"/>
      <c r="E672" s="24"/>
      <c r="F672" s="24"/>
      <c r="G672" s="24"/>
      <c r="H672" s="24"/>
      <c r="I672" s="24"/>
      <c r="J672"/>
      <c r="K672"/>
      <c r="L672"/>
      <c r="M672"/>
      <c r="N672"/>
      <c r="O672"/>
      <c r="P672"/>
      <c r="Q672"/>
      <c r="R672"/>
    </row>
    <row r="673" spans="2:18" x14ac:dyDescent="0.25">
      <c r="C673" s="56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</row>
    <row r="674" spans="2:18" x14ac:dyDescent="0.25">
      <c r="C674" s="56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</row>
    <row r="675" spans="2:18" x14ac:dyDescent="0.25">
      <c r="C675" s="56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</row>
    <row r="676" spans="2:18" x14ac:dyDescent="0.25">
      <c r="C676" s="5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</row>
    <row r="677" spans="2:18" x14ac:dyDescent="0.25">
      <c r="C677" s="56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</row>
    <row r="678" spans="2:18" ht="18" customHeight="1" x14ac:dyDescent="0.25">
      <c r="B678" s="31" t="s">
        <v>0</v>
      </c>
      <c r="C678" s="66" t="s">
        <v>144</v>
      </c>
      <c r="D678" s="24"/>
      <c r="E678" s="24"/>
      <c r="F678" s="24"/>
      <c r="G678" s="24"/>
      <c r="H678"/>
      <c r="I678"/>
      <c r="J678"/>
      <c r="K678"/>
      <c r="L678"/>
      <c r="M678"/>
      <c r="N678"/>
      <c r="O678"/>
      <c r="P678"/>
      <c r="Q678"/>
      <c r="R678"/>
    </row>
    <row r="679" spans="2:18" ht="18" customHeight="1" x14ac:dyDescent="0.25">
      <c r="B679" s="32" t="s">
        <v>3</v>
      </c>
      <c r="C679" s="66">
        <v>2</v>
      </c>
      <c r="D679" s="24"/>
      <c r="E679" s="24"/>
      <c r="F679" s="24"/>
      <c r="G679" s="24"/>
      <c r="H679"/>
      <c r="I679"/>
      <c r="J679"/>
      <c r="K679"/>
      <c r="L679" s="4">
        <v>1</v>
      </c>
      <c r="M679" s="4">
        <v>1</v>
      </c>
      <c r="N679"/>
      <c r="O679"/>
      <c r="P679"/>
      <c r="Q679"/>
      <c r="R679"/>
    </row>
    <row r="680" spans="2:18" ht="18" customHeight="1" x14ac:dyDescent="0.25">
      <c r="B680" s="32"/>
      <c r="C680" s="66"/>
      <c r="D680" s="24"/>
      <c r="E680" s="24"/>
      <c r="F680" s="24"/>
      <c r="G680" s="24"/>
      <c r="H680"/>
      <c r="I680"/>
      <c r="J680"/>
      <c r="K680"/>
      <c r="L680"/>
      <c r="M680"/>
      <c r="N680"/>
      <c r="O680"/>
      <c r="P680"/>
      <c r="Q680"/>
      <c r="R680"/>
    </row>
    <row r="681" spans="2:18" ht="18" customHeight="1" x14ac:dyDescent="0.25">
      <c r="B681" s="32" t="s">
        <v>6</v>
      </c>
      <c r="C681" s="67">
        <v>39567</v>
      </c>
      <c r="D681" s="24"/>
      <c r="E681" s="24"/>
      <c r="F681" s="24"/>
      <c r="G681" s="24"/>
      <c r="H681"/>
      <c r="I681"/>
      <c r="J681"/>
      <c r="K681"/>
      <c r="L681"/>
      <c r="M681"/>
      <c r="N681"/>
      <c r="O681"/>
      <c r="P681"/>
      <c r="Q681"/>
      <c r="R681"/>
    </row>
    <row r="682" spans="2:18" ht="18" customHeight="1" x14ac:dyDescent="0.25">
      <c r="B682" s="33" t="s">
        <v>9</v>
      </c>
      <c r="C682" s="67">
        <v>40720</v>
      </c>
      <c r="D682" s="23">
        <v>40967</v>
      </c>
      <c r="E682" s="23">
        <v>41058</v>
      </c>
      <c r="F682" s="23">
        <v>41171</v>
      </c>
      <c r="G682" s="23">
        <v>41291</v>
      </c>
      <c r="H682" s="25">
        <v>41352</v>
      </c>
      <c r="I682" s="27">
        <v>41428</v>
      </c>
      <c r="J682" s="27">
        <v>41528</v>
      </c>
      <c r="K682" s="27">
        <v>41716</v>
      </c>
      <c r="L682" s="27">
        <v>41764</v>
      </c>
      <c r="M682" s="27">
        <v>41948</v>
      </c>
      <c r="N682"/>
      <c r="O682"/>
      <c r="P682"/>
      <c r="Q682"/>
      <c r="R682"/>
    </row>
    <row r="683" spans="2:18" ht="18" customHeight="1" x14ac:dyDescent="0.25">
      <c r="B683" s="33" t="s">
        <v>8</v>
      </c>
      <c r="C683" s="66"/>
      <c r="D683" s="24"/>
      <c r="E683" s="24"/>
      <c r="F683" s="24"/>
      <c r="G683" s="24"/>
      <c r="H683"/>
      <c r="I683" s="24"/>
      <c r="J683"/>
      <c r="K683" s="24"/>
      <c r="L683" s="24"/>
      <c r="M683" s="24"/>
      <c r="N683"/>
      <c r="O683"/>
      <c r="P683"/>
      <c r="Q683"/>
      <c r="R683"/>
    </row>
    <row r="684" spans="2:18" ht="18" customHeight="1" x14ac:dyDescent="0.25">
      <c r="B684" s="31" t="s">
        <v>11</v>
      </c>
      <c r="C684" s="66">
        <v>5.61</v>
      </c>
      <c r="D684" s="24">
        <v>5.25</v>
      </c>
      <c r="E684" s="24">
        <v>5.2</v>
      </c>
      <c r="F684" s="24">
        <v>5.17</v>
      </c>
      <c r="G684" s="24">
        <v>5.14</v>
      </c>
      <c r="H684" s="4">
        <v>5.14</v>
      </c>
      <c r="I684" s="24">
        <v>5.14</v>
      </c>
      <c r="J684" s="24">
        <v>5.13</v>
      </c>
      <c r="K684" s="24">
        <v>5.08</v>
      </c>
      <c r="L684" s="24">
        <v>5.07</v>
      </c>
      <c r="M684" s="24">
        <v>4.97</v>
      </c>
      <c r="N684"/>
      <c r="O684"/>
      <c r="P684"/>
      <c r="Q684"/>
      <c r="R684"/>
    </row>
    <row r="685" spans="2:18" ht="18" customHeight="1" x14ac:dyDescent="0.25">
      <c r="B685" s="31" t="s">
        <v>12</v>
      </c>
      <c r="C685" s="66">
        <v>33</v>
      </c>
      <c r="D685" s="24">
        <v>33</v>
      </c>
      <c r="E685" s="24">
        <v>79</v>
      </c>
      <c r="F685" s="24">
        <v>59</v>
      </c>
      <c r="G685" s="24">
        <v>49</v>
      </c>
      <c r="H685" s="4">
        <v>39</v>
      </c>
      <c r="I685" s="24">
        <v>53</v>
      </c>
      <c r="J685" s="24">
        <v>55</v>
      </c>
      <c r="K685" s="24">
        <v>41</v>
      </c>
      <c r="L685" s="24"/>
      <c r="M685" s="24"/>
      <c r="N685"/>
      <c r="O685"/>
      <c r="P685"/>
      <c r="Q685"/>
      <c r="R685"/>
    </row>
    <row r="686" spans="2:18" ht="18" customHeight="1" x14ac:dyDescent="0.25">
      <c r="B686" s="31" t="s">
        <v>13</v>
      </c>
      <c r="C686" s="66">
        <v>73</v>
      </c>
      <c r="D686" s="24">
        <v>75</v>
      </c>
      <c r="E686" s="24">
        <v>89</v>
      </c>
      <c r="F686" s="24">
        <v>96</v>
      </c>
      <c r="G686" s="24">
        <v>95</v>
      </c>
      <c r="H686" s="4">
        <v>75</v>
      </c>
      <c r="I686" s="24">
        <v>90</v>
      </c>
      <c r="J686" s="24">
        <v>94</v>
      </c>
      <c r="K686" s="24">
        <v>96</v>
      </c>
      <c r="L686" s="24">
        <v>56</v>
      </c>
      <c r="M686" s="24" t="s">
        <v>145</v>
      </c>
      <c r="N686"/>
      <c r="O686"/>
      <c r="P686"/>
      <c r="Q686"/>
      <c r="R686"/>
    </row>
    <row r="687" spans="2:18" ht="18" customHeight="1" x14ac:dyDescent="0.25">
      <c r="B687" s="31" t="s">
        <v>14</v>
      </c>
      <c r="C687" s="66"/>
      <c r="D687" s="24"/>
      <c r="E687" s="24"/>
      <c r="F687" s="24"/>
      <c r="G687" s="24"/>
      <c r="H687"/>
      <c r="I687" s="24"/>
      <c r="J687"/>
      <c r="K687" s="24"/>
      <c r="L687" s="24"/>
      <c r="M687" s="24"/>
      <c r="N687"/>
      <c r="O687"/>
      <c r="P687"/>
      <c r="Q687"/>
      <c r="R687"/>
    </row>
    <row r="688" spans="2:18" ht="18" customHeight="1" x14ac:dyDescent="0.25">
      <c r="B688" s="32" t="s">
        <v>41</v>
      </c>
      <c r="C688" s="66" t="s">
        <v>42</v>
      </c>
      <c r="D688" s="24" t="s">
        <v>42</v>
      </c>
      <c r="E688" s="24" t="s">
        <v>42</v>
      </c>
      <c r="F688" s="24" t="s">
        <v>42</v>
      </c>
      <c r="G688" s="24" t="s">
        <v>42</v>
      </c>
      <c r="H688" s="24" t="s">
        <v>42</v>
      </c>
      <c r="I688" s="24" t="s">
        <v>42</v>
      </c>
      <c r="J688" s="24" t="s">
        <v>42</v>
      </c>
      <c r="K688" s="24" t="s">
        <v>42</v>
      </c>
      <c r="L688" s="24" t="s">
        <v>42</v>
      </c>
      <c r="M688" s="24" t="s">
        <v>42</v>
      </c>
      <c r="N688"/>
      <c r="O688"/>
      <c r="P688"/>
      <c r="Q688"/>
      <c r="R688"/>
    </row>
    <row r="689" spans="2:18" ht="18" customHeight="1" x14ac:dyDescent="0.25">
      <c r="B689" s="33" t="s">
        <v>15</v>
      </c>
      <c r="C689" s="66"/>
      <c r="D689" s="24"/>
      <c r="E689" s="24"/>
      <c r="F689" s="24"/>
      <c r="G689" s="24"/>
      <c r="H689"/>
      <c r="I689" s="24"/>
      <c r="J689"/>
      <c r="K689" s="24"/>
      <c r="L689" s="24"/>
      <c r="M689" s="24"/>
      <c r="N689"/>
      <c r="O689"/>
      <c r="P689"/>
      <c r="Q689"/>
      <c r="R689"/>
    </row>
    <row r="690" spans="2:18" ht="18" customHeight="1" x14ac:dyDescent="0.25">
      <c r="B690" s="31" t="s">
        <v>17</v>
      </c>
      <c r="C690" s="66" t="s">
        <v>47</v>
      </c>
      <c r="D690" s="24" t="s">
        <v>47</v>
      </c>
      <c r="E690" s="24" t="s">
        <v>47</v>
      </c>
      <c r="F690" s="24" t="s">
        <v>47</v>
      </c>
      <c r="G690" s="24" t="s">
        <v>47</v>
      </c>
      <c r="H690" s="24" t="s">
        <v>47</v>
      </c>
      <c r="I690" s="24" t="s">
        <v>47</v>
      </c>
      <c r="J690" s="24" t="s">
        <v>47</v>
      </c>
      <c r="K690" s="24" t="s">
        <v>47</v>
      </c>
      <c r="L690" s="24" t="s">
        <v>47</v>
      </c>
      <c r="M690" s="24" t="s">
        <v>47</v>
      </c>
      <c r="N690"/>
      <c r="O690"/>
      <c r="P690"/>
      <c r="Q690"/>
      <c r="R690"/>
    </row>
    <row r="691" spans="2:18" ht="18" customHeight="1" x14ac:dyDescent="0.25">
      <c r="B691" s="31" t="s">
        <v>18</v>
      </c>
      <c r="C691" s="66" t="s">
        <v>43</v>
      </c>
      <c r="D691" s="24" t="s">
        <v>43</v>
      </c>
      <c r="E691" s="24" t="s">
        <v>43</v>
      </c>
      <c r="F691" s="24" t="s">
        <v>43</v>
      </c>
      <c r="G691" s="24" t="s">
        <v>43</v>
      </c>
      <c r="H691" s="24" t="s">
        <v>43</v>
      </c>
      <c r="I691" s="24" t="s">
        <v>43</v>
      </c>
      <c r="J691" s="24" t="s">
        <v>43</v>
      </c>
      <c r="K691" s="24" t="s">
        <v>43</v>
      </c>
      <c r="L691" s="24" t="s">
        <v>28</v>
      </c>
      <c r="M691" s="24" t="s">
        <v>28</v>
      </c>
      <c r="N691"/>
      <c r="O691"/>
      <c r="P691"/>
      <c r="Q691"/>
      <c r="R691"/>
    </row>
    <row r="692" spans="2:18" ht="18" customHeight="1" x14ac:dyDescent="0.25">
      <c r="B692" s="24"/>
      <c r="C692" s="66"/>
      <c r="D692" s="24"/>
      <c r="E692" s="24"/>
      <c r="F692" s="24"/>
      <c r="G692" s="24"/>
      <c r="H692" s="24"/>
      <c r="I692" s="24"/>
      <c r="J692"/>
      <c r="K692" s="24"/>
      <c r="L692" s="24"/>
      <c r="M692" s="24"/>
      <c r="N692"/>
      <c r="O692"/>
      <c r="P692"/>
      <c r="Q692"/>
      <c r="R692"/>
    </row>
    <row r="693" spans="2:18" ht="18" customHeight="1" x14ac:dyDescent="0.25">
      <c r="B693" s="31" t="s">
        <v>19</v>
      </c>
      <c r="C693" s="66">
        <v>2</v>
      </c>
      <c r="D693" s="24">
        <v>2</v>
      </c>
      <c r="E693" s="24">
        <v>2</v>
      </c>
      <c r="F693" s="24">
        <v>2</v>
      </c>
      <c r="G693" s="24">
        <v>2</v>
      </c>
      <c r="H693" s="24">
        <v>2</v>
      </c>
      <c r="I693" s="24">
        <v>2</v>
      </c>
      <c r="J693" s="24">
        <v>2</v>
      </c>
      <c r="K693" s="24">
        <v>2</v>
      </c>
      <c r="L693" s="24">
        <v>2</v>
      </c>
      <c r="M693" s="24">
        <v>2</v>
      </c>
      <c r="N693"/>
      <c r="O693"/>
      <c r="P693"/>
      <c r="Q693"/>
      <c r="R693"/>
    </row>
    <row r="694" spans="2:18" ht="18" customHeight="1" x14ac:dyDescent="0.25">
      <c r="B694" s="31" t="s">
        <v>20</v>
      </c>
      <c r="C694" s="66">
        <v>0.35</v>
      </c>
      <c r="D694" s="24">
        <v>0.35</v>
      </c>
      <c r="E694" s="24">
        <v>0.35</v>
      </c>
      <c r="F694" s="24">
        <v>0.35</v>
      </c>
      <c r="G694" s="24">
        <v>0.35</v>
      </c>
      <c r="H694" s="24">
        <v>0.35</v>
      </c>
      <c r="I694" s="24">
        <v>0.35</v>
      </c>
      <c r="J694" s="24">
        <v>0.35</v>
      </c>
      <c r="K694" s="24">
        <v>0.35</v>
      </c>
      <c r="L694" s="24">
        <v>0.35</v>
      </c>
      <c r="M694" s="24">
        <v>0.35</v>
      </c>
      <c r="N694"/>
      <c r="O694"/>
      <c r="P694"/>
      <c r="Q694"/>
      <c r="R694"/>
    </row>
    <row r="695" spans="2:18" ht="18" customHeight="1" x14ac:dyDescent="0.25">
      <c r="B695" s="31" t="s">
        <v>21</v>
      </c>
      <c r="C695" s="66">
        <v>3.5</v>
      </c>
      <c r="D695" s="24">
        <v>3.5</v>
      </c>
      <c r="E695" s="24">
        <v>3.5</v>
      </c>
      <c r="F695" s="24">
        <v>3.5</v>
      </c>
      <c r="G695" s="24">
        <v>3.5</v>
      </c>
      <c r="H695" s="24">
        <v>3.5</v>
      </c>
      <c r="I695" s="24">
        <v>2.5</v>
      </c>
      <c r="J695" s="24">
        <v>2.5</v>
      </c>
      <c r="K695" s="24">
        <v>2.5</v>
      </c>
      <c r="L695" s="24">
        <v>2.5</v>
      </c>
      <c r="M695" s="24">
        <v>2.5</v>
      </c>
      <c r="N695"/>
      <c r="O695"/>
      <c r="P695"/>
      <c r="Q695"/>
      <c r="R695"/>
    </row>
    <row r="696" spans="2:18" ht="18" customHeight="1" x14ac:dyDescent="0.25">
      <c r="B696" s="31" t="s">
        <v>22</v>
      </c>
      <c r="C696" s="66">
        <v>0.35</v>
      </c>
      <c r="D696" s="24">
        <v>0.35</v>
      </c>
      <c r="E696" s="24">
        <v>0.35</v>
      </c>
      <c r="F696" s="24">
        <v>0.35</v>
      </c>
      <c r="G696" s="24">
        <v>0.35</v>
      </c>
      <c r="H696" s="24">
        <v>0.35</v>
      </c>
      <c r="I696" s="24">
        <v>0.35</v>
      </c>
      <c r="J696" s="24">
        <v>0.35</v>
      </c>
      <c r="K696" s="24">
        <v>0.35</v>
      </c>
      <c r="L696" s="24">
        <v>0.35</v>
      </c>
      <c r="M696" s="24">
        <v>0.35</v>
      </c>
      <c r="N696"/>
      <c r="O696"/>
      <c r="P696"/>
      <c r="Q696"/>
      <c r="R696"/>
    </row>
    <row r="697" spans="2:18" ht="18" customHeight="1" x14ac:dyDescent="0.25">
      <c r="B697" s="31" t="s">
        <v>23</v>
      </c>
      <c r="C697" s="66"/>
      <c r="D697" s="24"/>
      <c r="E697" s="24"/>
      <c r="F697" s="24"/>
      <c r="G697" s="24"/>
      <c r="H697"/>
      <c r="I697" s="24"/>
      <c r="J697"/>
      <c r="K697" s="24"/>
      <c r="L697" s="24"/>
      <c r="M697" s="24"/>
      <c r="N697"/>
      <c r="O697"/>
      <c r="P697"/>
      <c r="Q697"/>
      <c r="R697"/>
    </row>
    <row r="698" spans="2:18" ht="18" customHeight="1" x14ac:dyDescent="0.25">
      <c r="B698" s="31" t="s">
        <v>24</v>
      </c>
      <c r="C698" s="66"/>
      <c r="D698" s="24"/>
      <c r="E698" s="24"/>
      <c r="F698" s="24"/>
      <c r="G698" s="24"/>
      <c r="H698"/>
      <c r="I698" s="24"/>
      <c r="J698"/>
      <c r="K698" s="24"/>
      <c r="L698" s="24"/>
      <c r="M698" s="24"/>
      <c r="N698"/>
      <c r="O698"/>
      <c r="P698"/>
      <c r="Q698"/>
      <c r="R698"/>
    </row>
    <row r="699" spans="2:18" ht="18" customHeight="1" x14ac:dyDescent="0.25">
      <c r="B699" s="24"/>
      <c r="C699" s="66"/>
      <c r="D699" s="24"/>
      <c r="E699" s="24"/>
      <c r="F699" s="24"/>
      <c r="G699" s="24"/>
      <c r="H699"/>
      <c r="I699" s="24"/>
      <c r="J699"/>
      <c r="K699" s="24"/>
      <c r="L699" s="24"/>
      <c r="M699" s="24"/>
      <c r="N699"/>
      <c r="O699"/>
      <c r="P699"/>
      <c r="Q699"/>
      <c r="R699"/>
    </row>
    <row r="700" spans="2:18" ht="18" customHeight="1" x14ac:dyDescent="0.25">
      <c r="B700" s="32" t="s">
        <v>33</v>
      </c>
      <c r="C700" s="66"/>
      <c r="D700" s="24"/>
      <c r="E700" s="24"/>
      <c r="F700" s="24"/>
      <c r="G700" s="24"/>
      <c r="H700"/>
      <c r="I700" s="24"/>
      <c r="J700"/>
      <c r="K700" s="24"/>
      <c r="L700" s="24"/>
      <c r="M700" s="24"/>
      <c r="N700"/>
      <c r="O700"/>
      <c r="P700"/>
      <c r="Q700"/>
      <c r="R700"/>
    </row>
    <row r="701" spans="2:18" ht="18" customHeight="1" x14ac:dyDescent="0.25">
      <c r="C701" s="56"/>
      <c r="D701"/>
      <c r="E701"/>
      <c r="F701"/>
      <c r="G701"/>
      <c r="H701"/>
      <c r="I701" s="24"/>
      <c r="J701"/>
      <c r="K701" s="24"/>
      <c r="L701" s="24"/>
      <c r="M701" s="24"/>
      <c r="N701"/>
      <c r="O701"/>
      <c r="P701"/>
      <c r="Q701"/>
      <c r="R701"/>
    </row>
    <row r="702" spans="2:18" x14ac:dyDescent="0.25">
      <c r="C702" s="56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</row>
    <row r="703" spans="2:18" x14ac:dyDescent="0.25">
      <c r="C703" s="56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</row>
    <row r="704" spans="2:18" ht="18" customHeight="1" x14ac:dyDescent="0.25">
      <c r="B704" s="31" t="s">
        <v>0</v>
      </c>
      <c r="C704" s="66" t="s">
        <v>146</v>
      </c>
      <c r="D704" s="2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</row>
    <row r="705" spans="2:18" ht="18" customHeight="1" x14ac:dyDescent="0.25">
      <c r="B705" s="32" t="s">
        <v>3</v>
      </c>
      <c r="C705" s="66">
        <v>2</v>
      </c>
      <c r="D705" s="24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</row>
    <row r="706" spans="2:18" ht="18" customHeight="1" x14ac:dyDescent="0.25">
      <c r="B706" s="32"/>
      <c r="C706" s="66"/>
      <c r="D706" s="24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</row>
    <row r="707" spans="2:18" ht="18" customHeight="1" x14ac:dyDescent="0.25">
      <c r="B707" s="32" t="s">
        <v>6</v>
      </c>
      <c r="C707" s="67">
        <v>39140</v>
      </c>
      <c r="D707" s="24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</row>
    <row r="708" spans="2:18" ht="18" customHeight="1" x14ac:dyDescent="0.25">
      <c r="B708" s="33" t="s">
        <v>9</v>
      </c>
      <c r="C708" s="67">
        <v>40715</v>
      </c>
      <c r="D708" s="23">
        <v>40940</v>
      </c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</row>
    <row r="709" spans="2:18" ht="18" customHeight="1" x14ac:dyDescent="0.25">
      <c r="B709" s="33" t="s">
        <v>8</v>
      </c>
      <c r="C709" s="66"/>
      <c r="D709" s="24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</row>
    <row r="710" spans="2:18" ht="18" customHeight="1" x14ac:dyDescent="0.25">
      <c r="B710" s="31" t="s">
        <v>11</v>
      </c>
      <c r="C710" s="66">
        <v>5.3</v>
      </c>
      <c r="D710" s="24">
        <v>5.18</v>
      </c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</row>
    <row r="711" spans="2:18" ht="18" customHeight="1" x14ac:dyDescent="0.25">
      <c r="B711" s="31" t="s">
        <v>12</v>
      </c>
      <c r="C711" s="66">
        <v>5</v>
      </c>
      <c r="D711" s="24">
        <v>6</v>
      </c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</row>
    <row r="712" spans="2:18" ht="18" customHeight="1" x14ac:dyDescent="0.25">
      <c r="B712" s="31" t="s">
        <v>13</v>
      </c>
      <c r="C712" s="66">
        <v>38</v>
      </c>
      <c r="D712" s="24">
        <v>36</v>
      </c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</row>
    <row r="713" spans="2:18" ht="18" customHeight="1" x14ac:dyDescent="0.25">
      <c r="B713" s="31" t="s">
        <v>14</v>
      </c>
      <c r="C713" s="66"/>
      <c r="D713" s="24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</row>
    <row r="714" spans="2:18" ht="18" customHeight="1" x14ac:dyDescent="0.25">
      <c r="B714" s="32" t="s">
        <v>41</v>
      </c>
      <c r="C714" s="66" t="s">
        <v>45</v>
      </c>
      <c r="D714" s="24" t="s">
        <v>42</v>
      </c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</row>
    <row r="715" spans="2:18" ht="18" customHeight="1" x14ac:dyDescent="0.25">
      <c r="B715" s="33" t="s">
        <v>15</v>
      </c>
      <c r="C715" s="66"/>
      <c r="D715" s="24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</row>
    <row r="716" spans="2:18" ht="18" customHeight="1" x14ac:dyDescent="0.25">
      <c r="B716" s="31" t="s">
        <v>17</v>
      </c>
      <c r="C716" s="66" t="s">
        <v>47</v>
      </c>
      <c r="D716" s="24" t="s">
        <v>47</v>
      </c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</row>
    <row r="717" spans="2:18" ht="18" customHeight="1" x14ac:dyDescent="0.25">
      <c r="B717" s="31" t="s">
        <v>18</v>
      </c>
      <c r="C717" s="66" t="s">
        <v>43</v>
      </c>
      <c r="D717" s="24" t="s">
        <v>43</v>
      </c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</row>
    <row r="718" spans="2:18" ht="18" customHeight="1" x14ac:dyDescent="0.25">
      <c r="B718" s="24"/>
      <c r="C718" s="66"/>
      <c r="D718" s="24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</row>
    <row r="719" spans="2:18" ht="18" customHeight="1" x14ac:dyDescent="0.25">
      <c r="B719" s="31" t="s">
        <v>19</v>
      </c>
      <c r="C719" s="66">
        <v>2</v>
      </c>
      <c r="D719" s="24">
        <v>2</v>
      </c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</row>
    <row r="720" spans="2:18" ht="18" customHeight="1" x14ac:dyDescent="0.25">
      <c r="B720" s="31" t="s">
        <v>20</v>
      </c>
      <c r="C720" s="66">
        <v>0.35</v>
      </c>
      <c r="D720" s="24">
        <v>0.35</v>
      </c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</row>
    <row r="721" spans="2:18" ht="18" customHeight="1" x14ac:dyDescent="0.25">
      <c r="B721" s="31" t="s">
        <v>21</v>
      </c>
      <c r="C721" s="66">
        <v>3</v>
      </c>
      <c r="D721" s="24">
        <v>3</v>
      </c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</row>
    <row r="722" spans="2:18" ht="18" customHeight="1" x14ac:dyDescent="0.25">
      <c r="B722" s="31" t="s">
        <v>22</v>
      </c>
      <c r="C722" s="66">
        <v>0.35</v>
      </c>
      <c r="D722" s="24">
        <v>0.35</v>
      </c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</row>
    <row r="723" spans="2:18" ht="18" customHeight="1" x14ac:dyDescent="0.25">
      <c r="B723" s="31" t="s">
        <v>23</v>
      </c>
      <c r="C723" s="66"/>
      <c r="D723" s="24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</row>
    <row r="724" spans="2:18" ht="18" customHeight="1" x14ac:dyDescent="0.25">
      <c r="B724" s="31" t="s">
        <v>24</v>
      </c>
      <c r="C724" s="66"/>
      <c r="D724" s="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</row>
    <row r="725" spans="2:18" ht="18" customHeight="1" x14ac:dyDescent="0.25">
      <c r="B725" s="24"/>
      <c r="C725" s="66"/>
      <c r="D725" s="24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</row>
    <row r="726" spans="2:18" ht="18" customHeight="1" x14ac:dyDescent="0.25">
      <c r="B726" s="32" t="s">
        <v>33</v>
      </c>
      <c r="C726" s="66"/>
      <c r="D726" s="24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</row>
    <row r="727" spans="2:18" x14ac:dyDescent="0.25">
      <c r="C727" s="56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</row>
    <row r="728" spans="2:18" x14ac:dyDescent="0.25">
      <c r="C728" s="56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</row>
    <row r="729" spans="2:18" x14ac:dyDescent="0.25">
      <c r="C729" s="56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</row>
    <row r="730" spans="2:18" ht="18" customHeight="1" x14ac:dyDescent="0.25">
      <c r="B730" s="31" t="s">
        <v>0</v>
      </c>
      <c r="C730" s="66" t="s">
        <v>147</v>
      </c>
      <c r="D730" s="24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</row>
    <row r="731" spans="2:18" ht="18" customHeight="1" x14ac:dyDescent="0.25">
      <c r="B731" s="36" t="s">
        <v>3</v>
      </c>
      <c r="C731" s="66">
        <v>2</v>
      </c>
      <c r="D731" s="24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</row>
    <row r="732" spans="2:18" ht="18" customHeight="1" x14ac:dyDescent="0.25">
      <c r="B732" s="36"/>
      <c r="C732" s="66"/>
      <c r="D732" s="24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</row>
    <row r="733" spans="2:18" ht="18" customHeight="1" x14ac:dyDescent="0.25">
      <c r="B733" s="36" t="s">
        <v>6</v>
      </c>
      <c r="C733" s="67">
        <v>39972</v>
      </c>
      <c r="D733" s="27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</row>
    <row r="734" spans="2:18" ht="18" customHeight="1" x14ac:dyDescent="0.25">
      <c r="B734" s="37" t="s">
        <v>9</v>
      </c>
      <c r="C734" s="67">
        <v>40862</v>
      </c>
      <c r="D734" s="23">
        <v>41051</v>
      </c>
      <c r="E734" s="25">
        <v>41303</v>
      </c>
      <c r="F734" s="25">
        <v>41351</v>
      </c>
      <c r="G734" s="25">
        <v>41471</v>
      </c>
      <c r="H734" s="25">
        <v>41544</v>
      </c>
      <c r="I734" s="25">
        <v>41597</v>
      </c>
      <c r="J734" s="27">
        <v>41730</v>
      </c>
      <c r="K734" s="25">
        <v>41947</v>
      </c>
      <c r="L734"/>
      <c r="M734"/>
      <c r="N734"/>
      <c r="O734"/>
      <c r="P734"/>
      <c r="Q734"/>
      <c r="R734"/>
    </row>
    <row r="735" spans="2:18" ht="18" customHeight="1" x14ac:dyDescent="0.25">
      <c r="B735" s="37" t="s">
        <v>8</v>
      </c>
      <c r="C735" s="66"/>
      <c r="D735" s="24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</row>
    <row r="736" spans="2:18" ht="18" customHeight="1" x14ac:dyDescent="0.25">
      <c r="B736" s="38" t="s">
        <v>11</v>
      </c>
      <c r="C736" s="66">
        <v>6.33</v>
      </c>
      <c r="D736" s="24">
        <v>6.19</v>
      </c>
      <c r="E736" s="4">
        <v>5.9</v>
      </c>
      <c r="F736" s="4">
        <v>5.8</v>
      </c>
      <c r="G736" s="4">
        <v>5.64</v>
      </c>
      <c r="H736" s="4">
        <v>5.47</v>
      </c>
      <c r="I736" s="4">
        <v>5.3</v>
      </c>
      <c r="J736" s="24">
        <v>5.23</v>
      </c>
      <c r="K736" s="4">
        <v>5.16</v>
      </c>
      <c r="L736"/>
      <c r="M736"/>
      <c r="N736"/>
      <c r="O736"/>
      <c r="P736"/>
      <c r="Q736"/>
      <c r="R736"/>
    </row>
    <row r="737" spans="2:18" ht="18" customHeight="1" x14ac:dyDescent="0.25">
      <c r="B737" s="38" t="s">
        <v>12</v>
      </c>
      <c r="C737" s="66" t="s">
        <v>148</v>
      </c>
      <c r="D737" s="24" t="s">
        <v>149</v>
      </c>
      <c r="E737" s="4" t="s">
        <v>150</v>
      </c>
      <c r="F737" s="4" t="s">
        <v>151</v>
      </c>
      <c r="G737" s="4" t="s">
        <v>152</v>
      </c>
      <c r="H737" s="4">
        <v>1</v>
      </c>
      <c r="I737" s="4">
        <v>1</v>
      </c>
      <c r="J737" s="24">
        <v>0</v>
      </c>
      <c r="K737" s="4">
        <v>1</v>
      </c>
      <c r="L737"/>
      <c r="M737"/>
      <c r="N737"/>
      <c r="O737"/>
      <c r="P737"/>
      <c r="Q737"/>
      <c r="R737"/>
    </row>
    <row r="738" spans="2:18" ht="18" customHeight="1" x14ac:dyDescent="0.25">
      <c r="B738" s="38" t="s">
        <v>13</v>
      </c>
      <c r="C738" s="66">
        <v>0</v>
      </c>
      <c r="D738" s="2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24">
        <v>0</v>
      </c>
      <c r="K738" s="4">
        <v>0</v>
      </c>
      <c r="L738"/>
      <c r="M738"/>
      <c r="N738"/>
      <c r="O738"/>
      <c r="P738"/>
      <c r="Q738"/>
      <c r="R738"/>
    </row>
    <row r="739" spans="2:18" ht="18" customHeight="1" x14ac:dyDescent="0.25">
      <c r="B739" s="38" t="s">
        <v>14</v>
      </c>
      <c r="C739" s="66"/>
      <c r="D739" s="24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</row>
    <row r="740" spans="2:18" ht="18" customHeight="1" x14ac:dyDescent="0.25">
      <c r="B740" s="36" t="s">
        <v>41</v>
      </c>
      <c r="C740" s="66" t="s">
        <v>42</v>
      </c>
      <c r="D740" s="24" t="s">
        <v>42</v>
      </c>
      <c r="E740" s="24" t="s">
        <v>42</v>
      </c>
      <c r="F740" s="24" t="s">
        <v>42</v>
      </c>
      <c r="G740" s="24" t="s">
        <v>42</v>
      </c>
      <c r="H740" s="4" t="s">
        <v>45</v>
      </c>
      <c r="I740" s="24" t="s">
        <v>42</v>
      </c>
      <c r="J740" s="24" t="s">
        <v>42</v>
      </c>
      <c r="K740" s="24" t="s">
        <v>42</v>
      </c>
      <c r="L740"/>
      <c r="M740"/>
      <c r="N740"/>
      <c r="O740"/>
      <c r="P740"/>
      <c r="Q740"/>
      <c r="R740"/>
    </row>
    <row r="741" spans="2:18" ht="18" customHeight="1" x14ac:dyDescent="0.25">
      <c r="B741" s="37" t="s">
        <v>15</v>
      </c>
      <c r="C741" s="66"/>
      <c r="D741" s="24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</row>
    <row r="742" spans="2:18" ht="18" customHeight="1" x14ac:dyDescent="0.25">
      <c r="B742" s="38" t="s">
        <v>17</v>
      </c>
      <c r="C742" s="66" t="s">
        <v>67</v>
      </c>
      <c r="D742" s="24" t="s">
        <v>67</v>
      </c>
      <c r="E742" s="24" t="s">
        <v>67</v>
      </c>
      <c r="F742" s="24" t="s">
        <v>67</v>
      </c>
      <c r="G742" s="24" t="s">
        <v>67</v>
      </c>
      <c r="H742" s="24" t="s">
        <v>67</v>
      </c>
      <c r="I742" s="24" t="s">
        <v>67</v>
      </c>
      <c r="J742" s="24" t="s">
        <v>67</v>
      </c>
      <c r="K742" s="24" t="s">
        <v>67</v>
      </c>
      <c r="L742"/>
      <c r="M742"/>
      <c r="N742"/>
      <c r="O742"/>
      <c r="P742"/>
      <c r="Q742"/>
      <c r="R742"/>
    </row>
    <row r="743" spans="2:18" ht="18" customHeight="1" x14ac:dyDescent="0.25">
      <c r="B743" s="38" t="s">
        <v>18</v>
      </c>
      <c r="C743" s="66" t="s">
        <v>28</v>
      </c>
      <c r="D743" s="24" t="s">
        <v>28</v>
      </c>
      <c r="E743" s="24" t="s">
        <v>28</v>
      </c>
      <c r="F743" s="24" t="s">
        <v>28</v>
      </c>
      <c r="G743" s="24" t="s">
        <v>28</v>
      </c>
      <c r="H743" s="4" t="s">
        <v>43</v>
      </c>
      <c r="I743" s="4" t="s">
        <v>43</v>
      </c>
      <c r="J743" s="4" t="s">
        <v>43</v>
      </c>
      <c r="K743" s="4" t="s">
        <v>43</v>
      </c>
      <c r="L743"/>
      <c r="M743"/>
      <c r="N743"/>
      <c r="O743"/>
      <c r="P743"/>
      <c r="Q743"/>
      <c r="R743"/>
    </row>
    <row r="744" spans="2:18" ht="18" customHeight="1" x14ac:dyDescent="0.25">
      <c r="B744" s="24"/>
      <c r="C744" s="66"/>
      <c r="D744" s="24"/>
      <c r="E744" s="24"/>
      <c r="F744"/>
      <c r="G744"/>
      <c r="H744"/>
      <c r="I744"/>
      <c r="J744" s="4"/>
      <c r="K744"/>
      <c r="L744"/>
      <c r="M744"/>
      <c r="N744"/>
      <c r="O744"/>
      <c r="P744"/>
      <c r="Q744"/>
      <c r="R744"/>
    </row>
    <row r="745" spans="2:18" ht="18" customHeight="1" x14ac:dyDescent="0.25">
      <c r="B745" s="31" t="s">
        <v>19</v>
      </c>
      <c r="C745" s="66">
        <v>2</v>
      </c>
      <c r="D745" s="24">
        <v>2</v>
      </c>
      <c r="E745" s="24">
        <v>2</v>
      </c>
      <c r="F745" s="24">
        <v>2</v>
      </c>
      <c r="G745" s="24">
        <v>2</v>
      </c>
      <c r="H745" s="4">
        <v>2</v>
      </c>
      <c r="I745" s="4">
        <v>2</v>
      </c>
      <c r="J745" s="4">
        <v>2</v>
      </c>
      <c r="K745" s="4">
        <v>2</v>
      </c>
      <c r="L745"/>
      <c r="M745"/>
      <c r="N745"/>
      <c r="O745"/>
      <c r="P745"/>
      <c r="Q745"/>
      <c r="R745"/>
    </row>
    <row r="746" spans="2:18" ht="18" customHeight="1" x14ac:dyDescent="0.25">
      <c r="B746" s="38" t="s">
        <v>20</v>
      </c>
      <c r="C746" s="66">
        <v>0.35</v>
      </c>
      <c r="D746" s="24">
        <v>0.35</v>
      </c>
      <c r="E746" s="24">
        <v>0.35</v>
      </c>
      <c r="F746" s="24">
        <v>0.35</v>
      </c>
      <c r="G746" s="24">
        <v>0.35</v>
      </c>
      <c r="H746" s="4">
        <v>0.35</v>
      </c>
      <c r="I746" s="4">
        <v>0.35</v>
      </c>
      <c r="J746" s="4">
        <v>0.35</v>
      </c>
      <c r="K746" s="4">
        <v>0.35</v>
      </c>
      <c r="L746"/>
      <c r="M746"/>
      <c r="N746"/>
      <c r="O746"/>
      <c r="P746"/>
      <c r="Q746"/>
      <c r="R746"/>
    </row>
    <row r="747" spans="2:18" ht="18" customHeight="1" x14ac:dyDescent="0.25">
      <c r="B747" s="38" t="s">
        <v>21</v>
      </c>
      <c r="C747" s="66">
        <v>4.5</v>
      </c>
      <c r="D747" s="24">
        <v>4.5</v>
      </c>
      <c r="E747" s="24">
        <v>4.5</v>
      </c>
      <c r="F747" s="24">
        <v>4.5</v>
      </c>
      <c r="G747" s="24">
        <v>4.5</v>
      </c>
      <c r="H747" s="4">
        <v>7</v>
      </c>
      <c r="I747" s="4">
        <v>7</v>
      </c>
      <c r="J747" s="4">
        <v>7</v>
      </c>
      <c r="K747" s="4">
        <v>7</v>
      </c>
      <c r="L747"/>
      <c r="M747"/>
      <c r="N747"/>
      <c r="O747"/>
      <c r="P747"/>
      <c r="Q747"/>
      <c r="R747"/>
    </row>
    <row r="748" spans="2:18" ht="18" customHeight="1" x14ac:dyDescent="0.25">
      <c r="B748" s="38" t="s">
        <v>22</v>
      </c>
      <c r="C748" s="66">
        <v>0.5</v>
      </c>
      <c r="D748" s="24">
        <v>0.5</v>
      </c>
      <c r="E748" s="24">
        <v>0.5</v>
      </c>
      <c r="F748" s="24">
        <v>0.75</v>
      </c>
      <c r="G748" s="24">
        <v>1</v>
      </c>
      <c r="H748" s="4">
        <v>1</v>
      </c>
      <c r="I748" s="4">
        <v>1</v>
      </c>
      <c r="J748" s="4">
        <v>1</v>
      </c>
      <c r="K748" s="4">
        <v>1</v>
      </c>
      <c r="L748"/>
      <c r="M748"/>
      <c r="N748"/>
      <c r="O748"/>
      <c r="P748"/>
      <c r="Q748"/>
      <c r="R748"/>
    </row>
    <row r="749" spans="2:18" ht="18" customHeight="1" x14ac:dyDescent="0.25">
      <c r="B749" s="38" t="s">
        <v>23</v>
      </c>
      <c r="C749" s="66"/>
      <c r="D749" s="24"/>
      <c r="E749"/>
      <c r="F749" s="24"/>
      <c r="G749" s="24"/>
      <c r="H749"/>
      <c r="I749"/>
      <c r="J749" s="4"/>
      <c r="K749"/>
      <c r="L749"/>
      <c r="M749"/>
      <c r="N749"/>
      <c r="O749"/>
      <c r="P749"/>
      <c r="Q749"/>
      <c r="R749"/>
    </row>
    <row r="750" spans="2:18" ht="18" customHeight="1" x14ac:dyDescent="0.25">
      <c r="B750" s="38" t="s">
        <v>24</v>
      </c>
      <c r="C750" s="66"/>
      <c r="D750" s="24"/>
      <c r="E750"/>
      <c r="F750"/>
      <c r="G750"/>
      <c r="H750"/>
      <c r="I750"/>
      <c r="J750" s="4"/>
      <c r="K750"/>
      <c r="L750"/>
      <c r="M750"/>
      <c r="N750"/>
      <c r="O750"/>
      <c r="P750"/>
      <c r="Q750"/>
      <c r="R750"/>
    </row>
    <row r="751" spans="2:18" ht="18" customHeight="1" x14ac:dyDescent="0.25">
      <c r="B751" s="24"/>
      <c r="C751" s="66"/>
      <c r="D751" s="24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</row>
    <row r="752" spans="2:18" ht="18" customHeight="1" x14ac:dyDescent="0.25">
      <c r="B752" s="19" t="s">
        <v>33</v>
      </c>
      <c r="C752" s="66"/>
      <c r="D752" s="24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</row>
    <row r="753" spans="2:20" x14ac:dyDescent="0.25">
      <c r="C753" s="56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</row>
    <row r="754" spans="2:20" ht="18" customHeight="1" x14ac:dyDescent="0.25">
      <c r="B754" s="24"/>
      <c r="C754" s="66"/>
      <c r="D754" s="24"/>
      <c r="E754" s="24"/>
      <c r="F754" s="24"/>
      <c r="G754" s="24"/>
      <c r="H754" s="24"/>
      <c r="I754" s="24"/>
      <c r="J754"/>
      <c r="K754" s="24"/>
      <c r="L754" s="24"/>
      <c r="M754" s="24"/>
      <c r="N754" s="24"/>
      <c r="O754" s="24"/>
      <c r="P754" s="24"/>
      <c r="Q754" s="24"/>
      <c r="R754" s="24"/>
    </row>
    <row r="755" spans="2:20" ht="18" customHeight="1" x14ac:dyDescent="0.25">
      <c r="B755" s="24"/>
      <c r="C755" s="66"/>
      <c r="D755" s="24"/>
      <c r="E755" s="24"/>
      <c r="F755" s="24"/>
      <c r="G755" s="24"/>
      <c r="H755" s="24"/>
      <c r="I755" s="24"/>
      <c r="J755"/>
      <c r="K755" s="24"/>
      <c r="L755" s="24"/>
      <c r="M755" s="24"/>
      <c r="N755" s="24"/>
      <c r="O755" s="24"/>
      <c r="P755" s="24"/>
      <c r="Q755" s="24"/>
      <c r="R755" s="24"/>
    </row>
    <row r="756" spans="2:20" ht="18" customHeight="1" x14ac:dyDescent="0.25">
      <c r="B756" s="31" t="s">
        <v>0</v>
      </c>
      <c r="C756" s="66" t="s">
        <v>153</v>
      </c>
      <c r="D756" s="24"/>
      <c r="E756" s="24"/>
      <c r="F756" s="24"/>
      <c r="G756" s="24"/>
      <c r="H756" s="24"/>
      <c r="I756" s="24"/>
      <c r="J756"/>
      <c r="K756" s="24"/>
      <c r="L756" s="24"/>
      <c r="M756" s="24"/>
      <c r="N756" s="24"/>
      <c r="O756" s="24"/>
      <c r="P756" s="24"/>
      <c r="Q756" s="24"/>
      <c r="R756" s="24"/>
      <c r="S756" s="2"/>
      <c r="T756" s="2"/>
    </row>
    <row r="757" spans="2:20" ht="18" customHeight="1" x14ac:dyDescent="0.25">
      <c r="B757" s="36" t="s">
        <v>3</v>
      </c>
      <c r="C757" s="66">
        <v>2</v>
      </c>
      <c r="D757" s="24"/>
      <c r="E757" s="24"/>
      <c r="F757" s="24"/>
      <c r="G757" s="24"/>
      <c r="H757" s="24"/>
      <c r="I757" s="24"/>
      <c r="J757"/>
      <c r="K757" s="24"/>
      <c r="L757" s="24"/>
      <c r="M757" s="24"/>
      <c r="N757" s="24"/>
      <c r="O757" s="24"/>
      <c r="P757" s="24"/>
      <c r="Q757" s="24"/>
      <c r="R757" s="24"/>
      <c r="S757" s="2"/>
      <c r="T757" s="2"/>
    </row>
    <row r="758" spans="2:20" ht="18" customHeight="1" x14ac:dyDescent="0.25">
      <c r="B758" s="36"/>
      <c r="C758" s="66"/>
      <c r="D758" s="24"/>
      <c r="E758" s="24"/>
      <c r="F758" s="24"/>
      <c r="G758" s="24"/>
      <c r="H758" s="24"/>
      <c r="I758" s="24"/>
      <c r="J758"/>
      <c r="K758" s="24"/>
      <c r="L758" s="24"/>
      <c r="M758" s="24"/>
      <c r="N758" s="24"/>
      <c r="O758" s="24"/>
      <c r="P758" s="24"/>
      <c r="Q758" s="24"/>
      <c r="R758" s="24"/>
      <c r="S758" s="2"/>
      <c r="T758" s="2"/>
    </row>
    <row r="759" spans="2:20" ht="18" customHeight="1" x14ac:dyDescent="0.25">
      <c r="B759" s="36" t="s">
        <v>6</v>
      </c>
      <c r="C759" s="67">
        <v>40141</v>
      </c>
      <c r="D759" s="27"/>
      <c r="E759" s="24"/>
      <c r="F759" s="24"/>
      <c r="G759" s="24"/>
      <c r="H759" s="24"/>
      <c r="I759" s="24"/>
      <c r="J759"/>
      <c r="K759" s="24"/>
      <c r="L759" s="24"/>
      <c r="M759" s="24"/>
      <c r="N759" s="24"/>
      <c r="O759" s="24"/>
      <c r="P759" s="24"/>
      <c r="Q759" s="24"/>
      <c r="R759" s="24"/>
      <c r="S759" s="2"/>
      <c r="T759" s="2"/>
    </row>
    <row r="760" spans="2:20" ht="18" customHeight="1" x14ac:dyDescent="0.25">
      <c r="B760" s="37" t="s">
        <v>9</v>
      </c>
      <c r="C760" s="67">
        <v>40816</v>
      </c>
      <c r="D760" s="23">
        <v>40872</v>
      </c>
      <c r="E760" s="27">
        <v>40926</v>
      </c>
      <c r="F760" s="27">
        <v>41156</v>
      </c>
      <c r="G760" s="27">
        <v>41443</v>
      </c>
      <c r="H760" s="27">
        <v>41604</v>
      </c>
      <c r="I760" s="27">
        <v>41758</v>
      </c>
      <c r="J760"/>
      <c r="K760" s="24"/>
      <c r="L760" s="24"/>
      <c r="M760" s="24"/>
      <c r="N760" s="24"/>
      <c r="O760" s="24"/>
      <c r="P760" s="24"/>
      <c r="Q760" s="24"/>
      <c r="R760" s="24"/>
      <c r="S760" s="2"/>
      <c r="T760" s="2"/>
    </row>
    <row r="761" spans="2:20" ht="18" customHeight="1" x14ac:dyDescent="0.25">
      <c r="B761" s="37" t="s">
        <v>8</v>
      </c>
      <c r="C761" s="66"/>
      <c r="D761" s="24"/>
      <c r="E761" s="24"/>
      <c r="F761" s="24"/>
      <c r="G761" s="24"/>
      <c r="H761" s="24"/>
      <c r="I761" s="24"/>
      <c r="J761"/>
      <c r="K761" s="24"/>
      <c r="L761" s="24"/>
      <c r="M761" s="24"/>
      <c r="N761" s="24"/>
      <c r="O761" s="24"/>
      <c r="P761" s="24"/>
      <c r="Q761" s="24"/>
      <c r="R761" s="24"/>
      <c r="S761" s="2"/>
      <c r="T761" s="2"/>
    </row>
    <row r="762" spans="2:20" ht="18" customHeight="1" x14ac:dyDescent="0.25">
      <c r="B762" s="38" t="s">
        <v>11</v>
      </c>
      <c r="C762" s="66">
        <v>6.36</v>
      </c>
      <c r="D762" s="39">
        <v>6.29</v>
      </c>
      <c r="E762" s="39">
        <v>6.32</v>
      </c>
      <c r="F762" s="24">
        <v>6.03</v>
      </c>
      <c r="G762" s="24">
        <v>5.58</v>
      </c>
      <c r="H762" s="24">
        <v>5.3</v>
      </c>
      <c r="I762" s="24">
        <v>5.2</v>
      </c>
      <c r="J762"/>
      <c r="K762" s="24"/>
      <c r="L762" s="24"/>
      <c r="M762" s="24"/>
      <c r="N762" s="24"/>
      <c r="O762" s="24"/>
      <c r="P762" s="24"/>
      <c r="Q762" s="24"/>
      <c r="R762" s="24"/>
      <c r="S762" s="2"/>
      <c r="T762" s="2"/>
    </row>
    <row r="763" spans="2:20" ht="18" customHeight="1" x14ac:dyDescent="0.25">
      <c r="B763" s="38" t="s">
        <v>12</v>
      </c>
      <c r="C763" s="66">
        <v>22</v>
      </c>
      <c r="D763" s="24">
        <v>0</v>
      </c>
      <c r="E763" s="24">
        <v>10</v>
      </c>
      <c r="F763" s="24" t="s">
        <v>154</v>
      </c>
      <c r="G763" s="24" t="s">
        <v>155</v>
      </c>
      <c r="H763" s="24" t="s">
        <v>156</v>
      </c>
      <c r="I763" s="24" t="s">
        <v>157</v>
      </c>
      <c r="J763"/>
      <c r="K763" s="24"/>
      <c r="L763" s="24"/>
      <c r="M763" s="24"/>
      <c r="N763" s="24"/>
      <c r="O763" s="24"/>
      <c r="P763" s="24"/>
      <c r="Q763" s="24"/>
      <c r="R763" s="24"/>
      <c r="S763" s="2"/>
      <c r="T763" s="2"/>
    </row>
    <row r="764" spans="2:20" ht="18" customHeight="1" x14ac:dyDescent="0.25">
      <c r="B764" s="38" t="s">
        <v>13</v>
      </c>
      <c r="C764" s="66">
        <v>50</v>
      </c>
      <c r="D764" s="24">
        <v>52</v>
      </c>
      <c r="E764" s="24">
        <v>97</v>
      </c>
      <c r="F764" s="24" t="s">
        <v>158</v>
      </c>
      <c r="G764" s="24" t="s">
        <v>159</v>
      </c>
      <c r="H764" s="24" t="s">
        <v>160</v>
      </c>
      <c r="I764" s="24" t="s">
        <v>161</v>
      </c>
      <c r="J764"/>
      <c r="K764" s="24"/>
      <c r="L764" s="24"/>
      <c r="M764" s="24"/>
      <c r="N764" s="24"/>
      <c r="O764" s="24"/>
      <c r="P764" s="24"/>
      <c r="Q764" s="24"/>
      <c r="R764" s="24"/>
      <c r="S764" s="2"/>
      <c r="T764" s="2"/>
    </row>
    <row r="765" spans="2:20" ht="18" customHeight="1" x14ac:dyDescent="0.25">
      <c r="B765" s="38" t="s">
        <v>14</v>
      </c>
      <c r="C765" s="66"/>
      <c r="D765" s="24"/>
      <c r="E765" s="24"/>
      <c r="F765" s="24"/>
      <c r="G765" s="24"/>
      <c r="H765" s="24"/>
      <c r="I765" s="24"/>
      <c r="J765"/>
      <c r="K765" s="24"/>
      <c r="L765" s="24"/>
      <c r="M765" s="24"/>
      <c r="N765" s="24"/>
      <c r="O765" s="24"/>
      <c r="P765" s="24"/>
      <c r="Q765" s="24"/>
      <c r="R765" s="24"/>
      <c r="S765" s="2"/>
      <c r="T765" s="2"/>
    </row>
    <row r="766" spans="2:20" ht="18" customHeight="1" x14ac:dyDescent="0.25">
      <c r="B766" s="36" t="s">
        <v>41</v>
      </c>
      <c r="C766" s="66" t="s">
        <v>42</v>
      </c>
      <c r="D766" s="24" t="s">
        <v>42</v>
      </c>
      <c r="E766" s="24" t="s">
        <v>42</v>
      </c>
      <c r="F766" s="24" t="s">
        <v>42</v>
      </c>
      <c r="G766" s="24" t="s">
        <v>42</v>
      </c>
      <c r="H766" s="24" t="s">
        <v>42</v>
      </c>
      <c r="I766" s="24" t="s">
        <v>42</v>
      </c>
      <c r="J766"/>
      <c r="K766" s="24"/>
      <c r="L766" s="24"/>
      <c r="M766" s="24"/>
      <c r="N766" s="24"/>
      <c r="O766" s="24"/>
      <c r="P766" s="24"/>
      <c r="Q766" s="24"/>
      <c r="R766" s="24"/>
      <c r="S766" s="2"/>
      <c r="T766" s="2"/>
    </row>
    <row r="767" spans="2:20" ht="18" customHeight="1" x14ac:dyDescent="0.25">
      <c r="B767" s="37" t="s">
        <v>15</v>
      </c>
      <c r="C767" s="66"/>
      <c r="D767" s="24"/>
      <c r="E767" s="24"/>
      <c r="F767" s="24"/>
      <c r="G767" s="24"/>
      <c r="H767" s="24"/>
      <c r="I767" s="24"/>
      <c r="J767"/>
      <c r="K767" s="24"/>
      <c r="L767" s="24"/>
      <c r="M767" s="24"/>
      <c r="N767" s="24"/>
      <c r="O767" s="24"/>
      <c r="P767" s="24"/>
      <c r="Q767" s="24"/>
      <c r="R767" s="24"/>
      <c r="S767" s="2"/>
      <c r="T767" s="2"/>
    </row>
    <row r="768" spans="2:20" ht="18" customHeight="1" x14ac:dyDescent="0.25">
      <c r="B768" s="38" t="s">
        <v>17</v>
      </c>
      <c r="C768" s="66" t="s">
        <v>67</v>
      </c>
      <c r="D768" s="24" t="s">
        <v>67</v>
      </c>
      <c r="E768" s="24" t="s">
        <v>67</v>
      </c>
      <c r="F768" s="24" t="s">
        <v>67</v>
      </c>
      <c r="G768" s="24" t="s">
        <v>67</v>
      </c>
      <c r="H768" s="24" t="s">
        <v>67</v>
      </c>
      <c r="I768" s="24" t="s">
        <v>67</v>
      </c>
      <c r="J768"/>
      <c r="K768" s="24"/>
      <c r="L768" s="24"/>
      <c r="M768" s="24"/>
      <c r="N768" s="24"/>
      <c r="O768" s="24"/>
      <c r="P768" s="24"/>
      <c r="Q768" s="24"/>
      <c r="R768" s="24"/>
      <c r="S768" s="2"/>
      <c r="T768" s="2"/>
    </row>
    <row r="769" spans="2:20" ht="18" customHeight="1" x14ac:dyDescent="0.25">
      <c r="B769" s="38" t="s">
        <v>18</v>
      </c>
      <c r="C769" s="66" t="s">
        <v>69</v>
      </c>
      <c r="D769" s="24" t="s">
        <v>69</v>
      </c>
      <c r="E769" s="24" t="s">
        <v>69</v>
      </c>
      <c r="F769" s="24" t="s">
        <v>28</v>
      </c>
      <c r="G769" s="24" t="s">
        <v>28</v>
      </c>
      <c r="H769" s="24" t="s">
        <v>28</v>
      </c>
      <c r="I769" s="24" t="s">
        <v>28</v>
      </c>
      <c r="J769"/>
      <c r="K769" s="24"/>
      <c r="L769" s="24"/>
      <c r="M769" s="24"/>
      <c r="N769" s="24"/>
      <c r="O769" s="24"/>
      <c r="P769" s="24"/>
      <c r="Q769" s="24"/>
      <c r="R769" s="24"/>
      <c r="S769" s="2"/>
      <c r="T769" s="2"/>
    </row>
    <row r="770" spans="2:20" ht="18" customHeight="1" x14ac:dyDescent="0.25">
      <c r="B770" s="24"/>
      <c r="C770" s="66"/>
      <c r="D770" s="24"/>
      <c r="E770" s="24"/>
      <c r="F770" s="24"/>
      <c r="G770" s="24"/>
      <c r="H770" s="24"/>
      <c r="I770" s="24"/>
      <c r="J770"/>
      <c r="K770" s="24"/>
      <c r="L770" s="24"/>
      <c r="M770" s="24"/>
      <c r="N770" s="24"/>
      <c r="O770" s="24"/>
      <c r="P770" s="24"/>
      <c r="Q770" s="24"/>
      <c r="R770" s="24"/>
      <c r="S770" s="2"/>
      <c r="T770" s="2"/>
    </row>
    <row r="771" spans="2:20" ht="18" customHeight="1" x14ac:dyDescent="0.25">
      <c r="B771" s="31" t="s">
        <v>19</v>
      </c>
      <c r="C771" s="66">
        <v>2.5</v>
      </c>
      <c r="D771" s="24">
        <v>2.5</v>
      </c>
      <c r="E771" s="24">
        <v>2.5</v>
      </c>
      <c r="F771" s="24">
        <v>2.5</v>
      </c>
      <c r="G771" s="24">
        <v>2.5</v>
      </c>
      <c r="H771" s="24">
        <v>2.5</v>
      </c>
      <c r="I771" s="24">
        <v>2.5</v>
      </c>
      <c r="J771"/>
      <c r="K771" s="24"/>
      <c r="L771" s="24"/>
      <c r="M771" s="24"/>
      <c r="N771" s="24"/>
      <c r="O771" s="24"/>
      <c r="P771" s="24"/>
      <c r="Q771" s="24"/>
      <c r="R771" s="24"/>
      <c r="S771" s="2"/>
      <c r="T771" s="2"/>
    </row>
    <row r="772" spans="2:20" ht="18" customHeight="1" x14ac:dyDescent="0.25">
      <c r="B772" s="38" t="s">
        <v>20</v>
      </c>
      <c r="C772" s="66">
        <v>0.35</v>
      </c>
      <c r="D772" s="24">
        <v>0.35</v>
      </c>
      <c r="E772" s="24">
        <v>0.35</v>
      </c>
      <c r="F772" s="24">
        <v>0.35</v>
      </c>
      <c r="G772" s="24">
        <v>0.35</v>
      </c>
      <c r="H772" s="24">
        <v>0.35</v>
      </c>
      <c r="I772" s="24">
        <v>0.35</v>
      </c>
      <c r="J772"/>
      <c r="K772" s="24"/>
      <c r="L772" s="24"/>
      <c r="M772" s="24"/>
      <c r="N772" s="24"/>
      <c r="O772" s="24"/>
      <c r="P772" s="24"/>
      <c r="Q772" s="24"/>
      <c r="R772" s="24"/>
      <c r="S772" s="2"/>
      <c r="T772" s="2"/>
    </row>
    <row r="773" spans="2:20" ht="18" customHeight="1" x14ac:dyDescent="0.25">
      <c r="B773" s="38" t="s">
        <v>21</v>
      </c>
      <c r="C773" s="66">
        <v>2.5</v>
      </c>
      <c r="D773" s="24">
        <v>2.5</v>
      </c>
      <c r="E773" s="24">
        <v>2.5</v>
      </c>
      <c r="F773" s="24">
        <v>2.5</v>
      </c>
      <c r="G773" s="24">
        <v>2.5</v>
      </c>
      <c r="H773" s="24">
        <v>2.5</v>
      </c>
      <c r="I773" s="24">
        <v>2.5</v>
      </c>
      <c r="J773"/>
      <c r="K773" s="24"/>
      <c r="L773" s="24"/>
      <c r="M773" s="24"/>
      <c r="N773" s="24"/>
      <c r="O773" s="24"/>
      <c r="P773" s="24"/>
      <c r="Q773" s="24"/>
      <c r="R773" s="24"/>
      <c r="S773" s="2"/>
      <c r="T773" s="2"/>
    </row>
    <row r="774" spans="2:20" ht="18" customHeight="1" x14ac:dyDescent="0.25">
      <c r="B774" s="38" t="s">
        <v>22</v>
      </c>
      <c r="C774" s="66">
        <v>0.5</v>
      </c>
      <c r="D774" s="24">
        <v>0.5</v>
      </c>
      <c r="E774" s="24">
        <v>0.5</v>
      </c>
      <c r="F774" s="24">
        <v>0.5</v>
      </c>
      <c r="G774" s="24">
        <v>0.5</v>
      </c>
      <c r="H774" s="24">
        <v>0.5</v>
      </c>
      <c r="I774" s="24">
        <v>0.5</v>
      </c>
      <c r="J774"/>
      <c r="K774" s="24"/>
      <c r="L774" s="24"/>
      <c r="M774" s="24"/>
      <c r="N774" s="24"/>
      <c r="O774" s="24"/>
      <c r="P774" s="24"/>
      <c r="Q774" s="24"/>
      <c r="R774" s="24"/>
      <c r="S774" s="2"/>
      <c r="T774" s="2"/>
    </row>
    <row r="775" spans="2:20" ht="18" customHeight="1" x14ac:dyDescent="0.25">
      <c r="B775" s="38" t="s">
        <v>23</v>
      </c>
      <c r="C775" s="66"/>
      <c r="D775" s="24"/>
      <c r="E775" s="24"/>
      <c r="F775" s="24"/>
      <c r="G775" s="24"/>
      <c r="H775" s="24"/>
      <c r="I775" s="24"/>
      <c r="J775"/>
      <c r="K775" s="24"/>
      <c r="L775" s="24"/>
      <c r="M775" s="24"/>
      <c r="N775" s="24"/>
      <c r="O775" s="24"/>
      <c r="P775" s="24"/>
      <c r="Q775" s="24"/>
      <c r="R775" s="24"/>
      <c r="S775" s="2"/>
      <c r="T775" s="2"/>
    </row>
    <row r="776" spans="2:20" ht="18" customHeight="1" x14ac:dyDescent="0.25">
      <c r="B776" s="38" t="s">
        <v>24</v>
      </c>
      <c r="C776" s="66"/>
      <c r="D776" s="24"/>
      <c r="E776" s="24"/>
      <c r="F776" s="24"/>
      <c r="G776" s="24"/>
      <c r="H776" s="24"/>
      <c r="I776" s="24"/>
      <c r="J776"/>
      <c r="K776" s="24"/>
      <c r="L776" s="24"/>
      <c r="M776" s="24"/>
      <c r="N776" s="24"/>
      <c r="O776" s="24"/>
      <c r="P776" s="24"/>
      <c r="Q776" s="24"/>
      <c r="R776" s="24"/>
      <c r="S776" s="2"/>
      <c r="T776" s="2"/>
    </row>
    <row r="777" spans="2:20" ht="18" customHeight="1" x14ac:dyDescent="0.25">
      <c r="B777" s="24"/>
      <c r="C777" s="66"/>
      <c r="D777" s="24"/>
      <c r="E777" s="24"/>
      <c r="F777" s="24"/>
      <c r="G777" s="24"/>
      <c r="H777" s="24"/>
      <c r="I777" s="24"/>
      <c r="J777"/>
      <c r="K777" s="24"/>
      <c r="L777" s="24"/>
      <c r="M777" s="24"/>
      <c r="N777" s="24"/>
      <c r="O777" s="24"/>
      <c r="P777" s="24"/>
      <c r="Q777" s="24"/>
      <c r="R777" s="24"/>
      <c r="S777" s="2"/>
      <c r="T777" s="2"/>
    </row>
    <row r="778" spans="2:20" ht="18" customHeight="1" x14ac:dyDescent="0.25">
      <c r="B778" s="19" t="s">
        <v>33</v>
      </c>
      <c r="C778" s="66"/>
      <c r="D778" s="24"/>
      <c r="E778" s="24"/>
      <c r="F778" s="24"/>
      <c r="G778" s="24"/>
      <c r="H778" s="24"/>
      <c r="I778" s="24"/>
      <c r="J778"/>
      <c r="K778" s="24"/>
      <c r="L778" s="24"/>
      <c r="M778" s="24"/>
      <c r="N778" s="24"/>
      <c r="O778" s="24"/>
      <c r="P778" s="24"/>
      <c r="Q778" s="24"/>
      <c r="R778" s="24"/>
      <c r="S778" s="2"/>
      <c r="T778" s="2"/>
    </row>
    <row r="779" spans="2:20" ht="18" customHeight="1" x14ac:dyDescent="0.25">
      <c r="B779" s="24"/>
      <c r="C779" s="66"/>
      <c r="D779" s="24"/>
      <c r="E779" s="24"/>
      <c r="F779" s="24"/>
      <c r="G779" s="24"/>
      <c r="H779" s="24"/>
      <c r="I779" s="24"/>
      <c r="J779"/>
      <c r="K779" s="24"/>
      <c r="L779" s="24"/>
      <c r="M779" s="24"/>
      <c r="N779" s="24"/>
      <c r="O779" s="24"/>
      <c r="P779" s="24"/>
      <c r="Q779" s="24"/>
      <c r="R779" s="24"/>
      <c r="S779" s="2"/>
      <c r="T779" s="2"/>
    </row>
    <row r="780" spans="2:20" ht="18" customHeight="1" x14ac:dyDescent="0.25">
      <c r="B780" s="24"/>
      <c r="C780" s="66"/>
      <c r="D780" s="24"/>
      <c r="E780" s="24"/>
      <c r="F780" s="24"/>
      <c r="G780" s="24"/>
      <c r="H780" s="24"/>
      <c r="I780" s="24"/>
      <c r="J780"/>
      <c r="K780" s="24"/>
      <c r="L780" s="24"/>
      <c r="M780" s="24"/>
      <c r="N780" s="24"/>
      <c r="O780" s="24"/>
      <c r="P780" s="24"/>
      <c r="Q780" s="24"/>
      <c r="R780" s="24"/>
      <c r="S780" s="2"/>
      <c r="T780" s="2"/>
    </row>
    <row r="781" spans="2:20" ht="18" customHeight="1" x14ac:dyDescent="0.25">
      <c r="B781" s="24"/>
      <c r="C781" s="66"/>
      <c r="D781" s="24"/>
      <c r="E781" s="24"/>
      <c r="F781" s="24"/>
      <c r="G781" s="24"/>
      <c r="H781" s="24"/>
      <c r="I781" s="24"/>
      <c r="J781"/>
      <c r="K781" s="24"/>
      <c r="L781" s="24"/>
      <c r="M781" s="24"/>
      <c r="N781" s="24"/>
      <c r="O781" s="24"/>
      <c r="P781" s="24"/>
      <c r="Q781" s="24"/>
      <c r="R781" s="24"/>
      <c r="S781" s="2"/>
      <c r="T781" s="2"/>
    </row>
    <row r="782" spans="2:20" ht="18" customHeight="1" x14ac:dyDescent="0.25">
      <c r="B782" s="24"/>
      <c r="C782" s="66"/>
      <c r="D782" s="24"/>
      <c r="E782" s="24"/>
      <c r="F782" s="24"/>
      <c r="G782" s="24"/>
      <c r="H782" s="24"/>
      <c r="I782" s="24"/>
      <c r="J782"/>
      <c r="K782" s="24"/>
      <c r="L782" s="24"/>
      <c r="M782" s="24"/>
      <c r="N782" s="24"/>
      <c r="O782" s="24"/>
      <c r="P782" s="24"/>
      <c r="Q782" s="24"/>
      <c r="R782" s="24"/>
      <c r="S782" s="2"/>
      <c r="T782" s="2"/>
    </row>
    <row r="783" spans="2:20" ht="18" customHeight="1" x14ac:dyDescent="0.25">
      <c r="B783" s="31" t="s">
        <v>0</v>
      </c>
      <c r="C783" s="66" t="s">
        <v>162</v>
      </c>
      <c r="D783" s="24"/>
      <c r="E783" s="24"/>
      <c r="F783" s="24"/>
      <c r="G783" s="24"/>
      <c r="H783" s="24"/>
      <c r="I783" s="24"/>
      <c r="J783"/>
      <c r="K783" s="24"/>
      <c r="L783" s="24"/>
      <c r="M783" s="24"/>
      <c r="N783" s="24"/>
      <c r="O783" s="24"/>
      <c r="P783" s="24"/>
      <c r="Q783" s="24"/>
      <c r="R783" s="24"/>
      <c r="S783" s="2"/>
      <c r="T783" s="2"/>
    </row>
    <row r="784" spans="2:20" ht="18" customHeight="1" x14ac:dyDescent="0.25">
      <c r="B784" s="36" t="s">
        <v>3</v>
      </c>
      <c r="C784" s="66">
        <v>1</v>
      </c>
      <c r="D784" s="24"/>
      <c r="E784" s="24"/>
      <c r="F784" s="24"/>
      <c r="G784" s="24"/>
      <c r="H784" s="24"/>
      <c r="I784" s="24"/>
      <c r="J784"/>
      <c r="K784" s="24"/>
      <c r="L784" s="24"/>
      <c r="M784" s="24"/>
      <c r="N784" s="24"/>
      <c r="O784" s="24"/>
      <c r="P784" s="24"/>
      <c r="Q784" s="24"/>
      <c r="R784" s="24"/>
      <c r="S784" s="2"/>
      <c r="T784" s="2"/>
    </row>
    <row r="785" spans="2:20" ht="18" customHeight="1" x14ac:dyDescent="0.25">
      <c r="B785" s="36"/>
      <c r="C785" s="66"/>
      <c r="D785" s="24"/>
      <c r="E785" s="24"/>
      <c r="F785" s="24"/>
      <c r="G785" s="24"/>
      <c r="H785" s="24"/>
      <c r="I785" s="24"/>
      <c r="J785"/>
      <c r="K785" s="24"/>
      <c r="L785" s="24"/>
      <c r="M785" s="24"/>
      <c r="N785" s="24"/>
      <c r="O785" s="24"/>
      <c r="P785" s="24"/>
      <c r="Q785" s="24"/>
      <c r="R785" s="24"/>
      <c r="S785" s="2"/>
      <c r="T785" s="2"/>
    </row>
    <row r="786" spans="2:20" ht="18" customHeight="1" x14ac:dyDescent="0.25">
      <c r="B786" s="36" t="s">
        <v>6</v>
      </c>
      <c r="C786" s="67">
        <v>40085</v>
      </c>
      <c r="D786" s="27"/>
      <c r="E786" s="24"/>
      <c r="F786" s="24"/>
      <c r="G786" s="24"/>
      <c r="H786" s="24"/>
      <c r="I786" s="24"/>
      <c r="J786"/>
      <c r="K786" s="24"/>
      <c r="L786" s="24"/>
      <c r="M786" s="24"/>
      <c r="N786" s="24"/>
      <c r="O786" s="24"/>
      <c r="P786" s="24"/>
      <c r="Q786" s="24"/>
      <c r="R786" s="24"/>
      <c r="S786" s="2"/>
      <c r="T786" s="2"/>
    </row>
    <row r="787" spans="2:20" ht="18" customHeight="1" x14ac:dyDescent="0.25">
      <c r="B787" s="37" t="s">
        <v>9</v>
      </c>
      <c r="C787" s="67">
        <v>40687</v>
      </c>
      <c r="D787" s="23">
        <v>40876</v>
      </c>
      <c r="E787" s="27">
        <v>41072</v>
      </c>
      <c r="F787" s="27">
        <v>41254</v>
      </c>
      <c r="G787" s="27">
        <v>41436</v>
      </c>
      <c r="H787" s="27">
        <v>41674</v>
      </c>
      <c r="I787" s="27">
        <v>41884</v>
      </c>
      <c r="J787"/>
      <c r="K787" s="24"/>
      <c r="L787" s="24"/>
      <c r="M787" s="24"/>
      <c r="N787" s="24"/>
      <c r="O787" s="24"/>
      <c r="P787" s="24"/>
      <c r="Q787" s="24"/>
      <c r="R787" s="24"/>
      <c r="S787" s="2"/>
      <c r="T787" s="2"/>
    </row>
    <row r="788" spans="2:20" ht="18" customHeight="1" x14ac:dyDescent="0.25">
      <c r="B788" s="37" t="s">
        <v>8</v>
      </c>
      <c r="C788" s="66"/>
      <c r="D788" s="24"/>
      <c r="E788" s="24"/>
      <c r="F788" s="24"/>
      <c r="G788" s="24"/>
      <c r="H788" s="24"/>
      <c r="I788" s="24"/>
      <c r="J788"/>
      <c r="K788" s="24"/>
      <c r="L788" s="24"/>
      <c r="M788" s="24"/>
      <c r="N788" s="24"/>
      <c r="O788" s="24"/>
      <c r="P788" s="24"/>
      <c r="Q788" s="24"/>
      <c r="R788" s="24"/>
      <c r="S788" s="2"/>
      <c r="T788" s="2"/>
    </row>
    <row r="789" spans="2:20" ht="18" customHeight="1" x14ac:dyDescent="0.25">
      <c r="B789" s="38" t="s">
        <v>11</v>
      </c>
      <c r="C789" s="66">
        <v>6.41</v>
      </c>
      <c r="D789" s="40">
        <v>6.37</v>
      </c>
      <c r="E789" s="40">
        <v>6.3</v>
      </c>
      <c r="F789" s="24">
        <v>6.13</v>
      </c>
      <c r="G789" s="24">
        <v>5.92</v>
      </c>
      <c r="H789" s="24">
        <v>5.51</v>
      </c>
      <c r="I789" s="24">
        <v>5.27</v>
      </c>
      <c r="J789"/>
      <c r="K789" s="24"/>
      <c r="L789" s="24"/>
      <c r="M789" s="24"/>
      <c r="N789" s="24"/>
      <c r="O789" s="24"/>
      <c r="P789" s="24"/>
      <c r="Q789" s="24"/>
      <c r="R789" s="24"/>
      <c r="S789" s="2"/>
      <c r="T789" s="2"/>
    </row>
    <row r="790" spans="2:20" ht="18" customHeight="1" x14ac:dyDescent="0.25">
      <c r="B790" s="38" t="s">
        <v>12</v>
      </c>
      <c r="C790" s="66"/>
      <c r="D790" s="24"/>
      <c r="E790" s="24"/>
      <c r="F790" s="24"/>
      <c r="G790" s="24"/>
      <c r="H790" s="24"/>
      <c r="I790" s="24"/>
      <c r="J790"/>
      <c r="K790" s="24"/>
      <c r="L790" s="24"/>
      <c r="M790" s="24"/>
      <c r="N790" s="24"/>
      <c r="O790" s="24"/>
      <c r="P790" s="24"/>
      <c r="Q790" s="24"/>
      <c r="R790" s="24"/>
      <c r="S790" s="2"/>
      <c r="T790" s="2"/>
    </row>
    <row r="791" spans="2:20" ht="18" customHeight="1" x14ac:dyDescent="0.25">
      <c r="B791" s="38" t="s">
        <v>13</v>
      </c>
      <c r="C791" s="66">
        <v>1</v>
      </c>
      <c r="D791" s="24">
        <v>1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/>
      <c r="K791" s="24"/>
      <c r="L791" s="24"/>
      <c r="M791" s="24"/>
      <c r="N791" s="24"/>
      <c r="O791" s="24"/>
      <c r="P791" s="24"/>
      <c r="Q791" s="24"/>
      <c r="R791" s="24"/>
      <c r="S791" s="2"/>
      <c r="T791" s="2"/>
    </row>
    <row r="792" spans="2:20" ht="18" customHeight="1" x14ac:dyDescent="0.25">
      <c r="B792" s="38" t="s">
        <v>14</v>
      </c>
      <c r="C792" s="66"/>
      <c r="D792" s="24"/>
      <c r="E792" s="24"/>
      <c r="F792" s="24"/>
      <c r="G792" s="24"/>
      <c r="H792" s="24"/>
      <c r="I792" s="24"/>
      <c r="J792"/>
      <c r="K792" s="24"/>
      <c r="L792" s="24"/>
      <c r="M792" s="24"/>
      <c r="N792" s="24"/>
      <c r="O792" s="24"/>
      <c r="P792" s="24"/>
      <c r="Q792" s="24"/>
      <c r="R792" s="24"/>
      <c r="S792" s="2"/>
      <c r="T792" s="2"/>
    </row>
    <row r="793" spans="2:20" ht="18" customHeight="1" x14ac:dyDescent="0.25">
      <c r="B793" s="36" t="s">
        <v>41</v>
      </c>
      <c r="C793" s="66" t="s">
        <v>42</v>
      </c>
      <c r="D793" s="24" t="s">
        <v>42</v>
      </c>
      <c r="E793" s="24" t="s">
        <v>42</v>
      </c>
      <c r="F793" s="24" t="s">
        <v>42</v>
      </c>
      <c r="G793" s="24" t="s">
        <v>42</v>
      </c>
      <c r="H793" s="24" t="s">
        <v>42</v>
      </c>
      <c r="I793" s="24" t="s">
        <v>42</v>
      </c>
      <c r="J793"/>
      <c r="K793" s="24"/>
      <c r="L793" s="24"/>
      <c r="M793" s="24"/>
      <c r="N793" s="24"/>
      <c r="O793" s="24"/>
      <c r="P793" s="24"/>
      <c r="Q793" s="24"/>
      <c r="R793" s="24"/>
      <c r="S793" s="2"/>
      <c r="T793" s="2"/>
    </row>
    <row r="794" spans="2:20" ht="18" customHeight="1" x14ac:dyDescent="0.25">
      <c r="B794" s="37" t="s">
        <v>15</v>
      </c>
      <c r="C794" s="66"/>
      <c r="D794" s="24"/>
      <c r="E794" s="24"/>
      <c r="F794" s="24"/>
      <c r="G794" s="24"/>
      <c r="H794" s="24"/>
      <c r="I794" s="24"/>
      <c r="J794"/>
      <c r="K794" s="24"/>
      <c r="L794" s="24"/>
      <c r="M794" s="24"/>
      <c r="N794" s="24"/>
      <c r="O794" s="24"/>
      <c r="P794" s="24"/>
      <c r="Q794" s="24"/>
      <c r="R794" s="24"/>
      <c r="S794" s="2"/>
      <c r="T794" s="2"/>
    </row>
    <row r="795" spans="2:20" ht="18" customHeight="1" x14ac:dyDescent="0.25">
      <c r="B795" s="38" t="s">
        <v>17</v>
      </c>
      <c r="C795" s="66">
        <v>50</v>
      </c>
      <c r="D795" s="24">
        <v>50</v>
      </c>
      <c r="E795" s="24">
        <v>50</v>
      </c>
      <c r="F795" s="24">
        <v>50</v>
      </c>
      <c r="G795" s="24">
        <v>50</v>
      </c>
      <c r="H795" s="24">
        <v>50</v>
      </c>
      <c r="I795" s="24">
        <v>50</v>
      </c>
      <c r="J795"/>
      <c r="K795" s="24"/>
      <c r="L795" s="24"/>
      <c r="M795" s="24"/>
      <c r="N795" s="24"/>
      <c r="O795" s="24"/>
      <c r="P795" s="24"/>
      <c r="Q795" s="24"/>
      <c r="R795" s="24"/>
      <c r="S795" s="2"/>
      <c r="T795" s="2"/>
    </row>
    <row r="796" spans="2:20" ht="18" customHeight="1" x14ac:dyDescent="0.25">
      <c r="B796" s="38" t="s">
        <v>18</v>
      </c>
      <c r="C796" s="66" t="s">
        <v>69</v>
      </c>
      <c r="D796" s="24" t="s">
        <v>69</v>
      </c>
      <c r="E796" s="24" t="s">
        <v>69</v>
      </c>
      <c r="F796" s="24" t="s">
        <v>69</v>
      </c>
      <c r="G796" s="24" t="s">
        <v>69</v>
      </c>
      <c r="H796" s="24" t="s">
        <v>69</v>
      </c>
      <c r="I796" s="24" t="s">
        <v>69</v>
      </c>
      <c r="J796"/>
      <c r="K796" s="24"/>
      <c r="L796" s="24"/>
      <c r="M796" s="24"/>
      <c r="N796" s="24"/>
      <c r="O796" s="24"/>
      <c r="P796" s="24"/>
      <c r="Q796" s="24"/>
      <c r="R796" s="24"/>
      <c r="S796" s="2"/>
      <c r="T796" s="2"/>
    </row>
    <row r="797" spans="2:20" ht="18" customHeight="1" x14ac:dyDescent="0.25">
      <c r="B797" s="24"/>
      <c r="C797" s="66"/>
      <c r="D797" s="24"/>
      <c r="E797" s="24"/>
      <c r="F797" s="24"/>
      <c r="G797" s="24"/>
      <c r="H797" s="24"/>
      <c r="I797" s="24"/>
      <c r="J797"/>
      <c r="K797" s="24"/>
      <c r="L797" s="24"/>
      <c r="M797" s="24"/>
      <c r="N797" s="24"/>
      <c r="O797" s="24"/>
      <c r="P797" s="24"/>
      <c r="Q797" s="24"/>
      <c r="R797" s="24"/>
      <c r="S797" s="2"/>
      <c r="T797" s="2"/>
    </row>
    <row r="798" spans="2:20" ht="18" customHeight="1" x14ac:dyDescent="0.25">
      <c r="B798" s="31" t="s">
        <v>19</v>
      </c>
      <c r="C798" s="66"/>
      <c r="D798" s="24"/>
      <c r="E798" s="24"/>
      <c r="F798" s="24"/>
      <c r="G798" s="24"/>
      <c r="H798" s="24"/>
      <c r="I798" s="24"/>
      <c r="J798"/>
      <c r="K798" s="24"/>
      <c r="L798" s="24"/>
      <c r="M798" s="24"/>
      <c r="N798" s="24"/>
      <c r="O798" s="24"/>
      <c r="P798" s="24"/>
      <c r="Q798" s="24"/>
      <c r="R798" s="24"/>
      <c r="S798" s="2"/>
      <c r="T798" s="2"/>
    </row>
    <row r="799" spans="2:20" ht="18" customHeight="1" x14ac:dyDescent="0.25">
      <c r="B799" s="38" t="s">
        <v>20</v>
      </c>
      <c r="C799" s="66"/>
      <c r="D799" s="24"/>
      <c r="E799" s="24"/>
      <c r="F799" s="24"/>
      <c r="G799" s="24"/>
      <c r="H799" s="24"/>
      <c r="I799" s="24"/>
      <c r="J799"/>
      <c r="K799" s="24"/>
      <c r="L799" s="24"/>
      <c r="M799" s="24"/>
      <c r="N799" s="24"/>
      <c r="O799" s="24"/>
      <c r="P799" s="24"/>
      <c r="Q799" s="24"/>
      <c r="R799" s="24"/>
      <c r="S799" s="2"/>
      <c r="T799" s="2"/>
    </row>
    <row r="800" spans="2:20" ht="18" customHeight="1" x14ac:dyDescent="0.25">
      <c r="B800" s="38" t="s">
        <v>21</v>
      </c>
      <c r="C800" s="66">
        <v>2.5</v>
      </c>
      <c r="D800" s="24">
        <v>2.5</v>
      </c>
      <c r="E800" s="24">
        <v>2.5</v>
      </c>
      <c r="F800" s="24">
        <v>2.5</v>
      </c>
      <c r="G800" s="24">
        <v>2.5</v>
      </c>
      <c r="H800" s="24">
        <v>2.5</v>
      </c>
      <c r="I800" s="24">
        <v>2.5</v>
      </c>
      <c r="J800"/>
      <c r="K800" s="24"/>
      <c r="L800" s="24"/>
      <c r="M800" s="24"/>
      <c r="N800" s="24"/>
      <c r="O800" s="24"/>
      <c r="P800" s="24"/>
      <c r="Q800" s="24"/>
      <c r="R800" s="24"/>
      <c r="S800" s="2"/>
      <c r="T800" s="2"/>
    </row>
    <row r="801" spans="2:20" ht="18" customHeight="1" x14ac:dyDescent="0.25">
      <c r="B801" s="38" t="s">
        <v>22</v>
      </c>
      <c r="C801" s="66">
        <v>0.5</v>
      </c>
      <c r="D801" s="24">
        <v>0.5</v>
      </c>
      <c r="E801" s="24">
        <v>0.5</v>
      </c>
      <c r="F801" s="24">
        <v>0.5</v>
      </c>
      <c r="G801" s="24">
        <v>0.5</v>
      </c>
      <c r="H801" s="24">
        <v>0.5</v>
      </c>
      <c r="I801" s="24">
        <v>0.5</v>
      </c>
      <c r="J801"/>
      <c r="K801" s="24"/>
      <c r="L801" s="24"/>
      <c r="M801" s="24"/>
      <c r="N801" s="24"/>
      <c r="O801" s="24"/>
      <c r="P801" s="24"/>
      <c r="Q801" s="24"/>
      <c r="R801" s="24"/>
      <c r="S801" s="2"/>
      <c r="T801" s="2"/>
    </row>
    <row r="802" spans="2:20" ht="18" customHeight="1" x14ac:dyDescent="0.25">
      <c r="B802" s="38" t="s">
        <v>23</v>
      </c>
      <c r="C802" s="66"/>
      <c r="D802" s="24"/>
      <c r="E802" s="24"/>
      <c r="F802" s="24"/>
      <c r="G802" s="24"/>
      <c r="H802" s="24"/>
      <c r="I802" s="24"/>
      <c r="J802"/>
      <c r="K802" s="24"/>
      <c r="L802" s="24"/>
      <c r="M802" s="24"/>
      <c r="N802" s="24"/>
      <c r="O802" s="24"/>
      <c r="P802" s="24"/>
      <c r="Q802" s="24"/>
      <c r="R802" s="24"/>
      <c r="S802" s="2"/>
      <c r="T802" s="2"/>
    </row>
    <row r="803" spans="2:20" ht="18" customHeight="1" x14ac:dyDescent="0.25">
      <c r="B803" s="38" t="s">
        <v>24</v>
      </c>
      <c r="C803" s="66"/>
      <c r="D803" s="24"/>
      <c r="E803" s="24"/>
      <c r="F803" s="24"/>
      <c r="G803" s="24"/>
      <c r="H803" s="24"/>
      <c r="I803" s="24"/>
      <c r="J803"/>
      <c r="K803" s="24"/>
      <c r="L803" s="24"/>
      <c r="M803" s="24"/>
      <c r="N803" s="24"/>
      <c r="O803" s="24"/>
      <c r="P803" s="24"/>
      <c r="Q803" s="24"/>
      <c r="R803" s="24"/>
      <c r="S803" s="2"/>
      <c r="T803" s="2"/>
    </row>
    <row r="804" spans="2:20" ht="18" customHeight="1" x14ac:dyDescent="0.25">
      <c r="B804" s="24"/>
      <c r="C804" s="66"/>
      <c r="D804" s="24"/>
      <c r="E804" s="24"/>
      <c r="F804" s="24"/>
      <c r="G804" s="24"/>
      <c r="H804" s="24"/>
      <c r="I804" s="24"/>
      <c r="J804"/>
      <c r="K804" s="24"/>
      <c r="L804" s="24"/>
      <c r="M804" s="24"/>
      <c r="N804" s="24"/>
      <c r="O804" s="24"/>
      <c r="P804" s="24"/>
      <c r="Q804" s="24"/>
      <c r="R804" s="24"/>
      <c r="S804" s="2"/>
      <c r="T804" s="2"/>
    </row>
    <row r="805" spans="2:20" ht="18" customHeight="1" x14ac:dyDescent="0.25">
      <c r="B805" s="19" t="s">
        <v>33</v>
      </c>
      <c r="C805" s="66"/>
      <c r="D805" s="24"/>
      <c r="E805" s="24"/>
      <c r="F805" s="24"/>
      <c r="G805" s="24"/>
      <c r="H805" s="24"/>
      <c r="I805" s="24"/>
      <c r="J805"/>
      <c r="K805" s="24"/>
      <c r="L805" s="24"/>
      <c r="M805" s="24"/>
      <c r="N805" s="24"/>
      <c r="O805" s="24"/>
      <c r="P805" s="24"/>
      <c r="Q805" s="24"/>
      <c r="R805" s="24"/>
      <c r="S805" s="2"/>
      <c r="T805" s="2"/>
    </row>
    <row r="806" spans="2:20" ht="18" customHeight="1" x14ac:dyDescent="0.25">
      <c r="B806" s="2"/>
      <c r="C806" s="6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2:20" ht="18" customHeight="1" x14ac:dyDescent="0.25">
      <c r="B807" s="2"/>
      <c r="C807" s="6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2:20" ht="18" customHeight="1" x14ac:dyDescent="0.25">
      <c r="B808" s="2"/>
      <c r="C808" s="6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2:20" ht="18" customHeight="1" x14ac:dyDescent="0.25">
      <c r="B809" s="31" t="s">
        <v>0</v>
      </c>
      <c r="C809" s="66" t="s">
        <v>163</v>
      </c>
      <c r="D809" s="24"/>
      <c r="E809" s="24"/>
      <c r="F809" s="24"/>
      <c r="G809" s="24"/>
      <c r="H809" s="24"/>
      <c r="I809" s="24"/>
      <c r="J809"/>
      <c r="K809" s="24"/>
      <c r="L809" s="24"/>
      <c r="M809" s="24"/>
      <c r="N809" s="24"/>
      <c r="O809" s="24"/>
      <c r="P809" s="24"/>
      <c r="Q809" s="24"/>
      <c r="R809" s="24"/>
      <c r="S809" s="2"/>
      <c r="T809" s="2"/>
    </row>
    <row r="810" spans="2:20" ht="18" customHeight="1" x14ac:dyDescent="0.25">
      <c r="B810" s="36" t="s">
        <v>3</v>
      </c>
      <c r="C810" s="66">
        <v>2</v>
      </c>
      <c r="D810" s="24"/>
      <c r="E810" s="24"/>
      <c r="F810" s="24"/>
      <c r="G810" s="24"/>
      <c r="H810" s="24"/>
      <c r="I810" s="24"/>
      <c r="J810"/>
      <c r="K810" s="24"/>
      <c r="L810" s="24"/>
      <c r="M810" s="24"/>
      <c r="N810" s="24"/>
      <c r="O810" s="24"/>
      <c r="P810" s="24"/>
      <c r="Q810" s="24"/>
      <c r="R810" s="24"/>
      <c r="S810" s="2"/>
      <c r="T810" s="2"/>
    </row>
    <row r="811" spans="2:20" ht="18" customHeight="1" x14ac:dyDescent="0.25">
      <c r="B811" s="36"/>
      <c r="C811" s="66"/>
      <c r="D811" s="24"/>
      <c r="E811" s="24"/>
      <c r="F811" s="24"/>
      <c r="G811" s="24"/>
      <c r="H811" s="24"/>
      <c r="I811" s="24"/>
      <c r="J811"/>
      <c r="K811" s="24"/>
      <c r="L811" s="24"/>
      <c r="M811" s="24"/>
      <c r="N811" s="24"/>
      <c r="O811" s="24"/>
      <c r="P811" s="24"/>
      <c r="Q811" s="24"/>
      <c r="R811" s="24"/>
      <c r="S811" s="2"/>
      <c r="T811" s="2"/>
    </row>
    <row r="812" spans="2:20" ht="18" customHeight="1" x14ac:dyDescent="0.25">
      <c r="B812" s="36" t="s">
        <v>6</v>
      </c>
      <c r="C812" s="69"/>
      <c r="D812" s="27"/>
      <c r="E812" s="24"/>
      <c r="F812" s="24"/>
      <c r="G812" s="24"/>
      <c r="H812" s="24"/>
      <c r="I812" s="24"/>
      <c r="J812"/>
      <c r="K812" s="24"/>
      <c r="L812" s="24"/>
      <c r="M812" s="24"/>
      <c r="N812" s="24"/>
      <c r="O812" s="24"/>
      <c r="P812" s="24"/>
      <c r="Q812" s="24"/>
      <c r="R812" s="24"/>
      <c r="S812" s="2"/>
      <c r="T812" s="2"/>
    </row>
    <row r="813" spans="2:20" ht="18" customHeight="1" x14ac:dyDescent="0.25">
      <c r="B813" s="37" t="s">
        <v>9</v>
      </c>
      <c r="C813" s="67">
        <v>40826</v>
      </c>
      <c r="D813" s="23">
        <v>41016</v>
      </c>
      <c r="E813" s="27">
        <v>41195</v>
      </c>
      <c r="F813" s="27">
        <v>41198</v>
      </c>
      <c r="G813" s="27">
        <v>41261</v>
      </c>
      <c r="H813" s="27">
        <v>41296</v>
      </c>
      <c r="I813" s="27" t="s">
        <v>164</v>
      </c>
      <c r="J813" s="27">
        <v>41431</v>
      </c>
      <c r="K813" s="27">
        <v>41604</v>
      </c>
      <c r="L813" s="27">
        <v>41733</v>
      </c>
      <c r="M813" s="27">
        <v>41786</v>
      </c>
      <c r="N813" s="27">
        <v>41877</v>
      </c>
      <c r="O813" s="27">
        <v>41953</v>
      </c>
      <c r="P813" s="24"/>
      <c r="Q813" s="24"/>
      <c r="R813" s="24"/>
      <c r="S813" s="2"/>
      <c r="T813" s="2"/>
    </row>
    <row r="814" spans="2:20" ht="18" customHeight="1" x14ac:dyDescent="0.25">
      <c r="B814" s="37" t="s">
        <v>8</v>
      </c>
      <c r="C814" s="66"/>
      <c r="D814" s="24"/>
      <c r="E814" s="24"/>
      <c r="F814" s="24"/>
      <c r="G814" s="24"/>
      <c r="H814" s="24"/>
      <c r="I814" s="24"/>
      <c r="J814"/>
      <c r="K814" s="24"/>
      <c r="L814" s="24"/>
      <c r="M814" s="24"/>
      <c r="N814" s="24"/>
      <c r="O814" s="24"/>
      <c r="P814" s="24"/>
      <c r="Q814" s="24"/>
      <c r="R814" s="24"/>
      <c r="S814" s="2"/>
      <c r="T814" s="2"/>
    </row>
    <row r="815" spans="2:20" ht="18" customHeight="1" x14ac:dyDescent="0.25">
      <c r="B815" s="38" t="s">
        <v>11</v>
      </c>
      <c r="C815" s="66">
        <v>5.38</v>
      </c>
      <c r="D815" s="40">
        <v>5.25</v>
      </c>
      <c r="E815" s="40">
        <v>5.18</v>
      </c>
      <c r="F815" s="24">
        <v>5.18</v>
      </c>
      <c r="G815" s="24">
        <v>5.17</v>
      </c>
      <c r="H815" s="24">
        <v>5.17</v>
      </c>
      <c r="I815" s="24">
        <v>5.15</v>
      </c>
      <c r="J815" s="24">
        <v>5.15</v>
      </c>
      <c r="K815" s="24">
        <v>5.13</v>
      </c>
      <c r="L815" s="24">
        <v>5.13</v>
      </c>
      <c r="M815" s="24">
        <v>5.0999999999999996</v>
      </c>
      <c r="N815" s="24">
        <v>5.04</v>
      </c>
      <c r="O815" s="24">
        <v>4.93</v>
      </c>
      <c r="P815" s="24"/>
      <c r="Q815" s="24"/>
      <c r="R815" s="24"/>
      <c r="S815" s="2"/>
      <c r="T815" s="2"/>
    </row>
    <row r="816" spans="2:20" ht="18" customHeight="1" x14ac:dyDescent="0.25">
      <c r="B816" s="38" t="s">
        <v>12</v>
      </c>
      <c r="C816" s="66">
        <v>7</v>
      </c>
      <c r="D816" s="24">
        <v>6</v>
      </c>
      <c r="E816" s="24">
        <v>6</v>
      </c>
      <c r="F816" s="24">
        <v>6</v>
      </c>
      <c r="G816" s="24">
        <v>7</v>
      </c>
      <c r="H816" s="24">
        <v>79</v>
      </c>
      <c r="I816" s="24">
        <v>80</v>
      </c>
      <c r="J816" s="24">
        <v>76</v>
      </c>
      <c r="K816" s="24">
        <v>87</v>
      </c>
      <c r="L816" s="24">
        <v>87</v>
      </c>
      <c r="M816" s="24">
        <v>90</v>
      </c>
      <c r="N816" s="24">
        <v>88</v>
      </c>
      <c r="O816" s="24">
        <v>90</v>
      </c>
      <c r="P816" s="24"/>
      <c r="Q816" s="24"/>
      <c r="R816" s="24"/>
      <c r="S816" s="2"/>
      <c r="T816" s="2"/>
    </row>
    <row r="817" spans="2:20" ht="18" customHeight="1" x14ac:dyDescent="0.25">
      <c r="B817" s="38" t="s">
        <v>13</v>
      </c>
      <c r="C817" s="66">
        <v>0</v>
      </c>
      <c r="D817" s="24">
        <v>0</v>
      </c>
      <c r="E817" s="24">
        <v>0</v>
      </c>
      <c r="F817" s="24">
        <v>0</v>
      </c>
      <c r="G817" s="24">
        <v>0</v>
      </c>
      <c r="H817" s="24">
        <v>0</v>
      </c>
      <c r="I817" s="24">
        <v>0</v>
      </c>
      <c r="J817" s="24">
        <v>0</v>
      </c>
      <c r="K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/>
      <c r="Q817" s="24"/>
      <c r="R817" s="24"/>
      <c r="S817" s="2"/>
      <c r="T817" s="2"/>
    </row>
    <row r="818" spans="2:20" ht="18" customHeight="1" x14ac:dyDescent="0.25">
      <c r="B818" s="38" t="s">
        <v>14</v>
      </c>
      <c r="C818" s="66"/>
      <c r="D818" s="24"/>
      <c r="E818" s="24"/>
      <c r="F818" s="24"/>
      <c r="G818" s="24"/>
      <c r="H818" s="24"/>
      <c r="I818" s="24"/>
      <c r="J818"/>
      <c r="K818" s="24"/>
      <c r="L818" s="24"/>
      <c r="M818" s="24"/>
      <c r="N818" s="24"/>
      <c r="O818" s="24"/>
      <c r="P818" s="24"/>
      <c r="Q818" s="24"/>
      <c r="R818" s="24"/>
      <c r="S818" s="2"/>
      <c r="T818" s="2"/>
    </row>
    <row r="819" spans="2:20" ht="18" customHeight="1" x14ac:dyDescent="0.25">
      <c r="B819" s="36" t="s">
        <v>41</v>
      </c>
      <c r="C819" s="66" t="s">
        <v>165</v>
      </c>
      <c r="D819" s="24" t="s">
        <v>166</v>
      </c>
      <c r="E819" s="41" t="s">
        <v>167</v>
      </c>
      <c r="F819" s="41" t="s">
        <v>168</v>
      </c>
      <c r="G819" s="24" t="s">
        <v>169</v>
      </c>
      <c r="H819" s="24" t="s">
        <v>42</v>
      </c>
      <c r="I819" s="24" t="s">
        <v>42</v>
      </c>
      <c r="J819" s="24" t="s">
        <v>45</v>
      </c>
      <c r="K819" s="24" t="s">
        <v>170</v>
      </c>
      <c r="L819" s="30" t="s">
        <v>79</v>
      </c>
      <c r="M819" s="24" t="s">
        <v>42</v>
      </c>
      <c r="N819" s="24" t="s">
        <v>42</v>
      </c>
      <c r="O819" s="24" t="s">
        <v>42</v>
      </c>
      <c r="P819" s="24"/>
      <c r="Q819" s="24"/>
      <c r="R819" s="24"/>
      <c r="S819" s="2"/>
      <c r="T819" s="2"/>
    </row>
    <row r="820" spans="2:20" ht="18" customHeight="1" x14ac:dyDescent="0.25">
      <c r="B820" s="37" t="s">
        <v>15</v>
      </c>
      <c r="C820" s="66"/>
      <c r="D820" s="24"/>
      <c r="E820" s="24"/>
      <c r="F820" s="24"/>
      <c r="G820" s="24"/>
      <c r="H820" s="24"/>
      <c r="I820" s="24"/>
      <c r="J820"/>
      <c r="K820" s="24"/>
      <c r="L820" s="24"/>
      <c r="M820" s="24"/>
      <c r="N820" s="24"/>
      <c r="O820" s="24"/>
      <c r="P820" s="24"/>
      <c r="Q820" s="24"/>
      <c r="R820" s="24"/>
      <c r="S820" s="2"/>
      <c r="T820" s="2"/>
    </row>
    <row r="821" spans="2:20" ht="18" customHeight="1" x14ac:dyDescent="0.25">
      <c r="B821" s="38" t="s">
        <v>17</v>
      </c>
      <c r="C821" s="66" t="s">
        <v>67</v>
      </c>
      <c r="D821" s="24" t="s">
        <v>67</v>
      </c>
      <c r="E821" s="24" t="s">
        <v>67</v>
      </c>
      <c r="F821" s="24" t="s">
        <v>67</v>
      </c>
      <c r="G821" s="24" t="s">
        <v>67</v>
      </c>
      <c r="H821" s="24" t="s">
        <v>47</v>
      </c>
      <c r="I821" s="24" t="s">
        <v>47</v>
      </c>
      <c r="J821" s="24" t="s">
        <v>47</v>
      </c>
      <c r="K821" s="24" t="s">
        <v>47</v>
      </c>
      <c r="L821" s="24" t="s">
        <v>47</v>
      </c>
      <c r="M821" s="24" t="s">
        <v>47</v>
      </c>
      <c r="N821" s="24" t="s">
        <v>47</v>
      </c>
      <c r="O821" s="24" t="s">
        <v>47</v>
      </c>
      <c r="P821" s="24"/>
      <c r="Q821" s="24"/>
      <c r="R821" s="24"/>
      <c r="S821" s="2"/>
      <c r="T821" s="2"/>
    </row>
    <row r="822" spans="2:20" ht="18" customHeight="1" x14ac:dyDescent="0.25">
      <c r="B822" s="38" t="s">
        <v>18</v>
      </c>
      <c r="C822" s="66" t="s">
        <v>69</v>
      </c>
      <c r="D822" s="24" t="s">
        <v>69</v>
      </c>
      <c r="E822" s="24" t="s">
        <v>69</v>
      </c>
      <c r="F822" s="24" t="s">
        <v>69</v>
      </c>
      <c r="G822" s="24" t="s">
        <v>69</v>
      </c>
      <c r="H822" s="24" t="s">
        <v>69</v>
      </c>
      <c r="I822" s="24" t="s">
        <v>69</v>
      </c>
      <c r="J822" s="24" t="s">
        <v>69</v>
      </c>
      <c r="K822" s="24" t="s">
        <v>69</v>
      </c>
      <c r="L822" s="24" t="s">
        <v>69</v>
      </c>
      <c r="M822" s="24" t="s">
        <v>69</v>
      </c>
      <c r="N822" s="24" t="s">
        <v>69</v>
      </c>
      <c r="O822" s="24" t="s">
        <v>69</v>
      </c>
      <c r="P822" s="24"/>
      <c r="Q822" s="24"/>
      <c r="R822" s="24"/>
      <c r="S822" s="2"/>
      <c r="T822" s="2"/>
    </row>
    <row r="823" spans="2:20" ht="18" customHeight="1" x14ac:dyDescent="0.25">
      <c r="B823" s="24"/>
      <c r="C823" s="66"/>
      <c r="D823" s="24"/>
      <c r="E823" s="24"/>
      <c r="F823" s="24"/>
      <c r="G823" s="24"/>
      <c r="H823" s="24"/>
      <c r="I823" s="24"/>
      <c r="J823"/>
      <c r="K823" s="24"/>
      <c r="L823" s="24"/>
      <c r="M823" s="24"/>
      <c r="N823" s="24"/>
      <c r="O823" s="24"/>
      <c r="P823" s="24"/>
      <c r="Q823" s="24"/>
      <c r="R823" s="24"/>
      <c r="S823" s="2"/>
      <c r="T823" s="2"/>
    </row>
    <row r="824" spans="2:20" ht="18" customHeight="1" x14ac:dyDescent="0.25">
      <c r="B824" s="31" t="s">
        <v>19</v>
      </c>
      <c r="C824" s="66">
        <v>2.5</v>
      </c>
      <c r="D824" s="24">
        <v>2.5</v>
      </c>
      <c r="E824" s="24">
        <v>2.5</v>
      </c>
      <c r="F824" s="24">
        <v>2.5</v>
      </c>
      <c r="G824" s="24">
        <v>2.5</v>
      </c>
      <c r="H824" s="24">
        <v>3</v>
      </c>
      <c r="I824" s="24">
        <v>3</v>
      </c>
      <c r="J824" s="24">
        <v>2</v>
      </c>
      <c r="K824" s="24">
        <v>2</v>
      </c>
      <c r="L824" s="24">
        <v>2</v>
      </c>
      <c r="M824" s="24">
        <v>2</v>
      </c>
      <c r="N824" s="24">
        <v>2</v>
      </c>
      <c r="O824" s="24">
        <v>2</v>
      </c>
      <c r="P824" s="24"/>
      <c r="Q824" s="24"/>
      <c r="R824" s="24"/>
      <c r="S824" s="2"/>
      <c r="T824" s="2"/>
    </row>
    <row r="825" spans="2:20" ht="18" customHeight="1" x14ac:dyDescent="0.25">
      <c r="B825" s="38" t="s">
        <v>20</v>
      </c>
      <c r="C825" s="66">
        <v>0.5</v>
      </c>
      <c r="D825" s="24">
        <v>0.5</v>
      </c>
      <c r="E825" s="24">
        <v>0.5</v>
      </c>
      <c r="F825" s="24">
        <v>0.5</v>
      </c>
      <c r="G825" s="24">
        <v>0.5</v>
      </c>
      <c r="H825" s="24">
        <v>0.5</v>
      </c>
      <c r="I825" s="24">
        <v>0.5</v>
      </c>
      <c r="J825" s="24">
        <v>0.5</v>
      </c>
      <c r="K825" s="24">
        <v>0.5</v>
      </c>
      <c r="L825" s="24">
        <v>0.5</v>
      </c>
      <c r="M825" s="24">
        <v>0.5</v>
      </c>
      <c r="N825" s="24">
        <v>0.5</v>
      </c>
      <c r="O825" s="24">
        <v>0.5</v>
      </c>
      <c r="P825" s="24"/>
      <c r="Q825" s="24"/>
      <c r="R825" s="24"/>
      <c r="S825" s="2"/>
      <c r="T825" s="2"/>
    </row>
    <row r="826" spans="2:20" ht="18" customHeight="1" x14ac:dyDescent="0.25">
      <c r="B826" s="38" t="s">
        <v>21</v>
      </c>
      <c r="C826" s="66">
        <v>2.5</v>
      </c>
      <c r="D826" s="24">
        <v>2.5</v>
      </c>
      <c r="E826" s="24">
        <v>2.5</v>
      </c>
      <c r="F826" s="24">
        <v>2.5</v>
      </c>
      <c r="G826" s="24">
        <v>2.5</v>
      </c>
      <c r="H826" s="24">
        <v>2.5</v>
      </c>
      <c r="I826" s="24">
        <v>2.5</v>
      </c>
      <c r="J826" s="24">
        <v>3</v>
      </c>
      <c r="K826" s="24">
        <v>2.5</v>
      </c>
      <c r="L826" s="24">
        <v>2.5</v>
      </c>
      <c r="M826" s="24">
        <v>2.5</v>
      </c>
      <c r="N826" s="24">
        <v>2.5</v>
      </c>
      <c r="O826" s="24">
        <v>2.5</v>
      </c>
      <c r="P826" s="24"/>
      <c r="Q826" s="24"/>
      <c r="R826" s="24"/>
      <c r="S826" s="2"/>
      <c r="T826" s="2"/>
    </row>
    <row r="827" spans="2:20" ht="18" customHeight="1" x14ac:dyDescent="0.25">
      <c r="B827" s="38" t="s">
        <v>22</v>
      </c>
      <c r="C827" s="66">
        <v>0.5</v>
      </c>
      <c r="D827" s="24">
        <v>0.5</v>
      </c>
      <c r="E827" s="24">
        <v>0.5</v>
      </c>
      <c r="F827" s="24">
        <v>0.5</v>
      </c>
      <c r="G827" s="24">
        <v>0.5</v>
      </c>
      <c r="H827" s="24">
        <v>0.5</v>
      </c>
      <c r="I827" s="24">
        <v>0.5</v>
      </c>
      <c r="J827" s="24">
        <v>0.5</v>
      </c>
      <c r="K827" s="24">
        <v>0.6</v>
      </c>
      <c r="L827" s="24">
        <v>0.6</v>
      </c>
      <c r="M827" s="24">
        <v>0.6</v>
      </c>
      <c r="N827" s="24">
        <v>0.6</v>
      </c>
      <c r="O827" s="24">
        <v>0.6</v>
      </c>
      <c r="P827" s="24"/>
      <c r="Q827" s="24"/>
      <c r="R827" s="24"/>
      <c r="S827" s="2"/>
      <c r="T827" s="2"/>
    </row>
    <row r="828" spans="2:20" ht="18" customHeight="1" x14ac:dyDescent="0.25">
      <c r="B828" s="38" t="s">
        <v>23</v>
      </c>
      <c r="C828" s="66"/>
      <c r="D828" s="24"/>
      <c r="E828" s="24"/>
      <c r="F828" s="24"/>
      <c r="G828" s="24"/>
      <c r="H828" s="24"/>
      <c r="I828" s="24"/>
      <c r="J828"/>
      <c r="K828" s="24"/>
      <c r="L828" s="24"/>
      <c r="M828" s="24"/>
      <c r="N828" s="24"/>
      <c r="O828" s="24"/>
      <c r="P828" s="24"/>
      <c r="Q828" s="24"/>
      <c r="R828" s="24"/>
      <c r="S828" s="2"/>
      <c r="T828" s="2"/>
    </row>
    <row r="829" spans="2:20" ht="18" customHeight="1" x14ac:dyDescent="0.25">
      <c r="B829" s="38" t="s">
        <v>24</v>
      </c>
      <c r="C829" s="66"/>
      <c r="D829" s="24"/>
      <c r="E829" s="24"/>
      <c r="F829" s="24"/>
      <c r="G829" s="24"/>
      <c r="H829" s="24"/>
      <c r="I829" s="24"/>
      <c r="J829"/>
      <c r="K829" s="24"/>
      <c r="L829" s="24"/>
      <c r="M829" s="24"/>
      <c r="N829" s="24"/>
      <c r="O829" s="24"/>
      <c r="P829" s="24"/>
      <c r="Q829" s="24"/>
      <c r="R829" s="24"/>
      <c r="S829" s="2"/>
      <c r="T829" s="2"/>
    </row>
    <row r="830" spans="2:20" ht="18" customHeight="1" x14ac:dyDescent="0.25">
      <c r="B830" s="24"/>
      <c r="C830" s="66"/>
      <c r="D830" s="24"/>
      <c r="E830" s="24"/>
      <c r="F830" s="24"/>
      <c r="G830" s="24"/>
      <c r="H830" s="24"/>
      <c r="I830" s="24"/>
      <c r="J830"/>
      <c r="K830" s="24"/>
      <c r="L830" s="24"/>
      <c r="M830" s="24"/>
      <c r="N830" s="24"/>
      <c r="O830" s="24"/>
      <c r="P830" s="24"/>
      <c r="Q830" s="24"/>
      <c r="R830" s="24"/>
      <c r="S830" s="2"/>
      <c r="T830" s="2"/>
    </row>
    <row r="831" spans="2:20" ht="18" customHeight="1" x14ac:dyDescent="0.25">
      <c r="B831" s="19" t="s">
        <v>33</v>
      </c>
      <c r="C831" s="66"/>
      <c r="D831" s="24"/>
      <c r="E831" s="24"/>
      <c r="F831" s="24"/>
      <c r="G831" s="24"/>
      <c r="H831" s="24"/>
      <c r="I831" s="24"/>
      <c r="J831"/>
      <c r="K831" s="24"/>
      <c r="L831" s="24"/>
      <c r="M831" s="24"/>
      <c r="N831" s="24"/>
      <c r="O831" s="24"/>
      <c r="P831" s="24"/>
      <c r="Q831" s="24"/>
      <c r="R831" s="24"/>
      <c r="S831" s="2"/>
      <c r="T831" s="2"/>
    </row>
    <row r="832" spans="2:20" ht="18" customHeight="1" x14ac:dyDescent="0.25">
      <c r="B832" s="24"/>
      <c r="C832" s="66"/>
      <c r="D832" s="24"/>
      <c r="E832" s="24"/>
      <c r="F832" s="24"/>
      <c r="G832" s="24"/>
      <c r="H832" s="24"/>
      <c r="I832" s="24"/>
      <c r="J832"/>
      <c r="K832" s="24"/>
      <c r="L832" s="24"/>
      <c r="M832" s="24"/>
      <c r="N832" s="24"/>
      <c r="O832" s="24"/>
      <c r="P832" s="24"/>
      <c r="Q832" s="24"/>
      <c r="R832" s="24"/>
      <c r="S832" s="2"/>
      <c r="T832" s="2"/>
    </row>
    <row r="833" spans="2:20" ht="18" customHeight="1" x14ac:dyDescent="0.25">
      <c r="B833" s="24"/>
      <c r="C833" s="66"/>
      <c r="D833" s="24"/>
      <c r="E833" s="24"/>
      <c r="F833" s="24"/>
      <c r="G833" s="24"/>
      <c r="H833" s="24"/>
      <c r="I833" s="24"/>
      <c r="J833"/>
      <c r="K833" s="24"/>
      <c r="L833" s="24"/>
      <c r="M833" s="24"/>
      <c r="N833" s="24"/>
      <c r="O833" s="24"/>
      <c r="P833" s="24"/>
      <c r="Q833" s="24"/>
      <c r="R833" s="24"/>
      <c r="S833" s="2"/>
      <c r="T833" s="2"/>
    </row>
    <row r="834" spans="2:20" ht="18" customHeight="1" x14ac:dyDescent="0.25">
      <c r="B834" s="31" t="s">
        <v>0</v>
      </c>
      <c r="C834" s="66" t="s">
        <v>171</v>
      </c>
      <c r="D834" s="24"/>
      <c r="E834" s="24"/>
      <c r="F834" s="24"/>
      <c r="G834" s="24"/>
      <c r="H834" s="24"/>
      <c r="I834" s="24"/>
      <c r="J834"/>
      <c r="K834" s="24"/>
      <c r="L834" s="24"/>
      <c r="M834" s="24"/>
      <c r="N834" s="24"/>
      <c r="O834" s="24"/>
      <c r="P834" s="24"/>
      <c r="Q834" s="24"/>
      <c r="R834" s="24"/>
      <c r="S834" s="2"/>
      <c r="T834" s="2"/>
    </row>
    <row r="835" spans="2:20" ht="18" customHeight="1" x14ac:dyDescent="0.25">
      <c r="B835" s="36" t="s">
        <v>3</v>
      </c>
      <c r="C835" s="66">
        <v>2</v>
      </c>
      <c r="D835" s="24"/>
      <c r="E835" s="24"/>
      <c r="F835" s="24"/>
      <c r="G835" s="24"/>
      <c r="H835" s="24"/>
      <c r="I835" s="24"/>
      <c r="J835"/>
      <c r="K835" s="24"/>
      <c r="L835" s="24"/>
      <c r="M835" s="24"/>
      <c r="N835" s="24"/>
      <c r="O835" s="24"/>
      <c r="P835" s="24"/>
      <c r="Q835" s="24"/>
      <c r="R835" s="24"/>
      <c r="S835" s="2"/>
      <c r="T835" s="2"/>
    </row>
    <row r="836" spans="2:20" ht="18" customHeight="1" x14ac:dyDescent="0.25">
      <c r="B836" s="36"/>
      <c r="C836" s="66"/>
      <c r="D836" s="24"/>
      <c r="E836" s="24"/>
      <c r="F836" s="24"/>
      <c r="G836" s="24"/>
      <c r="H836" s="24"/>
      <c r="I836" s="24"/>
      <c r="J836"/>
      <c r="K836" s="24"/>
      <c r="L836" s="24"/>
      <c r="M836" s="24"/>
      <c r="N836" s="24"/>
      <c r="O836" s="24"/>
      <c r="P836" s="24"/>
      <c r="Q836" s="24"/>
      <c r="R836" s="24"/>
      <c r="S836" s="2"/>
      <c r="T836" s="2"/>
    </row>
    <row r="837" spans="2:20" ht="18" customHeight="1" x14ac:dyDescent="0.25">
      <c r="B837" s="36" t="s">
        <v>6</v>
      </c>
      <c r="C837" s="70">
        <v>39045</v>
      </c>
      <c r="D837" s="27"/>
      <c r="E837" s="24"/>
      <c r="F837" s="24"/>
      <c r="G837" s="24"/>
      <c r="H837" s="24"/>
      <c r="I837" s="24"/>
      <c r="J837"/>
      <c r="K837" s="24"/>
      <c r="L837" s="24"/>
      <c r="M837" s="24"/>
      <c r="N837" s="24"/>
      <c r="O837" s="24"/>
      <c r="P837" s="24"/>
      <c r="Q837" s="24"/>
      <c r="R837" s="24"/>
      <c r="S837" s="2"/>
      <c r="T837" s="2"/>
    </row>
    <row r="838" spans="2:20" ht="18" customHeight="1" x14ac:dyDescent="0.25">
      <c r="B838" s="37" t="s">
        <v>9</v>
      </c>
      <c r="C838" s="67">
        <v>40708</v>
      </c>
      <c r="D838" s="23">
        <v>40567</v>
      </c>
      <c r="E838" s="27">
        <v>41093</v>
      </c>
      <c r="F838" s="27">
        <v>41311</v>
      </c>
      <c r="G838" s="27">
        <v>41422</v>
      </c>
      <c r="H838" s="27">
        <v>41528</v>
      </c>
      <c r="I838" s="43">
        <v>41709</v>
      </c>
      <c r="J838" s="43">
        <v>41857</v>
      </c>
      <c r="K838" s="43">
        <v>41897</v>
      </c>
      <c r="L838" s="43">
        <v>41982</v>
      </c>
      <c r="M838" s="43">
        <v>42088</v>
      </c>
      <c r="N838" s="2"/>
      <c r="O838" s="2"/>
      <c r="P838" s="2"/>
      <c r="Q838" s="2"/>
      <c r="R838" s="2"/>
      <c r="S838" s="2"/>
      <c r="T838" s="2"/>
    </row>
    <row r="839" spans="2:20" ht="18" customHeight="1" x14ac:dyDescent="0.25">
      <c r="B839" s="37" t="s">
        <v>8</v>
      </c>
      <c r="C839" s="66"/>
      <c r="D839" s="24"/>
      <c r="E839" s="24"/>
      <c r="F839" s="24"/>
      <c r="G839" s="24"/>
      <c r="H839" s="2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2:20" ht="18" customHeight="1" x14ac:dyDescent="0.25">
      <c r="B840" s="38" t="s">
        <v>11</v>
      </c>
      <c r="C840" s="66">
        <v>5.51</v>
      </c>
      <c r="D840" s="40">
        <v>5.27</v>
      </c>
      <c r="E840" s="40">
        <v>5.18</v>
      </c>
      <c r="F840" s="24">
        <v>5.15</v>
      </c>
      <c r="G840" s="24">
        <v>5.15</v>
      </c>
      <c r="H840" s="24">
        <v>5.14</v>
      </c>
      <c r="I840" s="2">
        <v>5.13</v>
      </c>
      <c r="J840" s="2">
        <v>5.07</v>
      </c>
      <c r="K840" s="2">
        <v>5.05</v>
      </c>
      <c r="L840" s="2">
        <v>4.9400000000000004</v>
      </c>
      <c r="M840" s="2">
        <v>4.7</v>
      </c>
      <c r="N840" s="2"/>
      <c r="O840" s="2"/>
      <c r="P840" s="2"/>
      <c r="Q840" s="2"/>
      <c r="R840" s="2"/>
      <c r="S840" s="2"/>
      <c r="T840" s="2"/>
    </row>
    <row r="841" spans="2:20" ht="18" customHeight="1" x14ac:dyDescent="0.25">
      <c r="B841" s="38" t="s">
        <v>12</v>
      </c>
      <c r="C841" s="66">
        <v>0</v>
      </c>
      <c r="D841" s="24">
        <v>0</v>
      </c>
      <c r="E841" s="24">
        <v>1</v>
      </c>
      <c r="F841" s="24">
        <v>1</v>
      </c>
      <c r="G841" s="24">
        <v>1</v>
      </c>
      <c r="H841" s="24">
        <v>1</v>
      </c>
      <c r="I841" s="2">
        <v>1</v>
      </c>
      <c r="J841" s="2">
        <v>3</v>
      </c>
      <c r="K841" s="2">
        <v>4</v>
      </c>
      <c r="L841" s="2">
        <v>3</v>
      </c>
      <c r="M841" s="2">
        <v>2</v>
      </c>
      <c r="N841" s="2"/>
      <c r="O841" s="2"/>
      <c r="P841" s="2"/>
      <c r="Q841" s="2"/>
      <c r="R841" s="2"/>
      <c r="S841" s="2"/>
      <c r="T841" s="2"/>
    </row>
    <row r="842" spans="2:20" ht="18" customHeight="1" x14ac:dyDescent="0.25">
      <c r="B842" s="38" t="s">
        <v>13</v>
      </c>
      <c r="C842" s="66">
        <v>0</v>
      </c>
      <c r="D842" s="24">
        <v>0</v>
      </c>
      <c r="E842" s="24">
        <v>0</v>
      </c>
      <c r="F842" s="24">
        <v>0</v>
      </c>
      <c r="G842" s="24">
        <v>0</v>
      </c>
      <c r="H842" s="24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/>
      <c r="O842" s="2"/>
      <c r="P842" s="2"/>
      <c r="Q842" s="2"/>
      <c r="R842" s="2"/>
      <c r="S842" s="2"/>
      <c r="T842" s="2"/>
    </row>
    <row r="843" spans="2:20" ht="18" customHeight="1" x14ac:dyDescent="0.25">
      <c r="B843" s="38" t="s">
        <v>14</v>
      </c>
      <c r="C843" s="66"/>
      <c r="D843" s="24"/>
      <c r="E843" s="24"/>
      <c r="F843" s="24"/>
      <c r="G843" s="24"/>
      <c r="H843" s="24"/>
      <c r="I843"/>
      <c r="J843"/>
      <c r="K843"/>
      <c r="L843"/>
      <c r="M843"/>
      <c r="N843"/>
      <c r="O843"/>
      <c r="Q843"/>
    </row>
    <row r="844" spans="2:20" ht="18" customHeight="1" x14ac:dyDescent="0.25">
      <c r="B844" s="36" t="s">
        <v>41</v>
      </c>
      <c r="C844" s="66" t="s">
        <v>46</v>
      </c>
      <c r="D844" s="24" t="s">
        <v>42</v>
      </c>
      <c r="E844" s="41" t="s">
        <v>46</v>
      </c>
      <c r="F844" s="41" t="s">
        <v>42</v>
      </c>
      <c r="G844" s="24" t="s">
        <v>42</v>
      </c>
      <c r="H844" s="24" t="s">
        <v>42</v>
      </c>
      <c r="I844" s="4" t="s">
        <v>45</v>
      </c>
      <c r="J844" s="24" t="s">
        <v>45</v>
      </c>
      <c r="K844" s="4" t="s">
        <v>172</v>
      </c>
      <c r="L844" s="4" t="s">
        <v>42</v>
      </c>
      <c r="M844" s="4" t="s">
        <v>45</v>
      </c>
      <c r="N844"/>
      <c r="O844"/>
      <c r="Q844"/>
    </row>
    <row r="845" spans="2:20" ht="18" customHeight="1" x14ac:dyDescent="0.25">
      <c r="B845" s="37" t="s">
        <v>15</v>
      </c>
      <c r="C845" s="66"/>
      <c r="D845" s="24"/>
      <c r="E845" s="24"/>
      <c r="F845" s="24"/>
      <c r="G845" s="24"/>
      <c r="H845" s="24"/>
      <c r="I845"/>
      <c r="J845"/>
      <c r="K845"/>
      <c r="L845"/>
      <c r="M845"/>
      <c r="N845"/>
      <c r="O845"/>
      <c r="Q845"/>
    </row>
    <row r="846" spans="2:20" ht="18" customHeight="1" x14ac:dyDescent="0.25">
      <c r="B846" s="38" t="s">
        <v>17</v>
      </c>
      <c r="C846" s="66" t="s">
        <v>67</v>
      </c>
      <c r="D846" s="24" t="s">
        <v>67</v>
      </c>
      <c r="E846" s="24" t="s">
        <v>67</v>
      </c>
      <c r="F846" s="24" t="s">
        <v>67</v>
      </c>
      <c r="G846" s="24" t="s">
        <v>67</v>
      </c>
      <c r="H846" s="24" t="s">
        <v>67</v>
      </c>
      <c r="I846" s="24" t="s">
        <v>67</v>
      </c>
      <c r="J846" s="24" t="s">
        <v>67</v>
      </c>
      <c r="K846" s="24" t="s">
        <v>67</v>
      </c>
      <c r="L846" s="24" t="s">
        <v>67</v>
      </c>
      <c r="M846" s="24" t="s">
        <v>67</v>
      </c>
      <c r="N846"/>
      <c r="O846"/>
      <c r="Q846"/>
    </row>
    <row r="847" spans="2:20" ht="18" customHeight="1" x14ac:dyDescent="0.25">
      <c r="B847" s="38" t="s">
        <v>18</v>
      </c>
      <c r="C847" s="66" t="s">
        <v>69</v>
      </c>
      <c r="D847" s="24" t="s">
        <v>69</v>
      </c>
      <c r="E847" s="24" t="s">
        <v>69</v>
      </c>
      <c r="F847" s="24" t="s">
        <v>69</v>
      </c>
      <c r="G847" s="24" t="s">
        <v>69</v>
      </c>
      <c r="H847" s="24" t="s">
        <v>69</v>
      </c>
      <c r="I847" s="24" t="s">
        <v>69</v>
      </c>
      <c r="J847" s="24" t="s">
        <v>69</v>
      </c>
      <c r="K847" s="24" t="s">
        <v>69</v>
      </c>
      <c r="L847" s="24" t="s">
        <v>69</v>
      </c>
      <c r="M847" s="24" t="s">
        <v>69</v>
      </c>
      <c r="N847"/>
      <c r="O847"/>
      <c r="Q847"/>
    </row>
    <row r="848" spans="2:20" ht="18" customHeight="1" x14ac:dyDescent="0.25">
      <c r="B848" s="24"/>
      <c r="C848" s="66"/>
      <c r="D848" s="24"/>
      <c r="E848" s="24"/>
      <c r="F848" s="24"/>
      <c r="G848" s="24"/>
      <c r="H848" s="24"/>
      <c r="I848" s="24"/>
      <c r="J848"/>
      <c r="K848" s="24"/>
      <c r="L848" s="24"/>
      <c r="M848" s="24"/>
      <c r="N848"/>
      <c r="O848"/>
      <c r="Q848"/>
    </row>
    <row r="849" spans="2:17" ht="18" customHeight="1" x14ac:dyDescent="0.25">
      <c r="B849" s="31" t="s">
        <v>19</v>
      </c>
      <c r="C849" s="66">
        <v>2.5</v>
      </c>
      <c r="D849" s="24">
        <v>2.5</v>
      </c>
      <c r="E849" s="24">
        <v>2.5</v>
      </c>
      <c r="F849" s="24">
        <v>2.5</v>
      </c>
      <c r="G849" s="24">
        <v>2.5</v>
      </c>
      <c r="H849" s="24">
        <v>2.5</v>
      </c>
      <c r="I849" s="24">
        <v>2.5</v>
      </c>
      <c r="J849" s="24">
        <v>2.5</v>
      </c>
      <c r="K849" s="24">
        <v>2.5</v>
      </c>
      <c r="L849" s="24">
        <v>2.5</v>
      </c>
      <c r="M849" s="24">
        <v>2.5</v>
      </c>
      <c r="N849"/>
      <c r="O849"/>
      <c r="Q849"/>
    </row>
    <row r="850" spans="2:17" ht="18" customHeight="1" x14ac:dyDescent="0.25">
      <c r="B850" s="38" t="s">
        <v>20</v>
      </c>
      <c r="C850" s="66">
        <v>0.35</v>
      </c>
      <c r="D850" s="24">
        <v>0.35</v>
      </c>
      <c r="E850" s="24">
        <v>0.35</v>
      </c>
      <c r="F850" s="24">
        <v>0.35</v>
      </c>
      <c r="G850" s="24">
        <v>0.35</v>
      </c>
      <c r="H850" s="24">
        <v>0.35</v>
      </c>
      <c r="I850" s="24">
        <v>0.35</v>
      </c>
      <c r="J850" s="24">
        <v>0.35</v>
      </c>
      <c r="K850" s="24">
        <v>0.35</v>
      </c>
      <c r="L850" s="24">
        <v>0.35</v>
      </c>
      <c r="M850" s="24">
        <v>0.35</v>
      </c>
      <c r="N850"/>
      <c r="O850"/>
      <c r="Q850"/>
    </row>
    <row r="851" spans="2:17" ht="18" customHeight="1" x14ac:dyDescent="0.25">
      <c r="B851" s="38" t="s">
        <v>21</v>
      </c>
      <c r="C851" s="66">
        <v>2.5</v>
      </c>
      <c r="D851" s="24">
        <v>2.5</v>
      </c>
      <c r="E851" s="24">
        <v>2.5</v>
      </c>
      <c r="F851" s="24">
        <v>2.5</v>
      </c>
      <c r="G851" s="24">
        <v>2.5</v>
      </c>
      <c r="H851" s="24">
        <v>2.5</v>
      </c>
      <c r="I851" s="24">
        <v>2.5</v>
      </c>
      <c r="J851" s="24">
        <v>2.5</v>
      </c>
      <c r="K851" s="24">
        <v>2.5</v>
      </c>
      <c r="L851" s="24">
        <v>2.5</v>
      </c>
      <c r="M851" s="24">
        <v>2.5</v>
      </c>
      <c r="N851"/>
      <c r="O851"/>
      <c r="Q851"/>
    </row>
    <row r="852" spans="2:17" ht="18" customHeight="1" x14ac:dyDescent="0.25">
      <c r="B852" s="38" t="s">
        <v>22</v>
      </c>
      <c r="C852" s="66">
        <v>0.35</v>
      </c>
      <c r="D852" s="24">
        <v>0.35</v>
      </c>
      <c r="E852" s="24">
        <v>0.35</v>
      </c>
      <c r="F852" s="24">
        <v>0.35</v>
      </c>
      <c r="G852" s="24">
        <v>0.35</v>
      </c>
      <c r="H852" s="24">
        <v>0.35</v>
      </c>
      <c r="I852" s="24">
        <v>0.35</v>
      </c>
      <c r="J852" s="24">
        <v>0.35</v>
      </c>
      <c r="K852" s="24">
        <v>0.35</v>
      </c>
      <c r="L852" s="24">
        <v>0.35</v>
      </c>
      <c r="M852" s="24">
        <v>0.35</v>
      </c>
      <c r="N852"/>
      <c r="O852"/>
      <c r="Q852"/>
    </row>
    <row r="853" spans="2:17" ht="18" customHeight="1" x14ac:dyDescent="0.25">
      <c r="B853" s="38" t="s">
        <v>23</v>
      </c>
      <c r="C853" s="66"/>
      <c r="D853" s="24"/>
      <c r="E853" s="24"/>
      <c r="F853" s="24"/>
      <c r="G853" s="24"/>
      <c r="H853" s="24"/>
      <c r="I853"/>
      <c r="J853"/>
      <c r="K853"/>
      <c r="L853"/>
      <c r="M853"/>
      <c r="N853"/>
      <c r="O853"/>
      <c r="Q853"/>
    </row>
    <row r="854" spans="2:17" ht="18" customHeight="1" x14ac:dyDescent="0.25">
      <c r="B854" s="38" t="s">
        <v>24</v>
      </c>
      <c r="C854" s="66"/>
      <c r="D854" s="24"/>
      <c r="E854" s="24"/>
      <c r="F854" s="24"/>
      <c r="G854" s="24"/>
      <c r="H854" s="24"/>
      <c r="I854"/>
      <c r="J854"/>
      <c r="K854"/>
      <c r="L854"/>
      <c r="M854"/>
      <c r="N854"/>
      <c r="O854"/>
      <c r="Q854"/>
    </row>
    <row r="855" spans="2:17" ht="18" customHeight="1" x14ac:dyDescent="0.25">
      <c r="B855" s="24"/>
      <c r="C855" s="66"/>
      <c r="D855" s="24"/>
      <c r="E855" s="24"/>
      <c r="F855" s="24"/>
      <c r="G855" s="24"/>
      <c r="H855" s="24"/>
      <c r="I855"/>
      <c r="J855"/>
      <c r="K855"/>
      <c r="L855"/>
      <c r="M855"/>
      <c r="N855"/>
      <c r="O855"/>
      <c r="Q855"/>
    </row>
    <row r="856" spans="2:17" ht="18" customHeight="1" x14ac:dyDescent="0.25">
      <c r="B856" s="19" t="s">
        <v>33</v>
      </c>
      <c r="C856" s="66"/>
      <c r="D856" s="24"/>
      <c r="E856" s="24"/>
      <c r="F856" s="24"/>
      <c r="G856" s="24"/>
      <c r="H856" s="24"/>
      <c r="I856"/>
      <c r="J856"/>
      <c r="K856"/>
      <c r="L856"/>
      <c r="M856"/>
      <c r="N856"/>
      <c r="O856"/>
      <c r="Q856"/>
    </row>
    <row r="857" spans="2:17" ht="18" customHeight="1" x14ac:dyDescent="0.25">
      <c r="C857" s="56"/>
      <c r="D857"/>
      <c r="E857"/>
      <c r="F857"/>
      <c r="G857"/>
      <c r="H857"/>
      <c r="I857"/>
      <c r="J857"/>
      <c r="K857"/>
      <c r="L857"/>
      <c r="M857"/>
      <c r="N857"/>
      <c r="O857"/>
      <c r="Q857"/>
    </row>
    <row r="858" spans="2:17" ht="18" customHeight="1" x14ac:dyDescent="0.25">
      <c r="C858" s="56"/>
      <c r="D858"/>
      <c r="E858"/>
      <c r="F858"/>
      <c r="G858"/>
      <c r="H858"/>
      <c r="I858"/>
      <c r="J858"/>
      <c r="K858"/>
      <c r="L858"/>
      <c r="M858"/>
      <c r="N858"/>
      <c r="O858"/>
      <c r="Q858"/>
    </row>
    <row r="859" spans="2:17" ht="18" customHeight="1" x14ac:dyDescent="0.25">
      <c r="C859" s="56"/>
      <c r="D859"/>
      <c r="E859"/>
      <c r="F859"/>
      <c r="G859"/>
      <c r="H859"/>
      <c r="I859"/>
      <c r="J859"/>
      <c r="K859"/>
      <c r="L859"/>
      <c r="M859"/>
      <c r="N859"/>
      <c r="O859"/>
      <c r="Q859"/>
    </row>
    <row r="860" spans="2:17" ht="18" customHeight="1" x14ac:dyDescent="0.25">
      <c r="C860" s="56"/>
      <c r="D860"/>
      <c r="E860"/>
      <c r="F860"/>
      <c r="G860"/>
      <c r="H860"/>
      <c r="I860"/>
      <c r="J860"/>
      <c r="K860"/>
      <c r="L860"/>
      <c r="M860"/>
      <c r="N860"/>
      <c r="O860"/>
      <c r="Q860"/>
    </row>
    <row r="861" spans="2:17" ht="18" customHeight="1" x14ac:dyDescent="0.25">
      <c r="B861" s="31" t="s">
        <v>0</v>
      </c>
      <c r="C861" s="66" t="s">
        <v>173</v>
      </c>
      <c r="D861" s="24"/>
      <c r="E861" s="24"/>
      <c r="F861" s="24"/>
      <c r="G861" s="24"/>
      <c r="H861" s="24"/>
      <c r="I861"/>
      <c r="J861"/>
      <c r="K861"/>
      <c r="L861"/>
      <c r="M861"/>
      <c r="N861"/>
      <c r="O861"/>
      <c r="Q861"/>
    </row>
    <row r="862" spans="2:17" ht="18" customHeight="1" x14ac:dyDescent="0.25">
      <c r="B862" s="36" t="s">
        <v>3</v>
      </c>
      <c r="C862" s="66">
        <v>2</v>
      </c>
      <c r="D862" s="24"/>
      <c r="E862" s="24"/>
      <c r="F862" s="24"/>
      <c r="G862" s="24"/>
      <c r="H862" s="24"/>
      <c r="I862"/>
      <c r="J862"/>
      <c r="K862"/>
      <c r="L862"/>
      <c r="M862"/>
      <c r="N862"/>
      <c r="O862"/>
      <c r="Q862"/>
    </row>
    <row r="863" spans="2:17" ht="18" customHeight="1" x14ac:dyDescent="0.25">
      <c r="B863" s="36"/>
      <c r="C863" s="66"/>
      <c r="D863" s="24"/>
      <c r="E863" s="24"/>
      <c r="F863" s="24"/>
      <c r="G863" s="24"/>
      <c r="H863" s="24"/>
      <c r="I863"/>
      <c r="J863"/>
      <c r="K863"/>
      <c r="L863"/>
      <c r="M863"/>
      <c r="N863"/>
      <c r="O863"/>
      <c r="Q863"/>
    </row>
    <row r="864" spans="2:17" ht="18" customHeight="1" x14ac:dyDescent="0.25">
      <c r="B864" s="36" t="s">
        <v>6</v>
      </c>
      <c r="C864" s="70">
        <v>39161</v>
      </c>
      <c r="D864" s="27"/>
      <c r="E864" s="24"/>
      <c r="F864" s="24"/>
      <c r="G864" s="24"/>
      <c r="H864" s="24"/>
      <c r="I864"/>
      <c r="J864"/>
      <c r="K864"/>
      <c r="L864"/>
      <c r="M864"/>
      <c r="N864"/>
      <c r="O864"/>
      <c r="Q864"/>
    </row>
    <row r="865" spans="2:17" ht="18" customHeight="1" x14ac:dyDescent="0.25">
      <c r="B865" s="37" t="s">
        <v>9</v>
      </c>
      <c r="C865" s="67">
        <v>40834</v>
      </c>
      <c r="D865" s="23">
        <v>41016</v>
      </c>
      <c r="E865" s="27">
        <v>41128</v>
      </c>
      <c r="F865" s="27">
        <v>41331</v>
      </c>
      <c r="G865" s="27">
        <v>41528</v>
      </c>
      <c r="H865" s="27">
        <v>41709</v>
      </c>
      <c r="I865" s="25">
        <v>41532</v>
      </c>
      <c r="J865" s="25">
        <v>42131</v>
      </c>
      <c r="K865" s="27">
        <v>42201</v>
      </c>
      <c r="L865"/>
      <c r="M865"/>
      <c r="N865"/>
      <c r="O865"/>
      <c r="Q865"/>
    </row>
    <row r="866" spans="2:17" ht="18" customHeight="1" x14ac:dyDescent="0.25">
      <c r="B866" s="37" t="s">
        <v>8</v>
      </c>
      <c r="C866" s="66"/>
      <c r="D866" s="24"/>
      <c r="E866" s="24"/>
      <c r="F866" s="24"/>
      <c r="G866" s="24"/>
      <c r="H866" s="24"/>
      <c r="I866"/>
      <c r="J866" s="4"/>
      <c r="K866" s="24"/>
      <c r="L866"/>
      <c r="M866"/>
      <c r="N866"/>
      <c r="O866"/>
      <c r="Q866"/>
    </row>
    <row r="867" spans="2:17" ht="18" customHeight="1" x14ac:dyDescent="0.25">
      <c r="B867" s="38" t="s">
        <v>11</v>
      </c>
      <c r="C867" s="66">
        <v>5.47</v>
      </c>
      <c r="D867" s="40">
        <v>5.29</v>
      </c>
      <c r="E867" s="40">
        <v>5.23</v>
      </c>
      <c r="F867" s="24">
        <v>5.17</v>
      </c>
      <c r="G867" s="24">
        <v>5.16</v>
      </c>
      <c r="H867" s="24">
        <v>5.14</v>
      </c>
      <c r="I867" s="4">
        <v>5.1100000000000003</v>
      </c>
      <c r="J867" s="4">
        <v>4.8099999999999996</v>
      </c>
      <c r="K867" s="24">
        <v>4.66</v>
      </c>
      <c r="L867"/>
      <c r="M867"/>
      <c r="N867"/>
      <c r="O867"/>
      <c r="Q867"/>
    </row>
    <row r="868" spans="2:17" ht="18" customHeight="1" x14ac:dyDescent="0.25">
      <c r="B868" s="38" t="s">
        <v>12</v>
      </c>
      <c r="C868" s="66">
        <v>1</v>
      </c>
      <c r="D868" s="24">
        <v>0</v>
      </c>
      <c r="E868" s="24">
        <v>0</v>
      </c>
      <c r="F868" s="24">
        <v>0</v>
      </c>
      <c r="G868" s="24">
        <v>0</v>
      </c>
      <c r="H868" s="24">
        <v>0</v>
      </c>
      <c r="I868" s="4">
        <v>0</v>
      </c>
      <c r="J868" s="24">
        <v>0</v>
      </c>
      <c r="K868" s="24">
        <v>0</v>
      </c>
      <c r="L868"/>
      <c r="M868"/>
      <c r="N868"/>
      <c r="O868"/>
      <c r="Q868"/>
    </row>
    <row r="869" spans="2:17" ht="18" customHeight="1" x14ac:dyDescent="0.25">
      <c r="B869" s="38" t="s">
        <v>13</v>
      </c>
      <c r="C869" s="66">
        <v>0</v>
      </c>
      <c r="D869" s="24">
        <v>0</v>
      </c>
      <c r="E869" s="24">
        <v>0</v>
      </c>
      <c r="F869" s="24">
        <v>0</v>
      </c>
      <c r="G869" s="24">
        <v>0</v>
      </c>
      <c r="H869" s="24">
        <v>0</v>
      </c>
      <c r="I869" s="4">
        <v>0</v>
      </c>
      <c r="J869" s="24">
        <v>0</v>
      </c>
      <c r="K869" s="24">
        <v>0</v>
      </c>
      <c r="L869"/>
      <c r="M869"/>
      <c r="N869"/>
      <c r="O869"/>
      <c r="Q869"/>
    </row>
    <row r="870" spans="2:17" ht="18" customHeight="1" x14ac:dyDescent="0.25">
      <c r="B870" s="38" t="s">
        <v>14</v>
      </c>
      <c r="C870" s="66"/>
      <c r="D870" s="24"/>
      <c r="E870" s="24"/>
      <c r="F870" s="24"/>
      <c r="G870" s="24"/>
      <c r="H870" s="24"/>
      <c r="I870"/>
      <c r="J870" s="4"/>
      <c r="K870" s="24"/>
      <c r="L870"/>
      <c r="M870"/>
      <c r="N870"/>
      <c r="O870"/>
      <c r="Q870"/>
    </row>
    <row r="871" spans="2:17" ht="18" customHeight="1" x14ac:dyDescent="0.25">
      <c r="B871" s="36" t="s">
        <v>41</v>
      </c>
      <c r="C871" s="66" t="s">
        <v>42</v>
      </c>
      <c r="D871" s="24" t="s">
        <v>46</v>
      </c>
      <c r="E871" s="41" t="s">
        <v>42</v>
      </c>
      <c r="F871" s="41" t="s">
        <v>42</v>
      </c>
      <c r="G871" s="24" t="s">
        <v>42</v>
      </c>
      <c r="H871" s="24" t="s">
        <v>42</v>
      </c>
      <c r="I871" s="24" t="s">
        <v>42</v>
      </c>
      <c r="J871" s="4" t="s">
        <v>77</v>
      </c>
      <c r="K871" s="24" t="s">
        <v>77</v>
      </c>
      <c r="L871"/>
      <c r="M871"/>
      <c r="N871"/>
      <c r="O871"/>
      <c r="Q871"/>
    </row>
    <row r="872" spans="2:17" ht="18" customHeight="1" x14ac:dyDescent="0.25">
      <c r="B872" s="37" t="s">
        <v>15</v>
      </c>
      <c r="C872" s="66"/>
      <c r="D872" s="24"/>
      <c r="E872" s="24"/>
      <c r="F872" s="24"/>
      <c r="G872" s="24"/>
      <c r="H872" s="24"/>
      <c r="I872"/>
      <c r="J872" s="4"/>
      <c r="K872" s="24"/>
      <c r="L872"/>
      <c r="M872"/>
      <c r="N872"/>
      <c r="O872"/>
      <c r="Q872"/>
    </row>
    <row r="873" spans="2:17" ht="18" customHeight="1" x14ac:dyDescent="0.25">
      <c r="B873" s="38" t="s">
        <v>17</v>
      </c>
      <c r="C873" s="66" t="s">
        <v>67</v>
      </c>
      <c r="D873" s="24" t="s">
        <v>67</v>
      </c>
      <c r="E873" s="24" t="s">
        <v>67</v>
      </c>
      <c r="F873" s="24" t="s">
        <v>67</v>
      </c>
      <c r="G873" s="24" t="s">
        <v>110</v>
      </c>
      <c r="H873" s="24" t="s">
        <v>110</v>
      </c>
      <c r="I873" s="24" t="s">
        <v>110</v>
      </c>
      <c r="J873" s="24" t="s">
        <v>110</v>
      </c>
      <c r="K873" s="24" t="s">
        <v>110</v>
      </c>
      <c r="L873"/>
      <c r="M873"/>
      <c r="N873"/>
      <c r="O873"/>
      <c r="Q873"/>
    </row>
    <row r="874" spans="2:17" ht="18" customHeight="1" x14ac:dyDescent="0.25">
      <c r="B874" s="38" t="s">
        <v>18</v>
      </c>
      <c r="C874" s="66" t="s">
        <v>69</v>
      </c>
      <c r="D874" s="24" t="s">
        <v>69</v>
      </c>
      <c r="E874" s="24" t="s">
        <v>69</v>
      </c>
      <c r="F874" s="24" t="s">
        <v>69</v>
      </c>
      <c r="G874" s="24" t="s">
        <v>69</v>
      </c>
      <c r="H874" s="24" t="s">
        <v>69</v>
      </c>
      <c r="I874" s="24" t="s">
        <v>69</v>
      </c>
      <c r="J874" s="24" t="s">
        <v>69</v>
      </c>
      <c r="K874" s="24" t="s">
        <v>69</v>
      </c>
      <c r="L874"/>
      <c r="M874"/>
      <c r="N874"/>
      <c r="O874"/>
      <c r="Q874"/>
    </row>
    <row r="875" spans="2:17" ht="18" customHeight="1" x14ac:dyDescent="0.25">
      <c r="B875" s="24"/>
      <c r="C875" s="66"/>
      <c r="D875" s="24"/>
      <c r="E875" s="24"/>
      <c r="F875" s="24"/>
      <c r="G875" s="24"/>
      <c r="H875" s="24"/>
      <c r="I875" s="24"/>
      <c r="J875"/>
      <c r="K875" s="24"/>
      <c r="L875"/>
      <c r="M875"/>
      <c r="N875"/>
      <c r="O875"/>
      <c r="Q875"/>
    </row>
    <row r="876" spans="2:17" ht="18" customHeight="1" x14ac:dyDescent="0.25">
      <c r="B876" s="31" t="s">
        <v>19</v>
      </c>
      <c r="C876" s="66">
        <v>2.5</v>
      </c>
      <c r="D876" s="24">
        <v>2.5</v>
      </c>
      <c r="E876" s="24">
        <v>2.5</v>
      </c>
      <c r="F876" s="24">
        <v>2.5</v>
      </c>
      <c r="G876" s="24">
        <v>2.5</v>
      </c>
      <c r="H876" s="24">
        <v>2.5</v>
      </c>
      <c r="I876" s="24">
        <v>2.5</v>
      </c>
      <c r="J876" s="24">
        <v>2</v>
      </c>
      <c r="K876" s="24">
        <v>2</v>
      </c>
      <c r="L876"/>
      <c r="M876"/>
      <c r="N876"/>
      <c r="O876"/>
      <c r="Q876"/>
    </row>
    <row r="877" spans="2:17" ht="18" customHeight="1" x14ac:dyDescent="0.25">
      <c r="B877" s="38" t="s">
        <v>20</v>
      </c>
      <c r="C877" s="66">
        <v>0.35</v>
      </c>
      <c r="D877" s="24">
        <v>0.35</v>
      </c>
      <c r="E877" s="24">
        <v>0.35</v>
      </c>
      <c r="F877" s="24">
        <v>0.35</v>
      </c>
      <c r="G877" s="24">
        <v>0.35</v>
      </c>
      <c r="H877" s="24">
        <v>0.35</v>
      </c>
      <c r="I877" s="24">
        <v>0.35</v>
      </c>
      <c r="J877" s="24">
        <v>0.35</v>
      </c>
      <c r="K877" s="24">
        <v>0.35</v>
      </c>
      <c r="L877"/>
      <c r="M877"/>
      <c r="N877"/>
      <c r="O877"/>
      <c r="Q877"/>
    </row>
    <row r="878" spans="2:17" ht="18" customHeight="1" x14ac:dyDescent="0.25">
      <c r="B878" s="38" t="s">
        <v>21</v>
      </c>
      <c r="C878" s="66">
        <v>3</v>
      </c>
      <c r="D878" s="24">
        <v>3</v>
      </c>
      <c r="E878" s="24">
        <v>3</v>
      </c>
      <c r="F878" s="24">
        <v>3</v>
      </c>
      <c r="G878" s="24">
        <v>3</v>
      </c>
      <c r="H878" s="24">
        <v>3</v>
      </c>
      <c r="I878" s="24">
        <v>3</v>
      </c>
      <c r="J878" s="24">
        <v>2.5</v>
      </c>
      <c r="K878" s="24">
        <v>2.5</v>
      </c>
      <c r="L878"/>
      <c r="M878"/>
      <c r="N878"/>
      <c r="O878"/>
      <c r="Q878"/>
    </row>
    <row r="879" spans="2:17" ht="18" customHeight="1" x14ac:dyDescent="0.25">
      <c r="B879" s="38" t="s">
        <v>22</v>
      </c>
      <c r="C879" s="66">
        <v>0.35</v>
      </c>
      <c r="D879" s="24">
        <v>0.35</v>
      </c>
      <c r="E879" s="24">
        <v>0.35</v>
      </c>
      <c r="F879" s="24">
        <v>0.35</v>
      </c>
      <c r="G879" s="24">
        <v>0.35</v>
      </c>
      <c r="H879" s="24">
        <v>0.35</v>
      </c>
      <c r="I879" s="24">
        <v>0.35</v>
      </c>
      <c r="J879" s="24">
        <v>0.35</v>
      </c>
      <c r="K879" s="24">
        <v>0.35</v>
      </c>
      <c r="L879"/>
      <c r="M879"/>
      <c r="N879"/>
      <c r="O879"/>
      <c r="Q879"/>
    </row>
    <row r="880" spans="2:17" ht="18" customHeight="1" x14ac:dyDescent="0.25">
      <c r="B880" s="38" t="s">
        <v>23</v>
      </c>
      <c r="C880" s="66"/>
      <c r="D880" s="24"/>
      <c r="E880" s="24"/>
      <c r="F880" s="24"/>
      <c r="G880" s="24"/>
      <c r="H880" s="24"/>
      <c r="I880" s="24"/>
      <c r="J880"/>
      <c r="K880"/>
      <c r="L880" s="24"/>
      <c r="M880"/>
      <c r="N880"/>
      <c r="O880"/>
      <c r="Q880"/>
    </row>
    <row r="881" spans="2:17" ht="18" customHeight="1" x14ac:dyDescent="0.25">
      <c r="B881" s="38" t="s">
        <v>24</v>
      </c>
      <c r="C881" s="66"/>
      <c r="D881" s="24"/>
      <c r="E881" s="24"/>
      <c r="F881" s="24"/>
      <c r="G881" s="24"/>
      <c r="H881" s="24"/>
      <c r="I881"/>
      <c r="J881"/>
      <c r="K881"/>
      <c r="L881" s="24"/>
      <c r="M881"/>
      <c r="N881"/>
      <c r="O881"/>
      <c r="Q881"/>
    </row>
    <row r="882" spans="2:17" ht="18" customHeight="1" x14ac:dyDescent="0.25">
      <c r="B882" s="24"/>
      <c r="C882" s="66"/>
      <c r="D882" s="24"/>
      <c r="E882" s="24"/>
      <c r="F882" s="24"/>
      <c r="G882" s="24"/>
      <c r="H882" s="24"/>
      <c r="I882"/>
      <c r="J882"/>
      <c r="K882"/>
      <c r="L882"/>
      <c r="M882"/>
      <c r="N882"/>
      <c r="O882"/>
      <c r="Q882"/>
    </row>
    <row r="883" spans="2:17" ht="18" customHeight="1" x14ac:dyDescent="0.25">
      <c r="B883" s="19" t="s">
        <v>33</v>
      </c>
      <c r="C883" s="66"/>
      <c r="D883" s="24"/>
      <c r="E883" s="24"/>
      <c r="F883" s="24"/>
      <c r="G883" s="24"/>
      <c r="H883" s="24"/>
      <c r="I883"/>
      <c r="J883"/>
      <c r="K883"/>
      <c r="L883"/>
      <c r="M883"/>
      <c r="N883"/>
      <c r="O883"/>
      <c r="Q883"/>
    </row>
    <row r="884" spans="2:17" ht="18" customHeight="1" x14ac:dyDescent="0.25">
      <c r="C884" s="56"/>
      <c r="D884"/>
      <c r="E884"/>
      <c r="F884"/>
      <c r="G884"/>
      <c r="H884"/>
      <c r="I884"/>
      <c r="J884"/>
      <c r="K884"/>
      <c r="L884"/>
      <c r="M884"/>
      <c r="N884"/>
      <c r="O884"/>
      <c r="Q884"/>
    </row>
    <row r="885" spans="2:17" ht="18" customHeight="1" x14ac:dyDescent="0.25">
      <c r="C885" s="56"/>
      <c r="D885"/>
      <c r="E885"/>
      <c r="F885"/>
      <c r="G885"/>
      <c r="H885"/>
      <c r="I885"/>
      <c r="J885"/>
      <c r="K885"/>
      <c r="L885"/>
      <c r="M885"/>
      <c r="N885"/>
      <c r="O885"/>
      <c r="Q885"/>
    </row>
    <row r="886" spans="2:17" ht="18" customHeight="1" x14ac:dyDescent="0.25">
      <c r="C886" s="56"/>
      <c r="D886"/>
      <c r="E886"/>
      <c r="F886"/>
      <c r="G886"/>
      <c r="H886"/>
      <c r="I886"/>
      <c r="J886"/>
      <c r="K886"/>
      <c r="L886"/>
      <c r="M886"/>
      <c r="N886"/>
      <c r="O886"/>
      <c r="Q886"/>
    </row>
    <row r="887" spans="2:17" ht="18" customHeight="1" x14ac:dyDescent="0.25">
      <c r="B887" s="31" t="s">
        <v>0</v>
      </c>
      <c r="C887" s="66" t="s">
        <v>174</v>
      </c>
      <c r="D887" s="24"/>
      <c r="E887" s="24"/>
      <c r="F887" s="24"/>
      <c r="G887"/>
      <c r="H887"/>
      <c r="I887"/>
      <c r="J887"/>
      <c r="K887"/>
      <c r="L887"/>
      <c r="M887"/>
      <c r="N887"/>
      <c r="O887"/>
      <c r="Q887"/>
    </row>
    <row r="888" spans="2:17" ht="18" customHeight="1" x14ac:dyDescent="0.25">
      <c r="B888" s="36" t="s">
        <v>3</v>
      </c>
      <c r="C888" s="66">
        <v>2</v>
      </c>
      <c r="D888" s="24"/>
      <c r="E888" s="24"/>
      <c r="F888" s="24"/>
      <c r="G888"/>
      <c r="H888"/>
      <c r="I888"/>
      <c r="J888"/>
      <c r="K888"/>
      <c r="L888"/>
      <c r="M888"/>
      <c r="N888"/>
      <c r="O888"/>
      <c r="Q888"/>
    </row>
    <row r="889" spans="2:17" ht="18" customHeight="1" x14ac:dyDescent="0.25">
      <c r="B889" s="36"/>
      <c r="C889" s="66"/>
      <c r="D889" s="24"/>
      <c r="E889" s="24"/>
      <c r="F889" s="24"/>
      <c r="G889"/>
      <c r="H889"/>
      <c r="I889"/>
      <c r="J889"/>
      <c r="K889"/>
      <c r="L889"/>
      <c r="M889"/>
      <c r="N889"/>
      <c r="O889"/>
      <c r="Q889"/>
    </row>
    <row r="890" spans="2:17" ht="18" customHeight="1" x14ac:dyDescent="0.25">
      <c r="B890" s="36" t="s">
        <v>6</v>
      </c>
      <c r="C890" s="70">
        <v>39730</v>
      </c>
      <c r="D890" s="27"/>
      <c r="E890" s="24"/>
      <c r="F890" s="24"/>
      <c r="G890"/>
      <c r="H890"/>
      <c r="I890"/>
      <c r="J890"/>
      <c r="K890"/>
      <c r="L890"/>
      <c r="M890"/>
      <c r="N890"/>
      <c r="O890"/>
      <c r="Q890"/>
    </row>
    <row r="891" spans="2:17" ht="18" customHeight="1" x14ac:dyDescent="0.25">
      <c r="B891" s="37" t="s">
        <v>9</v>
      </c>
      <c r="C891" s="67">
        <v>40744</v>
      </c>
      <c r="D891" s="23">
        <v>40952</v>
      </c>
      <c r="E891" s="27">
        <v>41345</v>
      </c>
      <c r="F891" s="27">
        <v>41541</v>
      </c>
      <c r="G891" s="25">
        <v>41659</v>
      </c>
      <c r="H891" s="25">
        <v>41799</v>
      </c>
      <c r="I891" s="25">
        <v>41925</v>
      </c>
      <c r="J891" s="27">
        <v>42108</v>
      </c>
      <c r="K891"/>
      <c r="L891"/>
      <c r="M891"/>
      <c r="N891"/>
      <c r="O891"/>
      <c r="Q891"/>
    </row>
    <row r="892" spans="2:17" ht="18" customHeight="1" x14ac:dyDescent="0.25">
      <c r="B892" s="37" t="s">
        <v>8</v>
      </c>
      <c r="C892" s="66"/>
      <c r="D892" s="24"/>
      <c r="E892" s="24"/>
      <c r="F892" s="24"/>
      <c r="G892"/>
      <c r="H892"/>
      <c r="I892"/>
      <c r="J892"/>
      <c r="K892"/>
      <c r="L892"/>
      <c r="M892"/>
      <c r="N892"/>
      <c r="O892"/>
      <c r="Q892"/>
    </row>
    <row r="893" spans="2:17" ht="18" customHeight="1" x14ac:dyDescent="0.25">
      <c r="B893" s="38" t="s">
        <v>11</v>
      </c>
      <c r="C893" s="66">
        <v>6.09</v>
      </c>
      <c r="D893" s="40">
        <v>5.89</v>
      </c>
      <c r="E893" s="40">
        <v>5.3</v>
      </c>
      <c r="F893" s="24">
        <v>5.2</v>
      </c>
      <c r="G893" s="4">
        <v>5.17</v>
      </c>
      <c r="H893" s="4">
        <v>5.15</v>
      </c>
      <c r="I893" s="4">
        <v>5.14</v>
      </c>
      <c r="J893" s="24">
        <v>5.13</v>
      </c>
      <c r="K893"/>
      <c r="L893"/>
      <c r="M893"/>
      <c r="N893"/>
      <c r="O893"/>
      <c r="Q893"/>
    </row>
    <row r="894" spans="2:17" ht="18" customHeight="1" x14ac:dyDescent="0.25">
      <c r="B894" s="38" t="s">
        <v>12</v>
      </c>
      <c r="C894" s="66">
        <v>5</v>
      </c>
      <c r="D894" s="24">
        <v>5</v>
      </c>
      <c r="E894" s="24">
        <v>0</v>
      </c>
      <c r="F894" s="24">
        <v>0</v>
      </c>
      <c r="G894" s="4">
        <v>2</v>
      </c>
      <c r="H894" s="4">
        <v>0</v>
      </c>
      <c r="I894" s="4">
        <v>0</v>
      </c>
      <c r="J894" s="24">
        <v>0</v>
      </c>
      <c r="K894"/>
      <c r="L894"/>
      <c r="M894"/>
      <c r="N894"/>
      <c r="O894"/>
      <c r="Q894"/>
    </row>
    <row r="895" spans="2:17" ht="18" customHeight="1" x14ac:dyDescent="0.25">
      <c r="B895" s="38" t="s">
        <v>13</v>
      </c>
      <c r="C895" s="66">
        <v>0</v>
      </c>
      <c r="D895" s="24">
        <v>0</v>
      </c>
      <c r="E895" s="24">
        <v>0</v>
      </c>
      <c r="F895" s="24">
        <v>0</v>
      </c>
      <c r="G895" s="4">
        <v>0</v>
      </c>
      <c r="H895" s="4">
        <v>0</v>
      </c>
      <c r="I895" s="4">
        <v>0</v>
      </c>
      <c r="J895" s="24">
        <v>0</v>
      </c>
      <c r="K895"/>
      <c r="L895"/>
      <c r="M895"/>
      <c r="N895"/>
      <c r="O895"/>
      <c r="Q895"/>
    </row>
    <row r="896" spans="2:17" ht="18" customHeight="1" x14ac:dyDescent="0.25">
      <c r="B896" s="38" t="s">
        <v>14</v>
      </c>
      <c r="C896" s="66"/>
      <c r="D896" s="24"/>
      <c r="E896" s="24"/>
      <c r="F896" s="24"/>
      <c r="G896"/>
      <c r="H896"/>
      <c r="I896"/>
      <c r="J896"/>
      <c r="K896"/>
      <c r="L896"/>
      <c r="M896"/>
      <c r="N896"/>
      <c r="O896"/>
      <c r="Q896"/>
    </row>
    <row r="897" spans="2:17" ht="18" customHeight="1" x14ac:dyDescent="0.25">
      <c r="B897" s="36" t="s">
        <v>41</v>
      </c>
      <c r="C897" s="66" t="s">
        <v>42</v>
      </c>
      <c r="D897" s="24" t="s">
        <v>42</v>
      </c>
      <c r="E897" s="41" t="s">
        <v>42</v>
      </c>
      <c r="F897" s="41" t="s">
        <v>42</v>
      </c>
      <c r="G897" s="24" t="s">
        <v>42</v>
      </c>
      <c r="H897" s="24" t="s">
        <v>42</v>
      </c>
      <c r="I897" s="24" t="s">
        <v>42</v>
      </c>
      <c r="J897" s="24" t="s">
        <v>42</v>
      </c>
      <c r="K897"/>
      <c r="L897"/>
      <c r="M897"/>
      <c r="N897"/>
      <c r="O897"/>
      <c r="Q897"/>
    </row>
    <row r="898" spans="2:17" ht="18" customHeight="1" x14ac:dyDescent="0.25">
      <c r="B898" s="37" t="s">
        <v>15</v>
      </c>
      <c r="C898" s="66"/>
      <c r="D898" s="24"/>
      <c r="E898" s="24"/>
      <c r="F898" s="24"/>
      <c r="G898"/>
      <c r="H898"/>
      <c r="I898"/>
      <c r="J898"/>
      <c r="K898"/>
      <c r="L898"/>
      <c r="M898"/>
      <c r="N898"/>
      <c r="O898"/>
      <c r="Q898"/>
    </row>
    <row r="899" spans="2:17" ht="18" customHeight="1" x14ac:dyDescent="0.25">
      <c r="B899" s="38" t="s">
        <v>17</v>
      </c>
      <c r="C899" s="66" t="s">
        <v>67</v>
      </c>
      <c r="D899" s="24" t="s">
        <v>67</v>
      </c>
      <c r="E899" s="24" t="s">
        <v>67</v>
      </c>
      <c r="F899" s="24" t="s">
        <v>67</v>
      </c>
      <c r="G899" s="24" t="s">
        <v>67</v>
      </c>
      <c r="H899" s="24" t="s">
        <v>67</v>
      </c>
      <c r="I899" s="24" t="s">
        <v>67</v>
      </c>
      <c r="J899" s="24" t="s">
        <v>110</v>
      </c>
      <c r="K899"/>
      <c r="L899"/>
      <c r="M899"/>
      <c r="N899"/>
      <c r="O899"/>
      <c r="Q899"/>
    </row>
    <row r="900" spans="2:17" ht="18" customHeight="1" x14ac:dyDescent="0.25">
      <c r="B900" s="38" t="s">
        <v>18</v>
      </c>
      <c r="C900" s="66" t="s">
        <v>69</v>
      </c>
      <c r="D900" s="24" t="s">
        <v>69</v>
      </c>
      <c r="E900" s="24" t="s">
        <v>69</v>
      </c>
      <c r="F900" s="24" t="s">
        <v>69</v>
      </c>
      <c r="G900" s="24" t="s">
        <v>69</v>
      </c>
      <c r="H900" s="24" t="s">
        <v>69</v>
      </c>
      <c r="I900" s="24" t="s">
        <v>69</v>
      </c>
      <c r="J900" s="24" t="s">
        <v>69</v>
      </c>
      <c r="K900"/>
      <c r="L900"/>
      <c r="M900"/>
      <c r="N900"/>
      <c r="O900"/>
      <c r="Q900"/>
    </row>
    <row r="901" spans="2:17" ht="18" customHeight="1" x14ac:dyDescent="0.25">
      <c r="B901" s="24"/>
      <c r="C901" s="66"/>
      <c r="D901" s="24"/>
      <c r="E901" s="24"/>
      <c r="F901" s="24"/>
      <c r="G901" s="24"/>
      <c r="H901" s="24"/>
      <c r="I901" s="24"/>
      <c r="J901"/>
      <c r="K901"/>
      <c r="L901"/>
      <c r="M901"/>
      <c r="N901"/>
      <c r="O901"/>
      <c r="Q901"/>
    </row>
    <row r="902" spans="2:17" ht="18" customHeight="1" x14ac:dyDescent="0.25">
      <c r="B902" s="31" t="s">
        <v>19</v>
      </c>
      <c r="C902" s="66">
        <v>2.5</v>
      </c>
      <c r="D902" s="24">
        <v>2.5</v>
      </c>
      <c r="E902" s="24">
        <v>2.5</v>
      </c>
      <c r="F902" s="24">
        <v>2.5</v>
      </c>
      <c r="G902" s="24">
        <v>2.5</v>
      </c>
      <c r="H902" s="24">
        <v>2.5</v>
      </c>
      <c r="I902" s="24">
        <v>2.5</v>
      </c>
      <c r="J902" s="24">
        <v>2.5</v>
      </c>
      <c r="K902"/>
      <c r="L902"/>
      <c r="M902"/>
      <c r="N902"/>
      <c r="O902"/>
      <c r="Q902"/>
    </row>
    <row r="903" spans="2:17" ht="18" customHeight="1" x14ac:dyDescent="0.25">
      <c r="B903" s="38" t="s">
        <v>20</v>
      </c>
      <c r="C903" s="66">
        <v>0.35</v>
      </c>
      <c r="D903" s="24">
        <v>0.35</v>
      </c>
      <c r="E903" s="24">
        <v>0.35</v>
      </c>
      <c r="F903" s="24">
        <v>0.35</v>
      </c>
      <c r="G903" s="24">
        <v>0.35</v>
      </c>
      <c r="H903" s="24">
        <v>0.35</v>
      </c>
      <c r="I903" s="24">
        <v>0.35</v>
      </c>
      <c r="J903" s="24">
        <v>0.35</v>
      </c>
      <c r="K903"/>
      <c r="L903"/>
      <c r="M903"/>
      <c r="N903"/>
      <c r="O903"/>
      <c r="Q903"/>
    </row>
    <row r="904" spans="2:17" ht="18" customHeight="1" x14ac:dyDescent="0.25">
      <c r="B904" s="38" t="s">
        <v>21</v>
      </c>
      <c r="C904" s="66">
        <v>2.5</v>
      </c>
      <c r="D904" s="24">
        <v>2.5</v>
      </c>
      <c r="E904" s="24">
        <v>2.5</v>
      </c>
      <c r="F904" s="24">
        <v>2.5</v>
      </c>
      <c r="G904" s="24">
        <v>2.5</v>
      </c>
      <c r="H904" s="24">
        <v>2.5</v>
      </c>
      <c r="I904" s="24">
        <v>2.5</v>
      </c>
      <c r="J904" s="24">
        <v>2.5</v>
      </c>
      <c r="K904"/>
      <c r="L904"/>
      <c r="M904"/>
      <c r="N904"/>
      <c r="O904"/>
      <c r="Q904"/>
    </row>
    <row r="905" spans="2:17" ht="18" customHeight="1" x14ac:dyDescent="0.25">
      <c r="B905" s="38" t="s">
        <v>22</v>
      </c>
      <c r="C905" s="66">
        <v>0.35</v>
      </c>
      <c r="D905" s="24">
        <v>0.35</v>
      </c>
      <c r="E905" s="24">
        <v>0.35</v>
      </c>
      <c r="F905" s="24">
        <v>0.35</v>
      </c>
      <c r="G905" s="24">
        <v>0.35</v>
      </c>
      <c r="H905" s="24">
        <v>0.35</v>
      </c>
      <c r="I905" s="24">
        <v>0.35</v>
      </c>
      <c r="J905" s="24">
        <v>0.35</v>
      </c>
      <c r="K905"/>
      <c r="L905"/>
      <c r="M905"/>
      <c r="N905"/>
      <c r="O905"/>
      <c r="Q905"/>
    </row>
    <row r="906" spans="2:17" ht="18" customHeight="1" x14ac:dyDescent="0.25">
      <c r="B906" s="38" t="s">
        <v>23</v>
      </c>
      <c r="C906" s="66"/>
      <c r="D906" s="24"/>
      <c r="E906" s="24"/>
      <c r="F906" s="24"/>
      <c r="G906"/>
      <c r="H906"/>
      <c r="I906"/>
      <c r="J906"/>
      <c r="K906"/>
      <c r="L906"/>
      <c r="M906"/>
      <c r="N906"/>
      <c r="O906"/>
      <c r="Q906"/>
    </row>
    <row r="907" spans="2:17" ht="18" customHeight="1" x14ac:dyDescent="0.25">
      <c r="B907" s="38" t="s">
        <v>24</v>
      </c>
      <c r="C907" s="66"/>
      <c r="D907" s="24"/>
      <c r="E907" s="24"/>
      <c r="F907" s="24"/>
      <c r="G907"/>
      <c r="H907"/>
      <c r="I907"/>
      <c r="J907"/>
      <c r="K907"/>
      <c r="L907"/>
      <c r="M907"/>
      <c r="N907"/>
      <c r="O907"/>
      <c r="Q907"/>
    </row>
    <row r="908" spans="2:17" ht="18" customHeight="1" x14ac:dyDescent="0.25">
      <c r="B908" s="24"/>
      <c r="C908" s="66"/>
      <c r="D908" s="24"/>
      <c r="E908" s="24"/>
      <c r="F908" s="24"/>
      <c r="G908"/>
      <c r="H908"/>
      <c r="I908"/>
      <c r="J908"/>
      <c r="K908"/>
      <c r="L908"/>
      <c r="M908"/>
      <c r="N908"/>
      <c r="O908"/>
      <c r="Q908"/>
    </row>
    <row r="909" spans="2:17" ht="18" customHeight="1" x14ac:dyDescent="0.25">
      <c r="B909" s="19" t="s">
        <v>33</v>
      </c>
      <c r="C909" s="66"/>
      <c r="D909" s="24"/>
      <c r="E909" s="24"/>
      <c r="F909" s="24"/>
      <c r="G909"/>
      <c r="H909"/>
      <c r="I909"/>
      <c r="J909"/>
      <c r="K909"/>
      <c r="L909"/>
      <c r="M909"/>
      <c r="N909"/>
      <c r="O909"/>
      <c r="Q909"/>
    </row>
    <row r="910" spans="2:17" ht="18" customHeight="1" x14ac:dyDescent="0.25">
      <c r="C910" s="56"/>
      <c r="D910"/>
      <c r="E910"/>
      <c r="F910"/>
      <c r="G910"/>
      <c r="H910"/>
      <c r="I910"/>
      <c r="J910"/>
      <c r="K910"/>
      <c r="L910"/>
      <c r="M910"/>
      <c r="N910"/>
      <c r="O910"/>
      <c r="Q910"/>
    </row>
    <row r="911" spans="2:17" ht="18" customHeight="1" x14ac:dyDescent="0.25">
      <c r="C911" s="56"/>
      <c r="D911"/>
      <c r="E911"/>
      <c r="F911"/>
      <c r="G911"/>
      <c r="H911"/>
      <c r="I911"/>
      <c r="J911"/>
      <c r="K911"/>
      <c r="L911"/>
      <c r="M911"/>
      <c r="N911"/>
      <c r="O911"/>
      <c r="Q911"/>
    </row>
    <row r="912" spans="2:17" ht="18" customHeight="1" x14ac:dyDescent="0.25">
      <c r="C912" s="56"/>
      <c r="D912"/>
      <c r="E912"/>
      <c r="F912"/>
      <c r="G912"/>
      <c r="H912"/>
      <c r="I912"/>
      <c r="J912"/>
      <c r="K912"/>
      <c r="L912"/>
      <c r="M912"/>
      <c r="N912"/>
      <c r="O912"/>
      <c r="Q912"/>
    </row>
    <row r="913" spans="2:17" ht="18" customHeight="1" x14ac:dyDescent="0.25">
      <c r="C913" s="56"/>
      <c r="D913"/>
      <c r="E913"/>
      <c r="F913"/>
      <c r="G913"/>
      <c r="H913"/>
      <c r="I913"/>
      <c r="J913"/>
      <c r="K913"/>
      <c r="L913"/>
      <c r="M913"/>
      <c r="N913"/>
      <c r="O913"/>
      <c r="Q913"/>
    </row>
    <row r="914" spans="2:17" ht="18" customHeight="1" x14ac:dyDescent="0.25">
      <c r="B914" s="31" t="s">
        <v>0</v>
      </c>
      <c r="C914" s="66" t="s">
        <v>175</v>
      </c>
      <c r="D914" s="24"/>
      <c r="E914" s="24"/>
      <c r="F914" s="24"/>
      <c r="G914"/>
      <c r="H914"/>
      <c r="I914"/>
      <c r="J914"/>
      <c r="K914"/>
      <c r="L914"/>
      <c r="M914"/>
      <c r="N914"/>
      <c r="O914"/>
      <c r="Q914"/>
    </row>
    <row r="915" spans="2:17" ht="18" customHeight="1" x14ac:dyDescent="0.25">
      <c r="B915" s="36" t="s">
        <v>3</v>
      </c>
      <c r="C915" s="66">
        <v>2</v>
      </c>
      <c r="D915" s="24"/>
      <c r="E915" s="24"/>
      <c r="F915" s="24"/>
      <c r="G915"/>
      <c r="H915"/>
      <c r="I915"/>
      <c r="J915"/>
      <c r="K915"/>
      <c r="L915"/>
      <c r="M915"/>
      <c r="N915"/>
      <c r="O915"/>
      <c r="Q915"/>
    </row>
    <row r="916" spans="2:17" ht="18" customHeight="1" x14ac:dyDescent="0.25">
      <c r="B916" s="36"/>
      <c r="C916" s="66"/>
      <c r="D916" s="24"/>
      <c r="E916" s="24"/>
      <c r="F916" s="24"/>
      <c r="G916"/>
      <c r="H916"/>
      <c r="I916"/>
      <c r="J916"/>
      <c r="K916"/>
      <c r="L916"/>
      <c r="M916"/>
      <c r="N916"/>
      <c r="O916"/>
      <c r="Q916"/>
    </row>
    <row r="917" spans="2:17" ht="18" customHeight="1" x14ac:dyDescent="0.25">
      <c r="B917" s="36" t="s">
        <v>6</v>
      </c>
      <c r="C917" s="70">
        <v>39399</v>
      </c>
      <c r="D917" s="27"/>
      <c r="E917" s="24"/>
      <c r="F917" s="24"/>
      <c r="G917"/>
      <c r="H917"/>
      <c r="I917"/>
      <c r="J917"/>
      <c r="K917"/>
      <c r="L917"/>
      <c r="M917"/>
      <c r="N917"/>
      <c r="O917"/>
      <c r="Q917"/>
    </row>
    <row r="918" spans="2:17" ht="18" customHeight="1" x14ac:dyDescent="0.25">
      <c r="B918" s="37" t="s">
        <v>9</v>
      </c>
      <c r="C918" s="67">
        <v>40701</v>
      </c>
      <c r="D918" s="23">
        <v>40925</v>
      </c>
      <c r="E918" s="27">
        <v>41058</v>
      </c>
      <c r="F918" s="27">
        <v>41162</v>
      </c>
      <c r="G918" s="25">
        <v>41345</v>
      </c>
      <c r="H918" s="25">
        <v>41457</v>
      </c>
      <c r="I918" s="25">
        <v>41554</v>
      </c>
      <c r="J918" s="27">
        <v>41736</v>
      </c>
      <c r="K918" s="25">
        <v>41947</v>
      </c>
      <c r="L918" s="25">
        <v>42059</v>
      </c>
      <c r="M918" s="25">
        <v>42122</v>
      </c>
      <c r="N918" s="25">
        <v>42165</v>
      </c>
      <c r="O918"/>
      <c r="Q918"/>
    </row>
    <row r="919" spans="2:17" ht="18" customHeight="1" x14ac:dyDescent="0.25">
      <c r="B919" s="37" t="s">
        <v>8</v>
      </c>
      <c r="C919" s="66"/>
      <c r="D919" s="24"/>
      <c r="E919" s="24"/>
      <c r="F919" s="24"/>
      <c r="G919"/>
      <c r="H919"/>
      <c r="I919"/>
      <c r="J919"/>
      <c r="K919"/>
      <c r="L919"/>
      <c r="M919"/>
      <c r="N919"/>
      <c r="O919"/>
      <c r="Q919"/>
    </row>
    <row r="920" spans="2:17" ht="18" customHeight="1" x14ac:dyDescent="0.25">
      <c r="B920" s="38" t="s">
        <v>11</v>
      </c>
      <c r="C920" s="66">
        <v>5.86</v>
      </c>
      <c r="D920" s="40">
        <v>5.47</v>
      </c>
      <c r="E920" s="40">
        <v>5.3</v>
      </c>
      <c r="F920" s="24">
        <v>5.22</v>
      </c>
      <c r="G920" s="4">
        <v>5.17</v>
      </c>
      <c r="H920" s="4">
        <v>5.15</v>
      </c>
      <c r="I920" s="4">
        <v>5.15</v>
      </c>
      <c r="J920" s="24">
        <v>5.14</v>
      </c>
      <c r="K920" s="4">
        <v>5.0999999999999996</v>
      </c>
      <c r="L920" s="4">
        <v>5.04</v>
      </c>
      <c r="M920" s="4">
        <v>4.9800000000000004</v>
      </c>
      <c r="N920" s="4">
        <v>4.9000000000000004</v>
      </c>
      <c r="O920"/>
      <c r="Q920"/>
    </row>
    <row r="921" spans="2:17" ht="18" customHeight="1" x14ac:dyDescent="0.25">
      <c r="B921" s="38" t="s">
        <v>12</v>
      </c>
      <c r="C921" s="66">
        <v>39</v>
      </c>
      <c r="D921" s="24">
        <v>41</v>
      </c>
      <c r="E921" s="24">
        <v>35</v>
      </c>
      <c r="F921" s="24">
        <v>46</v>
      </c>
      <c r="G921" s="4">
        <v>44</v>
      </c>
      <c r="H921" s="4">
        <v>39</v>
      </c>
      <c r="I921" s="4">
        <v>45</v>
      </c>
      <c r="J921" s="24">
        <v>33</v>
      </c>
      <c r="K921" s="4">
        <v>44</v>
      </c>
      <c r="L921" s="4">
        <v>39</v>
      </c>
      <c r="M921" s="4">
        <v>41</v>
      </c>
      <c r="N921" s="4">
        <v>44</v>
      </c>
      <c r="O921"/>
      <c r="Q921"/>
    </row>
    <row r="922" spans="2:17" ht="18" customHeight="1" x14ac:dyDescent="0.25">
      <c r="B922" s="38" t="s">
        <v>13</v>
      </c>
      <c r="C922" s="66">
        <v>0</v>
      </c>
      <c r="D922" s="24">
        <v>0</v>
      </c>
      <c r="E922" s="24">
        <v>0</v>
      </c>
      <c r="F922" s="24">
        <v>0</v>
      </c>
      <c r="G922" s="4">
        <v>0</v>
      </c>
      <c r="H922" s="4">
        <v>0</v>
      </c>
      <c r="I922" s="4">
        <v>0</v>
      </c>
      <c r="J922" s="24">
        <v>0</v>
      </c>
      <c r="K922" s="4">
        <v>0</v>
      </c>
      <c r="L922" s="4">
        <v>1</v>
      </c>
      <c r="M922" s="4">
        <v>0</v>
      </c>
      <c r="N922" s="4">
        <v>0</v>
      </c>
      <c r="O922"/>
      <c r="Q922"/>
    </row>
    <row r="923" spans="2:17" ht="18" customHeight="1" x14ac:dyDescent="0.25">
      <c r="B923" s="38" t="s">
        <v>14</v>
      </c>
      <c r="C923" s="66"/>
      <c r="D923" s="24"/>
      <c r="E923" s="24"/>
      <c r="F923" s="24"/>
      <c r="G923"/>
      <c r="H923"/>
      <c r="I923"/>
      <c r="J923"/>
      <c r="K923"/>
      <c r="L923"/>
      <c r="M923"/>
      <c r="N923"/>
      <c r="O923"/>
      <c r="Q923"/>
    </row>
    <row r="924" spans="2:17" ht="18" customHeight="1" x14ac:dyDescent="0.25">
      <c r="B924" s="36" t="s">
        <v>41</v>
      </c>
      <c r="C924" s="66" t="s">
        <v>42</v>
      </c>
      <c r="D924" s="24" t="s">
        <v>46</v>
      </c>
      <c r="E924" s="41" t="s">
        <v>42</v>
      </c>
      <c r="F924" s="24" t="s">
        <v>45</v>
      </c>
      <c r="G924" s="24" t="s">
        <v>46</v>
      </c>
      <c r="H924" s="24" t="s">
        <v>45</v>
      </c>
      <c r="I924" s="24" t="s">
        <v>42</v>
      </c>
      <c r="J924" s="24" t="s">
        <v>46</v>
      </c>
      <c r="K924" s="24" t="s">
        <v>42</v>
      </c>
      <c r="L924" s="4" t="s">
        <v>46</v>
      </c>
      <c r="M924" s="4" t="s">
        <v>46</v>
      </c>
      <c r="N924" s="24" t="s">
        <v>42</v>
      </c>
      <c r="O924"/>
      <c r="Q924"/>
    </row>
    <row r="925" spans="2:17" ht="18" customHeight="1" x14ac:dyDescent="0.25">
      <c r="B925" s="37" t="s">
        <v>15</v>
      </c>
      <c r="C925" s="66"/>
      <c r="D925" s="24"/>
      <c r="E925" s="24"/>
      <c r="F925" s="24"/>
      <c r="G925"/>
      <c r="H925"/>
      <c r="I925"/>
      <c r="J925"/>
      <c r="K925"/>
      <c r="L925"/>
      <c r="M925"/>
      <c r="N925"/>
      <c r="O925"/>
      <c r="Q925"/>
    </row>
    <row r="926" spans="2:17" ht="18" customHeight="1" x14ac:dyDescent="0.25">
      <c r="B926" s="38" t="s">
        <v>17</v>
      </c>
      <c r="C926" s="66" t="s">
        <v>47</v>
      </c>
      <c r="D926" s="24" t="s">
        <v>47</v>
      </c>
      <c r="E926" s="24" t="s">
        <v>47</v>
      </c>
      <c r="F926" s="24" t="s">
        <v>47</v>
      </c>
      <c r="G926" s="24" t="s">
        <v>47</v>
      </c>
      <c r="H926" s="24" t="s">
        <v>47</v>
      </c>
      <c r="I926" s="24" t="s">
        <v>81</v>
      </c>
      <c r="J926" s="24" t="s">
        <v>81</v>
      </c>
      <c r="K926" s="24" t="s">
        <v>81</v>
      </c>
      <c r="L926" s="24" t="s">
        <v>81</v>
      </c>
      <c r="M926" s="24" t="s">
        <v>81</v>
      </c>
      <c r="N926" s="24" t="s">
        <v>81</v>
      </c>
      <c r="O926"/>
      <c r="Q926"/>
    </row>
    <row r="927" spans="2:17" ht="18" customHeight="1" x14ac:dyDescent="0.25">
      <c r="B927" s="38" t="s">
        <v>18</v>
      </c>
      <c r="C927" s="66" t="s">
        <v>69</v>
      </c>
      <c r="D927" s="24" t="s">
        <v>69</v>
      </c>
      <c r="E927" s="24" t="s">
        <v>69</v>
      </c>
      <c r="F927" s="24" t="s">
        <v>69</v>
      </c>
      <c r="G927" s="24" t="s">
        <v>69</v>
      </c>
      <c r="H927" s="24" t="s">
        <v>69</v>
      </c>
      <c r="I927" s="24" t="s">
        <v>69</v>
      </c>
      <c r="J927" s="24" t="s">
        <v>69</v>
      </c>
      <c r="K927" s="24" t="s">
        <v>69</v>
      </c>
      <c r="L927" s="24" t="s">
        <v>69</v>
      </c>
      <c r="M927" s="24" t="s">
        <v>69</v>
      </c>
      <c r="N927" s="24" t="s">
        <v>69</v>
      </c>
      <c r="O927"/>
      <c r="Q927"/>
    </row>
    <row r="928" spans="2:17" ht="18" customHeight="1" x14ac:dyDescent="0.25">
      <c r="B928" s="24"/>
      <c r="C928" s="66"/>
      <c r="D928" s="24"/>
      <c r="E928" s="24"/>
      <c r="F928" s="24"/>
      <c r="G928" s="24"/>
      <c r="H928" s="24"/>
      <c r="I928" s="24"/>
      <c r="J928"/>
      <c r="K928" s="24"/>
      <c r="L928" s="24"/>
      <c r="M928" s="24"/>
      <c r="N928" s="24"/>
      <c r="O928"/>
      <c r="Q928"/>
    </row>
    <row r="929" spans="2:17" ht="18" customHeight="1" x14ac:dyDescent="0.25">
      <c r="B929" s="31" t="s">
        <v>19</v>
      </c>
      <c r="C929" s="66">
        <v>2.5</v>
      </c>
      <c r="D929" s="24">
        <v>2.5</v>
      </c>
      <c r="E929" s="24">
        <v>2.5</v>
      </c>
      <c r="F929" s="24">
        <v>2.5</v>
      </c>
      <c r="G929" s="24">
        <v>2.5</v>
      </c>
      <c r="H929" s="24">
        <v>2.5</v>
      </c>
      <c r="I929" s="24">
        <v>2.5</v>
      </c>
      <c r="J929" s="24">
        <v>2.5</v>
      </c>
      <c r="K929" s="24">
        <v>2.5</v>
      </c>
      <c r="L929" s="24">
        <v>2.5</v>
      </c>
      <c r="M929" s="24">
        <v>2.5</v>
      </c>
      <c r="N929" s="24">
        <v>2.5</v>
      </c>
      <c r="O929"/>
      <c r="Q929"/>
    </row>
    <row r="930" spans="2:17" ht="18" customHeight="1" x14ac:dyDescent="0.25">
      <c r="B930" s="38" t="s">
        <v>20</v>
      </c>
      <c r="C930" s="66">
        <v>0.35</v>
      </c>
      <c r="D930" s="24">
        <v>0.35</v>
      </c>
      <c r="E930" s="24">
        <v>0.35</v>
      </c>
      <c r="F930" s="24">
        <v>0.35</v>
      </c>
      <c r="G930" s="24">
        <v>0.35</v>
      </c>
      <c r="H930" s="24">
        <v>0.35</v>
      </c>
      <c r="I930" s="24">
        <v>0.35</v>
      </c>
      <c r="J930" s="24">
        <v>0.35</v>
      </c>
      <c r="K930" s="24">
        <v>0.35</v>
      </c>
      <c r="L930" s="24">
        <v>0.35</v>
      </c>
      <c r="M930" s="24">
        <v>0.35</v>
      </c>
      <c r="N930" s="24">
        <v>0.35</v>
      </c>
      <c r="O930"/>
      <c r="Q930"/>
    </row>
    <row r="931" spans="2:17" ht="18" customHeight="1" x14ac:dyDescent="0.25">
      <c r="B931" s="38" t="s">
        <v>21</v>
      </c>
      <c r="C931" s="66">
        <v>2.5</v>
      </c>
      <c r="D931" s="24">
        <v>2.5</v>
      </c>
      <c r="E931" s="24">
        <v>2.5</v>
      </c>
      <c r="F931" s="24">
        <v>2.5</v>
      </c>
      <c r="G931" s="24">
        <v>2.5</v>
      </c>
      <c r="H931" s="24">
        <v>2.5</v>
      </c>
      <c r="I931" s="24">
        <v>3</v>
      </c>
      <c r="J931" s="24">
        <v>3</v>
      </c>
      <c r="K931" s="24">
        <v>3</v>
      </c>
      <c r="L931" s="24">
        <v>3</v>
      </c>
      <c r="M931" s="24">
        <v>3</v>
      </c>
      <c r="N931" s="24">
        <v>3</v>
      </c>
      <c r="O931"/>
      <c r="Q931"/>
    </row>
    <row r="932" spans="2:17" ht="18" customHeight="1" x14ac:dyDescent="0.25">
      <c r="B932" s="38" t="s">
        <v>22</v>
      </c>
      <c r="C932" s="66">
        <v>0.35</v>
      </c>
      <c r="D932" s="24">
        <v>0.35</v>
      </c>
      <c r="E932" s="24">
        <v>0.35</v>
      </c>
      <c r="F932" s="24">
        <v>0.35</v>
      </c>
      <c r="G932" s="24">
        <v>0.35</v>
      </c>
      <c r="H932" s="24">
        <v>0.35</v>
      </c>
      <c r="I932" s="24">
        <v>0.35</v>
      </c>
      <c r="J932" s="24">
        <v>0.35</v>
      </c>
      <c r="K932" s="24">
        <v>0.35</v>
      </c>
      <c r="L932" s="24">
        <v>0.35</v>
      </c>
      <c r="M932" s="24">
        <v>0.35</v>
      </c>
      <c r="N932" s="24">
        <v>0.35</v>
      </c>
      <c r="O932"/>
      <c r="Q932"/>
    </row>
    <row r="933" spans="2:17" ht="18" customHeight="1" x14ac:dyDescent="0.25">
      <c r="B933" s="38" t="s">
        <v>23</v>
      </c>
      <c r="C933" s="66"/>
      <c r="D933" s="24"/>
      <c r="E933" s="24"/>
      <c r="F933" s="24"/>
      <c r="G933"/>
      <c r="H933"/>
      <c r="I933"/>
      <c r="J933" s="4"/>
      <c r="K933"/>
      <c r="L933"/>
      <c r="M933"/>
      <c r="N933"/>
      <c r="O933"/>
      <c r="Q933"/>
    </row>
    <row r="934" spans="2:17" ht="18" customHeight="1" x14ac:dyDescent="0.25">
      <c r="B934" s="38" t="s">
        <v>24</v>
      </c>
      <c r="C934" s="66"/>
      <c r="D934" s="24"/>
      <c r="E934" s="24"/>
      <c r="F934" s="24"/>
      <c r="G934"/>
      <c r="H934"/>
      <c r="I934"/>
      <c r="J934"/>
      <c r="K934"/>
      <c r="L934"/>
      <c r="M934"/>
      <c r="N934"/>
      <c r="O934"/>
      <c r="Q934"/>
    </row>
    <row r="935" spans="2:17" ht="18" customHeight="1" x14ac:dyDescent="0.25">
      <c r="B935" s="24"/>
      <c r="C935" s="66"/>
      <c r="D935" s="24"/>
      <c r="E935" s="24"/>
      <c r="F935" s="24"/>
      <c r="G935"/>
      <c r="H935"/>
      <c r="I935"/>
      <c r="J935"/>
      <c r="K935"/>
      <c r="L935"/>
      <c r="M935"/>
      <c r="N935"/>
      <c r="O935"/>
      <c r="Q935"/>
    </row>
    <row r="936" spans="2:17" ht="18" customHeight="1" x14ac:dyDescent="0.25">
      <c r="B936" s="19" t="s">
        <v>33</v>
      </c>
      <c r="C936" s="66"/>
      <c r="D936" s="24"/>
      <c r="E936" s="24"/>
      <c r="F936" s="24"/>
      <c r="G936"/>
      <c r="H936"/>
      <c r="I936"/>
      <c r="J936"/>
      <c r="K936"/>
      <c r="L936"/>
      <c r="M936"/>
      <c r="N936"/>
      <c r="O936"/>
      <c r="Q936"/>
    </row>
    <row r="937" spans="2:17" ht="18" customHeight="1" x14ac:dyDescent="0.25">
      <c r="C937" s="56"/>
      <c r="D937"/>
      <c r="E937"/>
      <c r="F937"/>
      <c r="G937"/>
      <c r="H937"/>
      <c r="I937"/>
      <c r="J937"/>
      <c r="K937"/>
      <c r="L937"/>
      <c r="M937"/>
      <c r="N937"/>
      <c r="O937"/>
      <c r="Q937"/>
    </row>
    <row r="938" spans="2:17" ht="18" customHeight="1" x14ac:dyDescent="0.25">
      <c r="C938" s="56"/>
      <c r="D938"/>
      <c r="E938"/>
      <c r="F938"/>
      <c r="G938"/>
      <c r="H938"/>
      <c r="I938"/>
      <c r="J938"/>
      <c r="K938"/>
      <c r="L938"/>
      <c r="M938"/>
      <c r="N938"/>
      <c r="O938"/>
      <c r="Q938"/>
    </row>
    <row r="939" spans="2:17" ht="18" customHeight="1" x14ac:dyDescent="0.25">
      <c r="B939" s="31" t="s">
        <v>0</v>
      </c>
      <c r="C939" s="66" t="s">
        <v>176</v>
      </c>
      <c r="D939" s="24"/>
      <c r="E939" s="24"/>
      <c r="F939"/>
      <c r="G939"/>
      <c r="H939"/>
      <c r="I939"/>
      <c r="J939"/>
      <c r="K939"/>
      <c r="L939"/>
      <c r="M939"/>
      <c r="N939"/>
      <c r="O939"/>
      <c r="Q939"/>
    </row>
    <row r="940" spans="2:17" ht="18" customHeight="1" x14ac:dyDescent="0.25">
      <c r="B940" s="36" t="s">
        <v>3</v>
      </c>
      <c r="C940" s="66">
        <v>2</v>
      </c>
      <c r="D940" s="24"/>
      <c r="E940" s="24"/>
      <c r="F940"/>
      <c r="G940"/>
      <c r="H940"/>
      <c r="I940"/>
      <c r="J940"/>
      <c r="K940"/>
      <c r="L940"/>
      <c r="M940"/>
      <c r="N940"/>
      <c r="O940"/>
      <c r="Q940"/>
    </row>
    <row r="941" spans="2:17" ht="18" customHeight="1" x14ac:dyDescent="0.25">
      <c r="B941" s="36"/>
      <c r="C941" s="66"/>
      <c r="D941" s="24"/>
      <c r="E941" s="24"/>
      <c r="F941"/>
      <c r="G941"/>
      <c r="H941"/>
      <c r="I941"/>
      <c r="J941"/>
      <c r="K941"/>
      <c r="L941"/>
      <c r="M941"/>
      <c r="N941"/>
      <c r="O941"/>
      <c r="Q941"/>
    </row>
    <row r="942" spans="2:17" ht="18" customHeight="1" x14ac:dyDescent="0.25">
      <c r="B942" s="36" t="s">
        <v>6</v>
      </c>
      <c r="C942" s="70">
        <v>40100</v>
      </c>
      <c r="D942" s="27"/>
      <c r="E942" s="24"/>
      <c r="F942"/>
      <c r="G942"/>
      <c r="H942"/>
      <c r="I942"/>
      <c r="J942"/>
      <c r="K942"/>
      <c r="L942"/>
      <c r="M942"/>
      <c r="N942"/>
      <c r="O942"/>
      <c r="Q942"/>
    </row>
    <row r="943" spans="2:17" ht="18" customHeight="1" x14ac:dyDescent="0.25">
      <c r="B943" s="37" t="s">
        <v>9</v>
      </c>
      <c r="C943" s="67">
        <v>40673</v>
      </c>
      <c r="D943" s="23">
        <v>40876</v>
      </c>
      <c r="E943" s="27">
        <v>41072</v>
      </c>
      <c r="F943" s="25">
        <v>41247</v>
      </c>
      <c r="G943" s="25">
        <v>41436</v>
      </c>
      <c r="H943" s="25">
        <v>41554</v>
      </c>
      <c r="I943" s="25">
        <v>41578</v>
      </c>
      <c r="J943" s="27">
        <v>41589</v>
      </c>
      <c r="K943" s="25">
        <v>41772</v>
      </c>
      <c r="L943" s="25">
        <v>41877</v>
      </c>
      <c r="M943" s="25">
        <v>41957</v>
      </c>
      <c r="N943"/>
      <c r="O943"/>
      <c r="Q943"/>
    </row>
    <row r="944" spans="2:17" ht="18" customHeight="1" x14ac:dyDescent="0.25">
      <c r="B944" s="37" t="s">
        <v>8</v>
      </c>
      <c r="C944" s="66"/>
      <c r="D944" s="24"/>
      <c r="E944" s="24"/>
      <c r="F944"/>
      <c r="G944"/>
      <c r="H944"/>
      <c r="I944"/>
      <c r="J944"/>
      <c r="K944"/>
      <c r="L944"/>
      <c r="M944"/>
      <c r="N944"/>
      <c r="O944"/>
      <c r="Q944"/>
    </row>
    <row r="945" spans="2:17" ht="18" customHeight="1" x14ac:dyDescent="0.25">
      <c r="B945" s="38" t="s">
        <v>11</v>
      </c>
      <c r="C945" s="66">
        <v>6.33</v>
      </c>
      <c r="D945" s="40">
        <v>6.17</v>
      </c>
      <c r="E945" s="40">
        <v>5.9</v>
      </c>
      <c r="F945" s="4">
        <v>5.59</v>
      </c>
      <c r="G945" s="4">
        <v>5.26</v>
      </c>
      <c r="H945" s="4">
        <v>5.19</v>
      </c>
      <c r="I945" s="4">
        <v>5.19</v>
      </c>
      <c r="J945" s="24">
        <v>5.17</v>
      </c>
      <c r="K945" s="4">
        <v>5.14</v>
      </c>
      <c r="L945" s="4">
        <v>5.14</v>
      </c>
      <c r="M945" s="4">
        <v>5.13</v>
      </c>
      <c r="N945"/>
      <c r="O945"/>
      <c r="Q945"/>
    </row>
    <row r="946" spans="2:17" ht="18" customHeight="1" x14ac:dyDescent="0.25">
      <c r="B946" s="38" t="s">
        <v>12</v>
      </c>
      <c r="C946" s="66" t="s">
        <v>98</v>
      </c>
      <c r="D946" s="24" t="s">
        <v>177</v>
      </c>
      <c r="E946" s="24" t="s">
        <v>178</v>
      </c>
      <c r="F946" s="4" t="s">
        <v>177</v>
      </c>
      <c r="G946" s="4" t="s">
        <v>123</v>
      </c>
      <c r="H946" s="4" t="s">
        <v>179</v>
      </c>
      <c r="I946" s="4" t="s">
        <v>180</v>
      </c>
      <c r="J946" s="24" t="s">
        <v>181</v>
      </c>
      <c r="K946" s="4" t="s">
        <v>160</v>
      </c>
      <c r="L946" s="4" t="s">
        <v>160</v>
      </c>
      <c r="M946" s="4" t="s">
        <v>182</v>
      </c>
      <c r="N946"/>
      <c r="O946"/>
      <c r="Q946"/>
    </row>
    <row r="947" spans="2:17" ht="18" customHeight="1" x14ac:dyDescent="0.25">
      <c r="B947" s="38" t="s">
        <v>13</v>
      </c>
      <c r="C947" s="66" t="s">
        <v>183</v>
      </c>
      <c r="D947" s="24" t="s">
        <v>184</v>
      </c>
      <c r="E947" s="24" t="s">
        <v>185</v>
      </c>
      <c r="F947" s="4" t="s">
        <v>186</v>
      </c>
      <c r="G947" s="4" t="s">
        <v>187</v>
      </c>
      <c r="H947" s="4">
        <v>0</v>
      </c>
      <c r="I947" s="4">
        <v>0</v>
      </c>
      <c r="J947" s="24">
        <v>0</v>
      </c>
      <c r="K947" s="4">
        <v>0</v>
      </c>
      <c r="L947" s="4">
        <v>0</v>
      </c>
      <c r="M947" s="4" t="s">
        <v>104</v>
      </c>
      <c r="N947"/>
      <c r="O947"/>
      <c r="Q947"/>
    </row>
    <row r="948" spans="2:17" ht="18" customHeight="1" x14ac:dyDescent="0.25">
      <c r="B948" s="38" t="s">
        <v>14</v>
      </c>
      <c r="C948" s="66"/>
      <c r="D948" s="24"/>
      <c r="E948" s="24"/>
      <c r="F948"/>
      <c r="G948"/>
      <c r="H948"/>
      <c r="I948"/>
      <c r="J948"/>
      <c r="K948"/>
      <c r="L948"/>
      <c r="M948"/>
      <c r="N948"/>
      <c r="O948"/>
      <c r="Q948"/>
    </row>
    <row r="949" spans="2:17" ht="18" customHeight="1" x14ac:dyDescent="0.25">
      <c r="B949" s="36" t="s">
        <v>41</v>
      </c>
      <c r="C949" s="66" t="s">
        <v>42</v>
      </c>
      <c r="D949" s="24" t="s">
        <v>46</v>
      </c>
      <c r="E949" s="41" t="s">
        <v>42</v>
      </c>
      <c r="F949" s="41" t="s">
        <v>42</v>
      </c>
      <c r="G949" s="41" t="s">
        <v>42</v>
      </c>
      <c r="H949" s="4" t="s">
        <v>188</v>
      </c>
      <c r="I949" s="4" t="s">
        <v>189</v>
      </c>
      <c r="J949" s="24" t="s">
        <v>42</v>
      </c>
      <c r="K949" s="4" t="s">
        <v>46</v>
      </c>
      <c r="L949" s="4" t="s">
        <v>42</v>
      </c>
      <c r="M949" s="4" t="s">
        <v>42</v>
      </c>
      <c r="N949"/>
      <c r="O949"/>
      <c r="Q949"/>
    </row>
    <row r="950" spans="2:17" ht="18" customHeight="1" x14ac:dyDescent="0.25">
      <c r="B950" s="37" t="s">
        <v>15</v>
      </c>
      <c r="C950" s="66"/>
      <c r="D950" s="24"/>
      <c r="E950" s="24"/>
      <c r="F950"/>
      <c r="G950"/>
      <c r="H950"/>
      <c r="I950"/>
      <c r="J950"/>
      <c r="K950"/>
      <c r="L950"/>
      <c r="M950"/>
      <c r="N950"/>
      <c r="O950"/>
      <c r="Q950"/>
    </row>
    <row r="951" spans="2:17" ht="18" customHeight="1" x14ac:dyDescent="0.25">
      <c r="B951" s="38" t="s">
        <v>17</v>
      </c>
      <c r="C951" s="66" t="s">
        <v>47</v>
      </c>
      <c r="D951" s="24" t="s">
        <v>47</v>
      </c>
      <c r="E951" s="24" t="s">
        <v>47</v>
      </c>
      <c r="F951" s="24" t="s">
        <v>47</v>
      </c>
      <c r="G951" s="24" t="s">
        <v>105</v>
      </c>
      <c r="H951" s="24" t="s">
        <v>190</v>
      </c>
      <c r="I951" s="24" t="s">
        <v>190</v>
      </c>
      <c r="J951" s="24" t="s">
        <v>190</v>
      </c>
      <c r="K951" s="24" t="s">
        <v>190</v>
      </c>
      <c r="L951" s="24" t="s">
        <v>190</v>
      </c>
      <c r="M951" s="24" t="s">
        <v>190</v>
      </c>
      <c r="N951"/>
      <c r="O951"/>
      <c r="Q951"/>
    </row>
    <row r="952" spans="2:17" ht="18" customHeight="1" x14ac:dyDescent="0.25">
      <c r="B952" s="38" t="s">
        <v>18</v>
      </c>
      <c r="C952" s="66" t="s">
        <v>191</v>
      </c>
      <c r="D952" s="24" t="s">
        <v>191</v>
      </c>
      <c r="E952" s="24" t="s">
        <v>191</v>
      </c>
      <c r="F952" s="24" t="s">
        <v>191</v>
      </c>
      <c r="G952" s="24" t="s">
        <v>191</v>
      </c>
      <c r="H952" s="24" t="s">
        <v>191</v>
      </c>
      <c r="I952" s="24" t="s">
        <v>191</v>
      </c>
      <c r="J952" s="24" t="s">
        <v>191</v>
      </c>
      <c r="K952" s="24" t="s">
        <v>191</v>
      </c>
      <c r="L952" s="24" t="s">
        <v>191</v>
      </c>
      <c r="M952" s="24" t="s">
        <v>191</v>
      </c>
      <c r="N952"/>
      <c r="O952"/>
      <c r="Q952"/>
    </row>
    <row r="953" spans="2:17" ht="18" customHeight="1" x14ac:dyDescent="0.25">
      <c r="B953" s="24"/>
      <c r="C953" s="66"/>
      <c r="D953" s="24"/>
      <c r="E953" s="24"/>
      <c r="F953" s="24"/>
      <c r="G953" s="24"/>
      <c r="H953" s="24"/>
      <c r="I953" s="24"/>
      <c r="J953"/>
      <c r="K953" s="24"/>
      <c r="L953" s="24"/>
      <c r="M953" s="24"/>
      <c r="N953"/>
      <c r="O953"/>
      <c r="Q953"/>
    </row>
    <row r="954" spans="2:17" ht="18" customHeight="1" x14ac:dyDescent="0.25">
      <c r="B954" s="31" t="s">
        <v>19</v>
      </c>
      <c r="C954" s="66">
        <v>2</v>
      </c>
      <c r="D954" s="24">
        <v>2</v>
      </c>
      <c r="E954" s="24">
        <v>2</v>
      </c>
      <c r="F954" s="24">
        <v>2</v>
      </c>
      <c r="G954" s="24">
        <v>2</v>
      </c>
      <c r="H954" s="24">
        <v>2</v>
      </c>
      <c r="I954" s="24">
        <v>2</v>
      </c>
      <c r="J954" s="24">
        <v>2</v>
      </c>
      <c r="K954" s="24">
        <v>2</v>
      </c>
      <c r="L954" s="24">
        <v>2</v>
      </c>
      <c r="M954" s="24">
        <v>2</v>
      </c>
      <c r="N954"/>
      <c r="O954"/>
      <c r="Q954"/>
    </row>
    <row r="955" spans="2:17" ht="18" customHeight="1" x14ac:dyDescent="0.25">
      <c r="B955" s="38" t="s">
        <v>20</v>
      </c>
      <c r="C955" s="66">
        <v>0.35</v>
      </c>
      <c r="D955" s="24">
        <v>0.35</v>
      </c>
      <c r="E955" s="24">
        <v>0.35</v>
      </c>
      <c r="F955" s="24">
        <v>0.35</v>
      </c>
      <c r="G955" s="24">
        <v>0.35</v>
      </c>
      <c r="H955" s="24">
        <v>0.35</v>
      </c>
      <c r="I955" s="24">
        <v>0.35</v>
      </c>
      <c r="J955" s="24">
        <v>0.35</v>
      </c>
      <c r="K955" s="24">
        <v>0.35</v>
      </c>
      <c r="L955" s="24">
        <v>0.35</v>
      </c>
      <c r="M955" s="24">
        <v>0.35</v>
      </c>
      <c r="N955"/>
      <c r="O955"/>
      <c r="Q955"/>
    </row>
    <row r="956" spans="2:17" ht="18" customHeight="1" x14ac:dyDescent="0.25">
      <c r="B956" s="38" t="s">
        <v>21</v>
      </c>
      <c r="C956" s="66">
        <v>2.5</v>
      </c>
      <c r="D956" s="24">
        <v>2.5</v>
      </c>
      <c r="E956" s="24">
        <v>2.5</v>
      </c>
      <c r="F956" s="24">
        <v>2.5</v>
      </c>
      <c r="G956" s="24">
        <v>2.5</v>
      </c>
      <c r="H956" s="24">
        <v>2.5</v>
      </c>
      <c r="I956" s="24">
        <v>2.5</v>
      </c>
      <c r="J956" s="24">
        <v>2.5</v>
      </c>
      <c r="K956" s="24">
        <v>2.5</v>
      </c>
      <c r="L956" s="24">
        <v>2.5</v>
      </c>
      <c r="M956" s="24">
        <v>2.5</v>
      </c>
      <c r="N956"/>
      <c r="O956"/>
      <c r="Q956"/>
    </row>
    <row r="957" spans="2:17" ht="18" customHeight="1" x14ac:dyDescent="0.25">
      <c r="B957" s="38" t="s">
        <v>22</v>
      </c>
      <c r="C957" s="66">
        <v>0.35</v>
      </c>
      <c r="D957" s="24">
        <v>0.35</v>
      </c>
      <c r="E957" s="24">
        <v>0.35</v>
      </c>
      <c r="F957" s="24">
        <v>0.35</v>
      </c>
      <c r="G957" s="24">
        <v>0.35</v>
      </c>
      <c r="H957" s="24">
        <v>0.35</v>
      </c>
      <c r="I957" s="24">
        <v>0.35</v>
      </c>
      <c r="J957" s="24">
        <v>0.35</v>
      </c>
      <c r="K957" s="24">
        <v>0.35</v>
      </c>
      <c r="L957" s="24">
        <v>0.35</v>
      </c>
      <c r="M957" s="24">
        <v>0.35</v>
      </c>
      <c r="N957"/>
      <c r="O957"/>
      <c r="Q957"/>
    </row>
    <row r="958" spans="2:17" ht="18" customHeight="1" x14ac:dyDescent="0.25">
      <c r="B958" s="38" t="s">
        <v>23</v>
      </c>
      <c r="C958" s="66"/>
      <c r="D958" s="24"/>
      <c r="E958" s="24"/>
      <c r="F958"/>
      <c r="G958"/>
      <c r="H958"/>
      <c r="I958"/>
      <c r="J958"/>
      <c r="K958"/>
      <c r="L958"/>
      <c r="M958"/>
      <c r="N958"/>
      <c r="O958"/>
      <c r="Q958"/>
    </row>
    <row r="959" spans="2:17" ht="18" customHeight="1" x14ac:dyDescent="0.25">
      <c r="B959" s="38" t="s">
        <v>24</v>
      </c>
      <c r="C959" s="66"/>
      <c r="D959" s="24"/>
      <c r="E959" s="24"/>
      <c r="F959"/>
      <c r="G959"/>
      <c r="H959"/>
      <c r="I959"/>
      <c r="J959"/>
      <c r="K959"/>
      <c r="L959"/>
      <c r="M959"/>
      <c r="N959"/>
      <c r="O959"/>
      <c r="Q959"/>
    </row>
    <row r="960" spans="2:17" ht="18" customHeight="1" x14ac:dyDescent="0.25">
      <c r="B960" s="24"/>
      <c r="C960" s="66"/>
      <c r="D960" s="24"/>
      <c r="E960" s="24"/>
      <c r="F960"/>
      <c r="G960"/>
      <c r="H960"/>
      <c r="I960"/>
      <c r="J960"/>
      <c r="K960"/>
      <c r="L960"/>
      <c r="M960"/>
      <c r="N960"/>
      <c r="O960"/>
      <c r="Q960"/>
    </row>
    <row r="961" spans="2:17" ht="18" customHeight="1" x14ac:dyDescent="0.25">
      <c r="B961" s="19" t="s">
        <v>33</v>
      </c>
      <c r="C961" s="66"/>
      <c r="D961" s="24"/>
      <c r="E961" s="24"/>
      <c r="F961"/>
      <c r="G961"/>
      <c r="H961"/>
      <c r="I961"/>
      <c r="J961"/>
      <c r="K961"/>
      <c r="L961"/>
      <c r="M961"/>
      <c r="N961"/>
      <c r="O961"/>
      <c r="Q961"/>
    </row>
    <row r="962" spans="2:17" ht="18" customHeight="1" x14ac:dyDescent="0.25">
      <c r="C962" s="56"/>
      <c r="D962"/>
      <c r="E962"/>
      <c r="F962"/>
      <c r="G962"/>
      <c r="H962"/>
      <c r="I962"/>
      <c r="J962"/>
      <c r="K962"/>
      <c r="L962"/>
      <c r="M962"/>
      <c r="N962"/>
      <c r="O962"/>
      <c r="Q962"/>
    </row>
    <row r="963" spans="2:17" ht="18" customHeight="1" x14ac:dyDescent="0.25">
      <c r="C963" s="56"/>
      <c r="D963"/>
      <c r="E963"/>
      <c r="F963"/>
      <c r="G963"/>
      <c r="H963"/>
      <c r="I963"/>
      <c r="J963"/>
      <c r="K963"/>
      <c r="L963"/>
      <c r="M963"/>
      <c r="N963"/>
      <c r="O963"/>
      <c r="Q963"/>
    </row>
    <row r="964" spans="2:17" ht="18" customHeight="1" x14ac:dyDescent="0.25">
      <c r="C964" s="56"/>
      <c r="D964"/>
      <c r="E964"/>
      <c r="F964"/>
      <c r="G964"/>
      <c r="H964"/>
      <c r="I964"/>
      <c r="J964"/>
      <c r="K964"/>
      <c r="L964"/>
      <c r="M964"/>
      <c r="N964"/>
      <c r="O964"/>
      <c r="Q964"/>
    </row>
    <row r="965" spans="2:17" ht="18" customHeight="1" x14ac:dyDescent="0.25">
      <c r="B965" s="31" t="s">
        <v>0</v>
      </c>
      <c r="C965" s="66" t="s">
        <v>192</v>
      </c>
      <c r="D965" s="24"/>
      <c r="E965"/>
      <c r="F965"/>
      <c r="G965"/>
      <c r="H965"/>
      <c r="I965"/>
      <c r="J965"/>
      <c r="K965"/>
      <c r="L965"/>
      <c r="M965"/>
      <c r="N965"/>
      <c r="O965"/>
      <c r="Q965"/>
    </row>
    <row r="966" spans="2:17" ht="18" customHeight="1" x14ac:dyDescent="0.25">
      <c r="B966" s="36" t="s">
        <v>3</v>
      </c>
      <c r="C966" s="66">
        <v>2</v>
      </c>
      <c r="D966" s="24"/>
      <c r="E966"/>
      <c r="F966"/>
      <c r="G966"/>
      <c r="H966"/>
      <c r="I966"/>
      <c r="J966"/>
      <c r="K966"/>
      <c r="L966"/>
      <c r="M966"/>
      <c r="N966"/>
      <c r="O966"/>
      <c r="Q966"/>
    </row>
    <row r="967" spans="2:17" ht="18" customHeight="1" x14ac:dyDescent="0.25">
      <c r="B967" s="36"/>
      <c r="C967" s="66"/>
      <c r="D967" s="24"/>
      <c r="E967"/>
      <c r="F967"/>
      <c r="G967"/>
      <c r="H967"/>
      <c r="I967"/>
      <c r="J967"/>
      <c r="K967"/>
      <c r="L967"/>
      <c r="M967"/>
      <c r="N967"/>
      <c r="O967"/>
      <c r="Q967"/>
    </row>
    <row r="968" spans="2:17" ht="18" customHeight="1" x14ac:dyDescent="0.25">
      <c r="B968" s="36" t="s">
        <v>6</v>
      </c>
      <c r="C968" s="70">
        <v>39749</v>
      </c>
      <c r="D968" s="27"/>
      <c r="E968"/>
      <c r="F968"/>
      <c r="G968"/>
      <c r="H968"/>
      <c r="I968"/>
      <c r="J968"/>
      <c r="K968"/>
      <c r="L968"/>
      <c r="M968"/>
      <c r="N968"/>
      <c r="O968"/>
      <c r="Q968"/>
    </row>
    <row r="969" spans="2:17" ht="18" customHeight="1" x14ac:dyDescent="0.25">
      <c r="B969" s="37" t="s">
        <v>9</v>
      </c>
      <c r="C969" s="67">
        <v>40813</v>
      </c>
      <c r="D969" s="23">
        <v>40988</v>
      </c>
      <c r="E969" s="25">
        <v>41170</v>
      </c>
      <c r="F969" s="25">
        <v>41323</v>
      </c>
      <c r="G969" s="25">
        <v>41422</v>
      </c>
      <c r="H969" s="25">
        <v>41506</v>
      </c>
      <c r="I969" s="25">
        <v>41596</v>
      </c>
      <c r="J969" s="27">
        <v>41695</v>
      </c>
      <c r="K969" s="25">
        <v>41926</v>
      </c>
      <c r="L969" s="25">
        <v>42023</v>
      </c>
      <c r="M969"/>
      <c r="N969"/>
      <c r="O969"/>
      <c r="Q969"/>
    </row>
    <row r="970" spans="2:17" ht="18" customHeight="1" x14ac:dyDescent="0.25">
      <c r="B970" s="37" t="s">
        <v>8</v>
      </c>
      <c r="C970" s="66"/>
      <c r="D970" s="24"/>
      <c r="E970"/>
      <c r="F970"/>
      <c r="G970"/>
      <c r="H970"/>
      <c r="I970"/>
      <c r="J970"/>
      <c r="K970"/>
      <c r="L970"/>
      <c r="M970"/>
      <c r="N970"/>
      <c r="O970"/>
      <c r="Q970"/>
    </row>
    <row r="971" spans="2:17" ht="18" customHeight="1" x14ac:dyDescent="0.25">
      <c r="B971" s="38" t="s">
        <v>11</v>
      </c>
      <c r="C971" s="66">
        <v>6.12</v>
      </c>
      <c r="D971" s="40">
        <v>5.89</v>
      </c>
      <c r="E971" s="4">
        <v>5.51</v>
      </c>
      <c r="F971" s="4">
        <v>5.3</v>
      </c>
      <c r="G971" s="4">
        <v>5.22</v>
      </c>
      <c r="H971" s="4">
        <v>5.18</v>
      </c>
      <c r="I971" s="4">
        <v>5.17</v>
      </c>
      <c r="J971" s="24">
        <v>5.15</v>
      </c>
      <c r="K971" s="4">
        <v>5.14</v>
      </c>
      <c r="L971" s="4">
        <v>5.1100000000000003</v>
      </c>
      <c r="M971"/>
      <c r="N971"/>
      <c r="O971"/>
      <c r="Q971"/>
    </row>
    <row r="972" spans="2:17" ht="18" customHeight="1" x14ac:dyDescent="0.25">
      <c r="B972" s="38" t="s">
        <v>12</v>
      </c>
      <c r="C972" s="66">
        <v>35</v>
      </c>
      <c r="D972" s="24">
        <v>40</v>
      </c>
      <c r="E972" s="4">
        <v>39</v>
      </c>
      <c r="F972" s="4">
        <v>45</v>
      </c>
      <c r="G972" s="4">
        <v>39</v>
      </c>
      <c r="H972" s="4">
        <v>48</v>
      </c>
      <c r="I972" s="4">
        <v>50</v>
      </c>
      <c r="J972" s="24">
        <v>47</v>
      </c>
      <c r="K972" s="4">
        <v>62</v>
      </c>
      <c r="L972" s="4">
        <v>62</v>
      </c>
      <c r="M972"/>
      <c r="N972"/>
      <c r="O972"/>
      <c r="Q972"/>
    </row>
    <row r="973" spans="2:17" ht="18" customHeight="1" x14ac:dyDescent="0.25">
      <c r="B973" s="38" t="s">
        <v>13</v>
      </c>
      <c r="C973" s="66">
        <v>0</v>
      </c>
      <c r="D973" s="2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/>
      <c r="N973"/>
      <c r="O973"/>
      <c r="Q973"/>
    </row>
    <row r="974" spans="2:17" ht="18" customHeight="1" x14ac:dyDescent="0.25">
      <c r="B974" s="38" t="s">
        <v>14</v>
      </c>
      <c r="C974" s="66"/>
      <c r="D974" s="24"/>
      <c r="E974"/>
      <c r="F974"/>
      <c r="G974"/>
      <c r="H974"/>
      <c r="I974"/>
      <c r="J974" s="4"/>
      <c r="K974"/>
      <c r="L974"/>
      <c r="M974"/>
      <c r="N974"/>
      <c r="O974"/>
      <c r="Q974"/>
    </row>
    <row r="975" spans="2:17" ht="18" customHeight="1" x14ac:dyDescent="0.25">
      <c r="B975" s="36" t="s">
        <v>41</v>
      </c>
      <c r="C975" s="66" t="s">
        <v>193</v>
      </c>
      <c r="D975" s="24" t="s">
        <v>42</v>
      </c>
      <c r="E975" s="24" t="s">
        <v>42</v>
      </c>
      <c r="F975" s="24" t="s">
        <v>42</v>
      </c>
      <c r="G975" s="24" t="s">
        <v>42</v>
      </c>
      <c r="H975" s="24" t="s">
        <v>42</v>
      </c>
      <c r="I975" s="24" t="s">
        <v>42</v>
      </c>
      <c r="J975" s="24" t="s">
        <v>42</v>
      </c>
      <c r="K975" s="24" t="s">
        <v>42</v>
      </c>
      <c r="L975" s="24" t="s">
        <v>42</v>
      </c>
      <c r="M975"/>
      <c r="N975"/>
      <c r="O975"/>
      <c r="Q975"/>
    </row>
    <row r="976" spans="2:17" ht="18" customHeight="1" x14ac:dyDescent="0.25">
      <c r="B976" s="37" t="s">
        <v>15</v>
      </c>
      <c r="C976" s="66"/>
      <c r="D976" s="24"/>
      <c r="E976"/>
      <c r="F976"/>
      <c r="G976"/>
      <c r="H976"/>
      <c r="I976"/>
      <c r="J976"/>
      <c r="K976"/>
      <c r="L976"/>
      <c r="M976"/>
      <c r="N976"/>
      <c r="O976"/>
      <c r="Q976"/>
    </row>
    <row r="977" spans="2:17" ht="18" customHeight="1" x14ac:dyDescent="0.25">
      <c r="B977" s="38" t="s">
        <v>17</v>
      </c>
      <c r="C977" s="66" t="s">
        <v>47</v>
      </c>
      <c r="D977" s="24" t="s">
        <v>47</v>
      </c>
      <c r="E977" s="24" t="s">
        <v>47</v>
      </c>
      <c r="F977" s="24" t="s">
        <v>47</v>
      </c>
      <c r="G977" s="24" t="s">
        <v>47</v>
      </c>
      <c r="H977" s="24" t="s">
        <v>47</v>
      </c>
      <c r="I977" s="24" t="s">
        <v>47</v>
      </c>
      <c r="J977" s="24" t="s">
        <v>47</v>
      </c>
      <c r="K977" s="24" t="s">
        <v>47</v>
      </c>
      <c r="L977" s="24" t="s">
        <v>47</v>
      </c>
      <c r="M977"/>
      <c r="N977"/>
      <c r="O977"/>
      <c r="Q977"/>
    </row>
    <row r="978" spans="2:17" ht="18" customHeight="1" x14ac:dyDescent="0.25">
      <c r="B978" s="38" t="s">
        <v>18</v>
      </c>
      <c r="C978" s="66" t="s">
        <v>43</v>
      </c>
      <c r="D978" s="24" t="s">
        <v>43</v>
      </c>
      <c r="E978" s="24" t="s">
        <v>43</v>
      </c>
      <c r="F978" s="24" t="s">
        <v>43</v>
      </c>
      <c r="G978" s="24" t="s">
        <v>43</v>
      </c>
      <c r="H978" s="24" t="s">
        <v>43</v>
      </c>
      <c r="I978" s="24" t="s">
        <v>43</v>
      </c>
      <c r="J978" s="24" t="s">
        <v>43</v>
      </c>
      <c r="K978" s="24" t="s">
        <v>43</v>
      </c>
      <c r="L978" s="24" t="s">
        <v>43</v>
      </c>
      <c r="M978"/>
      <c r="N978"/>
      <c r="O978"/>
      <c r="Q978"/>
    </row>
    <row r="979" spans="2:17" ht="18" customHeight="1" x14ac:dyDescent="0.25">
      <c r="B979" s="24"/>
      <c r="C979" s="66"/>
      <c r="D979" s="24"/>
      <c r="E979" s="24"/>
      <c r="F979" s="24"/>
      <c r="G979" s="24"/>
      <c r="H979" s="24"/>
      <c r="I979" s="24"/>
      <c r="J979"/>
      <c r="K979" s="24"/>
      <c r="L979" s="24"/>
      <c r="M979"/>
      <c r="N979"/>
      <c r="O979"/>
      <c r="Q979"/>
    </row>
    <row r="980" spans="2:17" ht="18" customHeight="1" x14ac:dyDescent="0.25">
      <c r="B980" s="31" t="s">
        <v>19</v>
      </c>
      <c r="C980" s="66">
        <v>1.5</v>
      </c>
      <c r="D980" s="24">
        <v>1.5</v>
      </c>
      <c r="E980" s="24">
        <v>1.5</v>
      </c>
      <c r="F980" s="24">
        <v>1.5</v>
      </c>
      <c r="G980" s="24">
        <v>1.5</v>
      </c>
      <c r="H980" s="24">
        <v>1.5</v>
      </c>
      <c r="I980" s="24">
        <v>1.5</v>
      </c>
      <c r="J980" s="24">
        <v>1.5</v>
      </c>
      <c r="K980" s="24">
        <v>1.5</v>
      </c>
      <c r="L980" s="24">
        <v>1.5</v>
      </c>
      <c r="M980"/>
      <c r="N980"/>
      <c r="O980"/>
      <c r="Q980"/>
    </row>
    <row r="981" spans="2:17" ht="18" customHeight="1" x14ac:dyDescent="0.25">
      <c r="B981" s="38" t="s">
        <v>20</v>
      </c>
      <c r="C981" s="66">
        <v>0.35</v>
      </c>
      <c r="D981" s="24">
        <v>0.35</v>
      </c>
      <c r="E981" s="24">
        <v>0.35</v>
      </c>
      <c r="F981" s="24">
        <v>0.35</v>
      </c>
      <c r="G981" s="24">
        <v>0.35</v>
      </c>
      <c r="H981" s="24">
        <v>0.35</v>
      </c>
      <c r="I981" s="24">
        <v>0.35</v>
      </c>
      <c r="J981" s="24">
        <v>0.35</v>
      </c>
      <c r="K981" s="24">
        <v>0.35</v>
      </c>
      <c r="L981" s="24">
        <v>0.35</v>
      </c>
      <c r="M981"/>
      <c r="N981"/>
      <c r="O981"/>
      <c r="Q981"/>
    </row>
    <row r="982" spans="2:17" ht="18" customHeight="1" x14ac:dyDescent="0.25">
      <c r="B982" s="38" t="s">
        <v>21</v>
      </c>
      <c r="C982" s="66">
        <v>2</v>
      </c>
      <c r="D982" s="24">
        <v>2</v>
      </c>
      <c r="E982" s="24">
        <v>2</v>
      </c>
      <c r="F982" s="24">
        <v>2</v>
      </c>
      <c r="G982" s="24">
        <v>2</v>
      </c>
      <c r="H982" s="24">
        <v>2</v>
      </c>
      <c r="I982" s="24">
        <v>2</v>
      </c>
      <c r="J982" s="24">
        <v>2</v>
      </c>
      <c r="K982" s="24">
        <v>2</v>
      </c>
      <c r="L982" s="24">
        <v>2</v>
      </c>
      <c r="M982"/>
      <c r="N982"/>
      <c r="O982"/>
      <c r="Q982"/>
    </row>
    <row r="983" spans="2:17" ht="18" customHeight="1" x14ac:dyDescent="0.25">
      <c r="B983" s="38" t="s">
        <v>22</v>
      </c>
      <c r="C983" s="66">
        <v>0.35</v>
      </c>
      <c r="D983" s="24">
        <v>0.35</v>
      </c>
      <c r="E983" s="24">
        <v>0.35</v>
      </c>
      <c r="F983" s="24">
        <v>0.35</v>
      </c>
      <c r="G983" s="24">
        <v>0.35</v>
      </c>
      <c r="H983" s="24">
        <v>0.35</v>
      </c>
      <c r="I983" s="24">
        <v>0.35</v>
      </c>
      <c r="J983" s="24">
        <v>0.35</v>
      </c>
      <c r="K983" s="24">
        <v>0.35</v>
      </c>
      <c r="L983" s="24">
        <v>0.35</v>
      </c>
      <c r="M983"/>
      <c r="N983"/>
      <c r="O983"/>
      <c r="Q983"/>
    </row>
    <row r="984" spans="2:17" ht="18" customHeight="1" x14ac:dyDescent="0.25">
      <c r="B984" s="38" t="s">
        <v>23</v>
      </c>
      <c r="C984" s="66"/>
      <c r="D984" s="24"/>
      <c r="E984"/>
      <c r="F984"/>
      <c r="G984"/>
      <c r="H984"/>
      <c r="I984"/>
      <c r="J984"/>
      <c r="K984"/>
      <c r="L984"/>
      <c r="M984"/>
      <c r="N984"/>
      <c r="O984"/>
      <c r="Q984"/>
    </row>
    <row r="985" spans="2:17" ht="18" customHeight="1" x14ac:dyDescent="0.25">
      <c r="B985" s="38" t="s">
        <v>24</v>
      </c>
      <c r="C985" s="66"/>
      <c r="D985" s="24"/>
      <c r="E985"/>
      <c r="F985"/>
      <c r="G985"/>
      <c r="H985"/>
      <c r="I985"/>
      <c r="J985"/>
      <c r="K985"/>
      <c r="L985"/>
      <c r="M985"/>
      <c r="N985"/>
      <c r="O985"/>
      <c r="Q985"/>
    </row>
    <row r="986" spans="2:17" ht="18" customHeight="1" x14ac:dyDescent="0.25">
      <c r="B986" s="24"/>
      <c r="C986" s="66"/>
      <c r="D986" s="24"/>
      <c r="E986"/>
      <c r="F986"/>
      <c r="G986"/>
      <c r="H986"/>
      <c r="I986"/>
      <c r="J986"/>
      <c r="K986"/>
      <c r="L986"/>
      <c r="M986"/>
      <c r="N986"/>
      <c r="O986"/>
      <c r="Q986"/>
    </row>
    <row r="987" spans="2:17" ht="18" customHeight="1" x14ac:dyDescent="0.25">
      <c r="B987" s="19" t="s">
        <v>33</v>
      </c>
      <c r="C987" s="66"/>
      <c r="D987" s="24"/>
      <c r="E987"/>
      <c r="F987"/>
      <c r="G987"/>
      <c r="H987"/>
      <c r="I987"/>
      <c r="J987"/>
      <c r="K987"/>
      <c r="L987"/>
      <c r="M987"/>
      <c r="N987"/>
      <c r="O987"/>
      <c r="Q987"/>
    </row>
    <row r="988" spans="2:17" ht="18" customHeight="1" x14ac:dyDescent="0.25">
      <c r="C988" s="56"/>
      <c r="D988"/>
      <c r="E988"/>
      <c r="F988"/>
      <c r="G988"/>
      <c r="H988"/>
      <c r="I988"/>
      <c r="J988"/>
      <c r="K988"/>
      <c r="L988"/>
      <c r="M988"/>
      <c r="N988"/>
      <c r="O988"/>
      <c r="Q988"/>
    </row>
    <row r="989" spans="2:17" ht="18" customHeight="1" x14ac:dyDescent="0.25">
      <c r="C989" s="56"/>
      <c r="D989"/>
      <c r="E989"/>
      <c r="F989"/>
      <c r="G989"/>
      <c r="H989"/>
      <c r="I989"/>
      <c r="J989"/>
      <c r="K989"/>
      <c r="L989"/>
      <c r="M989"/>
      <c r="N989"/>
      <c r="O989"/>
      <c r="Q989"/>
    </row>
    <row r="990" spans="2:17" ht="18" customHeight="1" x14ac:dyDescent="0.25">
      <c r="C990" s="56"/>
      <c r="D990"/>
      <c r="E990"/>
      <c r="F990"/>
      <c r="G990"/>
      <c r="H990"/>
      <c r="I990"/>
      <c r="J990"/>
      <c r="K990"/>
      <c r="L990"/>
      <c r="M990"/>
      <c r="N990"/>
      <c r="O990"/>
      <c r="Q990"/>
    </row>
    <row r="991" spans="2:17" ht="18" customHeight="1" x14ac:dyDescent="0.25">
      <c r="B991" s="31" t="s">
        <v>0</v>
      </c>
      <c r="C991" s="66" t="s">
        <v>194</v>
      </c>
      <c r="D991" s="24"/>
      <c r="E991"/>
      <c r="F991"/>
      <c r="G991"/>
      <c r="H991"/>
      <c r="I991"/>
      <c r="J991"/>
      <c r="K991"/>
      <c r="L991"/>
      <c r="M991"/>
      <c r="N991"/>
      <c r="O991"/>
      <c r="Q991"/>
    </row>
    <row r="992" spans="2:17" ht="18" customHeight="1" x14ac:dyDescent="0.25">
      <c r="B992" s="36" t="s">
        <v>3</v>
      </c>
      <c r="C992" s="66">
        <v>2</v>
      </c>
      <c r="D992" s="24"/>
      <c r="E992"/>
      <c r="F992"/>
      <c r="G992"/>
      <c r="H992"/>
      <c r="I992"/>
      <c r="J992"/>
      <c r="K992"/>
      <c r="L992"/>
      <c r="M992"/>
      <c r="N992"/>
      <c r="O992"/>
      <c r="Q992"/>
    </row>
    <row r="993" spans="2:17" ht="18" customHeight="1" x14ac:dyDescent="0.25">
      <c r="B993" s="36"/>
      <c r="C993" s="66"/>
      <c r="D993" s="24"/>
      <c r="E993"/>
      <c r="F993"/>
      <c r="G993"/>
      <c r="H993"/>
      <c r="I993"/>
      <c r="J993"/>
      <c r="K993"/>
      <c r="L993"/>
      <c r="M993"/>
      <c r="N993"/>
      <c r="O993"/>
      <c r="Q993"/>
    </row>
    <row r="994" spans="2:17" ht="18" customHeight="1" x14ac:dyDescent="0.25">
      <c r="B994" s="36" t="s">
        <v>6</v>
      </c>
      <c r="C994" s="70">
        <v>39848</v>
      </c>
      <c r="D994" s="27"/>
      <c r="E994"/>
      <c r="F994"/>
      <c r="G994"/>
      <c r="H994"/>
      <c r="I994"/>
      <c r="J994"/>
      <c r="K994"/>
      <c r="L994"/>
      <c r="M994"/>
      <c r="N994"/>
      <c r="O994"/>
      <c r="Q994"/>
    </row>
    <row r="995" spans="2:17" ht="18" customHeight="1" x14ac:dyDescent="0.25">
      <c r="B995" s="37" t="s">
        <v>9</v>
      </c>
      <c r="C995" s="67">
        <v>40878</v>
      </c>
      <c r="D995" s="23">
        <v>41065</v>
      </c>
      <c r="E995" s="25">
        <v>41296</v>
      </c>
      <c r="F995" s="25">
        <v>41485</v>
      </c>
      <c r="G995" s="25">
        <v>41785</v>
      </c>
      <c r="H995"/>
      <c r="I995"/>
      <c r="J995"/>
      <c r="K995"/>
      <c r="L995"/>
      <c r="M995"/>
      <c r="N995"/>
      <c r="O995"/>
      <c r="Q995"/>
    </row>
    <row r="996" spans="2:17" ht="18" customHeight="1" x14ac:dyDescent="0.25">
      <c r="B996" s="37" t="s">
        <v>8</v>
      </c>
      <c r="C996" s="66"/>
      <c r="D996" s="24"/>
      <c r="E996"/>
      <c r="F996"/>
      <c r="G996"/>
      <c r="H996"/>
      <c r="I996"/>
      <c r="J996"/>
      <c r="K996"/>
      <c r="L996"/>
      <c r="M996"/>
      <c r="N996"/>
      <c r="O996"/>
      <c r="Q996"/>
    </row>
    <row r="997" spans="2:17" ht="18" customHeight="1" x14ac:dyDescent="0.25">
      <c r="B997" s="38" t="s">
        <v>11</v>
      </c>
      <c r="C997" s="66">
        <v>6.13</v>
      </c>
      <c r="D997" s="40">
        <v>5.92</v>
      </c>
      <c r="E997" s="4">
        <v>5.34</v>
      </c>
      <c r="F997" s="4">
        <v>5.21</v>
      </c>
      <c r="G997" s="4">
        <v>5.17</v>
      </c>
      <c r="H997"/>
      <c r="I997"/>
      <c r="J997"/>
      <c r="K997"/>
      <c r="L997"/>
      <c r="M997"/>
      <c r="N997"/>
      <c r="O997"/>
      <c r="Q997"/>
    </row>
    <row r="998" spans="2:17" ht="18" customHeight="1" x14ac:dyDescent="0.25">
      <c r="B998" s="38" t="s">
        <v>12</v>
      </c>
      <c r="C998" s="66">
        <v>56</v>
      </c>
      <c r="D998" s="24">
        <v>28</v>
      </c>
      <c r="E998"/>
      <c r="F998"/>
      <c r="G998"/>
      <c r="H998"/>
      <c r="I998"/>
      <c r="J998"/>
      <c r="K998"/>
      <c r="L998"/>
      <c r="M998"/>
      <c r="N998"/>
      <c r="O998"/>
      <c r="Q998"/>
    </row>
    <row r="999" spans="2:17" ht="18" customHeight="1" x14ac:dyDescent="0.25">
      <c r="B999" s="38" t="s">
        <v>13</v>
      </c>
      <c r="C999" s="66">
        <v>2</v>
      </c>
      <c r="D999" s="24">
        <v>9</v>
      </c>
      <c r="E999" s="4">
        <v>14</v>
      </c>
      <c r="F999" s="4" t="s">
        <v>195</v>
      </c>
      <c r="G999" s="4" t="s">
        <v>195</v>
      </c>
      <c r="H999"/>
      <c r="I999"/>
      <c r="J999"/>
      <c r="K999"/>
      <c r="L999"/>
      <c r="M999"/>
      <c r="N999"/>
      <c r="O999"/>
      <c r="Q999"/>
    </row>
    <row r="1000" spans="2:17" ht="18" customHeight="1" x14ac:dyDescent="0.25">
      <c r="B1000" s="38" t="s">
        <v>14</v>
      </c>
      <c r="C1000" s="66"/>
      <c r="D1000" s="24"/>
      <c r="E1000"/>
      <c r="F1000"/>
      <c r="G1000"/>
      <c r="H1000"/>
      <c r="I1000"/>
      <c r="J1000"/>
      <c r="K1000"/>
      <c r="L1000"/>
      <c r="M1000"/>
      <c r="N1000"/>
      <c r="O1000"/>
      <c r="Q1000"/>
    </row>
    <row r="1001" spans="2:17" ht="18" customHeight="1" x14ac:dyDescent="0.25">
      <c r="B1001" s="36" t="s">
        <v>41</v>
      </c>
      <c r="C1001" s="66" t="s">
        <v>42</v>
      </c>
      <c r="D1001" s="24" t="s">
        <v>42</v>
      </c>
      <c r="E1001" s="24" t="s">
        <v>42</v>
      </c>
      <c r="F1001" s="24" t="s">
        <v>42</v>
      </c>
      <c r="G1001" s="44" t="s">
        <v>196</v>
      </c>
      <c r="H1001"/>
      <c r="I1001"/>
      <c r="J1001"/>
      <c r="K1001"/>
      <c r="L1001"/>
      <c r="M1001"/>
      <c r="N1001"/>
      <c r="O1001"/>
      <c r="Q1001"/>
    </row>
    <row r="1002" spans="2:17" ht="18" customHeight="1" x14ac:dyDescent="0.25">
      <c r="B1002" s="37" t="s">
        <v>15</v>
      </c>
      <c r="C1002" s="66"/>
      <c r="D1002" s="24"/>
      <c r="E1002"/>
      <c r="F1002"/>
      <c r="G1002"/>
      <c r="H1002"/>
      <c r="I1002"/>
      <c r="J1002"/>
      <c r="K1002"/>
      <c r="L1002"/>
      <c r="M1002"/>
      <c r="N1002"/>
      <c r="O1002"/>
      <c r="Q1002"/>
    </row>
    <row r="1003" spans="2:17" ht="18" customHeight="1" x14ac:dyDescent="0.25">
      <c r="B1003" s="38" t="s">
        <v>17</v>
      </c>
      <c r="C1003" s="66" t="s">
        <v>47</v>
      </c>
      <c r="D1003" s="24" t="s">
        <v>47</v>
      </c>
      <c r="E1003" s="4" t="s">
        <v>47</v>
      </c>
      <c r="F1003" s="4" t="s">
        <v>47</v>
      </c>
      <c r="G1003" s="4">
        <v>40</v>
      </c>
      <c r="H1003"/>
      <c r="I1003"/>
      <c r="J1003"/>
      <c r="K1003"/>
      <c r="L1003"/>
      <c r="M1003"/>
      <c r="N1003"/>
      <c r="O1003"/>
      <c r="Q1003"/>
    </row>
    <row r="1004" spans="2:17" ht="18" customHeight="1" x14ac:dyDescent="0.25">
      <c r="B1004" s="38" t="s">
        <v>18</v>
      </c>
      <c r="C1004" s="66" t="s">
        <v>43</v>
      </c>
      <c r="D1004" s="24" t="s">
        <v>43</v>
      </c>
      <c r="E1004" s="4" t="s">
        <v>197</v>
      </c>
      <c r="F1004" s="4" t="s">
        <v>197</v>
      </c>
      <c r="G1004" s="4" t="s">
        <v>198</v>
      </c>
      <c r="H1004"/>
      <c r="I1004"/>
      <c r="J1004"/>
      <c r="K1004"/>
      <c r="L1004"/>
      <c r="M1004"/>
      <c r="N1004"/>
      <c r="O1004"/>
      <c r="Q1004"/>
    </row>
    <row r="1005" spans="2:17" ht="18" customHeight="1" x14ac:dyDescent="0.25">
      <c r="B1005" s="24"/>
      <c r="C1005" s="66"/>
      <c r="D1005" s="24"/>
      <c r="E1005"/>
      <c r="F1005"/>
      <c r="G1005"/>
      <c r="H1005"/>
      <c r="I1005"/>
      <c r="J1005"/>
      <c r="K1005"/>
      <c r="L1005"/>
      <c r="M1005"/>
      <c r="N1005"/>
      <c r="O1005"/>
      <c r="Q1005"/>
    </row>
    <row r="1006" spans="2:17" ht="18" customHeight="1" x14ac:dyDescent="0.25">
      <c r="B1006" s="31" t="s">
        <v>19</v>
      </c>
      <c r="C1006" s="66">
        <v>2</v>
      </c>
      <c r="D1006" s="24">
        <v>2</v>
      </c>
      <c r="E1006"/>
      <c r="F1006"/>
      <c r="G1006"/>
      <c r="H1006"/>
      <c r="I1006"/>
      <c r="J1006"/>
      <c r="K1006"/>
      <c r="L1006"/>
      <c r="M1006"/>
      <c r="N1006"/>
      <c r="O1006"/>
      <c r="Q1006"/>
    </row>
    <row r="1007" spans="2:17" ht="18" customHeight="1" x14ac:dyDescent="0.25">
      <c r="B1007" s="38" t="s">
        <v>20</v>
      </c>
      <c r="C1007" s="66">
        <v>0.35</v>
      </c>
      <c r="D1007" s="24">
        <v>0.35</v>
      </c>
      <c r="E1007"/>
      <c r="F1007"/>
      <c r="G1007"/>
      <c r="H1007"/>
      <c r="I1007"/>
      <c r="J1007"/>
      <c r="K1007"/>
      <c r="L1007"/>
      <c r="M1007"/>
      <c r="N1007"/>
      <c r="O1007"/>
      <c r="Q1007"/>
    </row>
    <row r="1008" spans="2:17" ht="18" customHeight="1" x14ac:dyDescent="0.25">
      <c r="B1008" s="38" t="s">
        <v>21</v>
      </c>
      <c r="C1008" s="66">
        <v>4</v>
      </c>
      <c r="D1008" s="24">
        <v>4</v>
      </c>
      <c r="E1008" s="24">
        <v>4</v>
      </c>
      <c r="F1008" s="24">
        <v>4</v>
      </c>
      <c r="G1008" s="4">
        <v>3</v>
      </c>
      <c r="H1008"/>
      <c r="I1008"/>
      <c r="J1008"/>
      <c r="K1008"/>
      <c r="L1008"/>
      <c r="M1008"/>
      <c r="N1008"/>
      <c r="O1008"/>
      <c r="Q1008"/>
    </row>
    <row r="1009" spans="2:17" ht="18" customHeight="1" x14ac:dyDescent="0.25">
      <c r="B1009" s="38" t="s">
        <v>22</v>
      </c>
      <c r="C1009" s="66">
        <v>0.35</v>
      </c>
      <c r="D1009" s="24">
        <v>0.35</v>
      </c>
      <c r="E1009" s="24">
        <v>0.35</v>
      </c>
      <c r="F1009" s="24">
        <v>0.35</v>
      </c>
      <c r="G1009" s="4">
        <v>0.35</v>
      </c>
      <c r="H1009"/>
      <c r="I1009"/>
      <c r="J1009"/>
      <c r="K1009"/>
      <c r="L1009"/>
      <c r="M1009"/>
      <c r="N1009"/>
      <c r="O1009"/>
      <c r="Q1009"/>
    </row>
    <row r="1010" spans="2:17" ht="18" customHeight="1" x14ac:dyDescent="0.25">
      <c r="B1010" s="38" t="s">
        <v>23</v>
      </c>
      <c r="C1010" s="66"/>
      <c r="D1010" s="24"/>
      <c r="E1010"/>
      <c r="F1010"/>
      <c r="G1010"/>
      <c r="H1010"/>
      <c r="I1010"/>
      <c r="J1010"/>
      <c r="K1010"/>
      <c r="L1010"/>
      <c r="M1010"/>
      <c r="N1010"/>
      <c r="O1010"/>
      <c r="Q1010"/>
    </row>
    <row r="1011" spans="2:17" ht="18" customHeight="1" x14ac:dyDescent="0.25">
      <c r="B1011" s="38" t="s">
        <v>24</v>
      </c>
      <c r="C1011" s="66"/>
      <c r="D1011" s="24"/>
      <c r="E1011"/>
      <c r="F1011"/>
      <c r="G1011"/>
      <c r="H1011"/>
      <c r="I1011"/>
      <c r="J1011"/>
      <c r="K1011"/>
      <c r="L1011"/>
      <c r="M1011"/>
      <c r="N1011"/>
      <c r="O1011"/>
      <c r="Q1011"/>
    </row>
    <row r="1012" spans="2:17" ht="18" customHeight="1" x14ac:dyDescent="0.25">
      <c r="B1012" s="24"/>
      <c r="C1012" s="66"/>
      <c r="D1012" s="24"/>
      <c r="E1012"/>
      <c r="F1012"/>
      <c r="G1012"/>
      <c r="H1012"/>
      <c r="I1012"/>
      <c r="J1012"/>
      <c r="K1012"/>
      <c r="L1012"/>
      <c r="M1012"/>
      <c r="N1012"/>
      <c r="O1012"/>
      <c r="Q1012"/>
    </row>
    <row r="1013" spans="2:17" ht="18" customHeight="1" x14ac:dyDescent="0.25">
      <c r="B1013" s="19" t="s">
        <v>33</v>
      </c>
      <c r="C1013" s="66"/>
      <c r="D1013" s="24"/>
      <c r="E1013"/>
      <c r="F1013"/>
      <c r="G1013"/>
      <c r="H1013"/>
      <c r="I1013"/>
      <c r="J1013"/>
      <c r="K1013"/>
      <c r="L1013"/>
      <c r="M1013"/>
      <c r="N1013"/>
      <c r="O1013"/>
      <c r="Q1013"/>
    </row>
    <row r="1014" spans="2:17" ht="18" customHeight="1" x14ac:dyDescent="0.25">
      <c r="C1014" s="56"/>
      <c r="D1014"/>
      <c r="E1014"/>
      <c r="F1014"/>
      <c r="G1014"/>
      <c r="H1014"/>
      <c r="I1014"/>
      <c r="J1014"/>
      <c r="K1014"/>
      <c r="L1014"/>
      <c r="M1014"/>
      <c r="N1014"/>
      <c r="O1014"/>
      <c r="Q1014"/>
    </row>
    <row r="1015" spans="2:17" ht="18" customHeight="1" x14ac:dyDescent="0.25">
      <c r="C1015" s="56"/>
      <c r="D1015"/>
      <c r="E1015"/>
      <c r="F1015"/>
      <c r="G1015"/>
      <c r="H1015"/>
      <c r="I1015"/>
      <c r="J1015"/>
      <c r="K1015"/>
      <c r="L1015"/>
      <c r="M1015"/>
      <c r="N1015"/>
      <c r="O1015"/>
      <c r="Q1015"/>
    </row>
    <row r="1016" spans="2:17" ht="18" customHeight="1" x14ac:dyDescent="0.25">
      <c r="C1016" s="56"/>
      <c r="D1016"/>
      <c r="E1016"/>
      <c r="F1016"/>
      <c r="G1016"/>
      <c r="H1016"/>
      <c r="I1016"/>
      <c r="J1016"/>
      <c r="K1016"/>
      <c r="L1016"/>
      <c r="M1016"/>
      <c r="N1016"/>
      <c r="O1016"/>
      <c r="Q1016"/>
    </row>
    <row r="1017" spans="2:17" ht="18" customHeight="1" x14ac:dyDescent="0.25">
      <c r="B1017" s="31" t="s">
        <v>0</v>
      </c>
      <c r="C1017" s="66" t="s">
        <v>199</v>
      </c>
      <c r="D1017" s="24"/>
      <c r="E1017"/>
      <c r="F1017"/>
      <c r="G1017"/>
      <c r="H1017"/>
      <c r="I1017"/>
      <c r="J1017"/>
      <c r="K1017"/>
      <c r="L1017"/>
      <c r="M1017"/>
      <c r="N1017"/>
      <c r="O1017"/>
      <c r="Q1017"/>
    </row>
    <row r="1018" spans="2:17" ht="18" customHeight="1" x14ac:dyDescent="0.25">
      <c r="B1018" s="36" t="s">
        <v>3</v>
      </c>
      <c r="C1018" s="66">
        <v>2</v>
      </c>
      <c r="D1018" s="24"/>
      <c r="E1018"/>
      <c r="F1018"/>
      <c r="G1018"/>
      <c r="H1018"/>
      <c r="I1018"/>
      <c r="J1018"/>
      <c r="K1018"/>
      <c r="L1018"/>
      <c r="M1018"/>
      <c r="N1018"/>
      <c r="O1018"/>
      <c r="Q1018"/>
    </row>
    <row r="1019" spans="2:17" ht="18" customHeight="1" x14ac:dyDescent="0.25">
      <c r="B1019" s="36"/>
      <c r="C1019" s="56"/>
      <c r="D1019" s="24"/>
      <c r="E1019"/>
      <c r="F1019"/>
      <c r="G1019"/>
      <c r="H1019"/>
      <c r="I1019"/>
      <c r="J1019"/>
      <c r="K1019"/>
      <c r="L1019"/>
      <c r="M1019"/>
      <c r="N1019"/>
      <c r="O1019"/>
      <c r="Q1019"/>
    </row>
    <row r="1020" spans="2:17" ht="18" customHeight="1" x14ac:dyDescent="0.25">
      <c r="B1020" s="36" t="s">
        <v>6</v>
      </c>
      <c r="C1020" s="71">
        <v>39042</v>
      </c>
      <c r="D1020" s="27"/>
      <c r="E1020"/>
      <c r="F1020"/>
      <c r="G1020"/>
      <c r="H1020"/>
      <c r="I1020"/>
      <c r="J1020"/>
      <c r="K1020"/>
      <c r="L1020"/>
      <c r="M1020"/>
      <c r="N1020"/>
      <c r="O1020"/>
      <c r="Q1020"/>
    </row>
    <row r="1021" spans="2:17" ht="18" customHeight="1" x14ac:dyDescent="0.25">
      <c r="B1021" s="37" t="s">
        <v>9</v>
      </c>
      <c r="C1021" s="67">
        <v>40694</v>
      </c>
      <c r="D1021" s="23">
        <v>40925</v>
      </c>
      <c r="E1021" s="25">
        <v>41009</v>
      </c>
      <c r="F1021" s="25">
        <v>41100</v>
      </c>
      <c r="G1021" s="25">
        <v>41310</v>
      </c>
      <c r="H1021" s="25">
        <v>41422</v>
      </c>
      <c r="I1021" s="25">
        <v>41499</v>
      </c>
      <c r="J1021" s="27">
        <v>41712</v>
      </c>
      <c r="K1021" s="25">
        <v>41820</v>
      </c>
      <c r="L1021" s="25">
        <v>41947</v>
      </c>
      <c r="M1021" s="25"/>
      <c r="N1021" s="25"/>
      <c r="O1021" s="25"/>
      <c r="Q1021"/>
    </row>
    <row r="1022" spans="2:17" ht="18" customHeight="1" x14ac:dyDescent="0.25">
      <c r="B1022" s="37" t="s">
        <v>8</v>
      </c>
      <c r="C1022" s="66"/>
      <c r="D1022" s="24"/>
      <c r="E1022"/>
      <c r="F1022"/>
      <c r="G1022"/>
      <c r="H1022"/>
      <c r="I1022"/>
      <c r="J1022"/>
      <c r="K1022"/>
      <c r="L1022"/>
      <c r="M1022"/>
      <c r="N1022"/>
      <c r="O1022"/>
      <c r="Q1022"/>
    </row>
    <row r="1023" spans="2:17" ht="18" customHeight="1" x14ac:dyDescent="0.25">
      <c r="B1023" s="38" t="s">
        <v>11</v>
      </c>
      <c r="C1023" s="66">
        <v>5.73</v>
      </c>
      <c r="D1023" s="40">
        <v>5.33</v>
      </c>
      <c r="E1023" s="4">
        <v>5.29</v>
      </c>
      <c r="F1023" s="4">
        <v>5.25</v>
      </c>
      <c r="G1023" s="4">
        <v>5.18</v>
      </c>
      <c r="H1023" s="4">
        <v>5.16</v>
      </c>
      <c r="I1023" s="4">
        <v>5.16</v>
      </c>
      <c r="J1023" s="24">
        <v>5.15</v>
      </c>
      <c r="K1023" s="4">
        <v>5.13</v>
      </c>
      <c r="L1023" s="4">
        <v>5.12</v>
      </c>
      <c r="M1023"/>
      <c r="N1023"/>
      <c r="O1023"/>
      <c r="Q1023"/>
    </row>
    <row r="1024" spans="2:17" ht="18" customHeight="1" x14ac:dyDescent="0.25">
      <c r="B1024" s="38" t="s">
        <v>12</v>
      </c>
      <c r="C1024" s="66"/>
      <c r="D1024" s="24"/>
      <c r="E1024"/>
      <c r="F1024"/>
      <c r="G1024"/>
      <c r="H1024"/>
      <c r="I1024"/>
      <c r="J1024"/>
      <c r="K1024"/>
      <c r="L1024"/>
      <c r="M1024"/>
      <c r="N1024"/>
      <c r="O1024"/>
      <c r="Q1024"/>
    </row>
    <row r="1025" spans="2:17" ht="18" customHeight="1" x14ac:dyDescent="0.25">
      <c r="B1025" s="38" t="s">
        <v>13</v>
      </c>
      <c r="C1025" s="66">
        <v>0</v>
      </c>
      <c r="D1025" s="24">
        <v>0</v>
      </c>
      <c r="E1025" s="4">
        <v>0</v>
      </c>
      <c r="F1025" s="4">
        <v>0</v>
      </c>
      <c r="G1025" s="4">
        <v>0</v>
      </c>
      <c r="H1025" s="24">
        <v>0</v>
      </c>
      <c r="I1025" s="24">
        <v>0</v>
      </c>
      <c r="J1025" s="24">
        <v>0</v>
      </c>
      <c r="K1025" s="24">
        <v>0</v>
      </c>
      <c r="L1025" s="24">
        <v>0</v>
      </c>
      <c r="M1025"/>
      <c r="N1025"/>
      <c r="O1025"/>
      <c r="Q1025"/>
    </row>
    <row r="1026" spans="2:17" ht="18" customHeight="1" x14ac:dyDescent="0.25">
      <c r="B1026" s="38" t="s">
        <v>14</v>
      </c>
      <c r="C1026" s="66"/>
      <c r="D1026" s="24"/>
      <c r="E1026"/>
      <c r="F1026"/>
      <c r="G1026"/>
      <c r="H1026" s="24"/>
      <c r="I1026" s="24"/>
      <c r="J1026"/>
      <c r="K1026" s="24"/>
      <c r="L1026" s="24"/>
      <c r="M1026"/>
      <c r="N1026"/>
      <c r="O1026"/>
      <c r="Q1026"/>
    </row>
    <row r="1027" spans="2:17" ht="18" customHeight="1" x14ac:dyDescent="0.25">
      <c r="B1027" s="36" t="s">
        <v>41</v>
      </c>
      <c r="C1027" s="66" t="s">
        <v>42</v>
      </c>
      <c r="D1027" s="24" t="s">
        <v>42</v>
      </c>
      <c r="E1027" s="24" t="s">
        <v>42</v>
      </c>
      <c r="F1027" s="24" t="s">
        <v>42</v>
      </c>
      <c r="G1027" s="24" t="s">
        <v>42</v>
      </c>
      <c r="H1027" s="24" t="s">
        <v>42</v>
      </c>
      <c r="I1027" s="24" t="s">
        <v>42</v>
      </c>
      <c r="J1027" s="24" t="s">
        <v>42</v>
      </c>
      <c r="K1027" s="24" t="s">
        <v>42</v>
      </c>
      <c r="L1027" s="24" t="s">
        <v>42</v>
      </c>
      <c r="M1027"/>
      <c r="N1027"/>
      <c r="O1027"/>
      <c r="Q1027"/>
    </row>
    <row r="1028" spans="2:17" ht="18" customHeight="1" x14ac:dyDescent="0.25">
      <c r="B1028" s="37" t="s">
        <v>15</v>
      </c>
      <c r="C1028" s="66"/>
      <c r="D1028" s="24"/>
      <c r="E1028"/>
      <c r="F1028"/>
      <c r="G1028"/>
      <c r="H1028"/>
      <c r="I1028"/>
      <c r="J1028"/>
      <c r="K1028"/>
      <c r="L1028"/>
      <c r="M1028"/>
      <c r="N1028"/>
      <c r="O1028"/>
      <c r="Q1028"/>
    </row>
    <row r="1029" spans="2:17" ht="18" customHeight="1" x14ac:dyDescent="0.25">
      <c r="B1029" s="38" t="s">
        <v>17</v>
      </c>
      <c r="C1029" s="66">
        <v>50</v>
      </c>
      <c r="D1029" s="24">
        <v>50</v>
      </c>
      <c r="E1029" s="24">
        <v>50</v>
      </c>
      <c r="F1029" s="24">
        <v>50</v>
      </c>
      <c r="G1029" s="24">
        <v>50</v>
      </c>
      <c r="H1029" s="24">
        <v>50</v>
      </c>
      <c r="I1029" s="24">
        <v>50</v>
      </c>
      <c r="J1029" s="24">
        <v>50</v>
      </c>
      <c r="K1029" s="24">
        <v>50</v>
      </c>
      <c r="L1029" s="24">
        <v>50</v>
      </c>
      <c r="M1029"/>
      <c r="N1029"/>
      <c r="O1029"/>
      <c r="Q1029"/>
    </row>
    <row r="1030" spans="2:17" ht="18" customHeight="1" x14ac:dyDescent="0.25">
      <c r="B1030" s="38" t="s">
        <v>18</v>
      </c>
      <c r="C1030" s="66" t="s">
        <v>200</v>
      </c>
      <c r="D1030" s="24" t="s">
        <v>200</v>
      </c>
      <c r="E1030" s="24" t="s">
        <v>200</v>
      </c>
      <c r="F1030" s="24" t="s">
        <v>200</v>
      </c>
      <c r="G1030" s="24" t="s">
        <v>200</v>
      </c>
      <c r="H1030" s="24" t="s">
        <v>200</v>
      </c>
      <c r="I1030" s="24" t="s">
        <v>200</v>
      </c>
      <c r="J1030" s="24" t="s">
        <v>200</v>
      </c>
      <c r="K1030" s="24" t="s">
        <v>200</v>
      </c>
      <c r="L1030" s="24" t="s">
        <v>200</v>
      </c>
      <c r="M1030"/>
      <c r="N1030"/>
      <c r="O1030"/>
      <c r="Q1030"/>
    </row>
    <row r="1031" spans="2:17" ht="18" customHeight="1" x14ac:dyDescent="0.25">
      <c r="B1031" s="24"/>
      <c r="C1031" s="66"/>
      <c r="D1031" s="24"/>
      <c r="E1031" s="24"/>
      <c r="F1031" s="24"/>
      <c r="G1031" s="24"/>
      <c r="H1031"/>
      <c r="I1031"/>
      <c r="J1031" s="4"/>
      <c r="K1031"/>
      <c r="L1031"/>
      <c r="M1031"/>
      <c r="N1031"/>
      <c r="O1031"/>
      <c r="Q1031"/>
    </row>
    <row r="1032" spans="2:17" ht="18" customHeight="1" x14ac:dyDescent="0.25">
      <c r="B1032" s="31" t="s">
        <v>19</v>
      </c>
      <c r="C1032" s="66"/>
      <c r="D1032" s="24"/>
      <c r="E1032" s="24"/>
      <c r="F1032" s="24"/>
      <c r="G1032" s="24"/>
      <c r="H1032"/>
      <c r="I1032"/>
      <c r="J1032" s="4"/>
      <c r="K1032"/>
      <c r="L1032"/>
      <c r="M1032"/>
      <c r="N1032"/>
      <c r="O1032"/>
      <c r="Q1032"/>
    </row>
    <row r="1033" spans="2:17" ht="18" customHeight="1" x14ac:dyDescent="0.25">
      <c r="B1033" s="38" t="s">
        <v>20</v>
      </c>
      <c r="C1033" s="66"/>
      <c r="D1033" s="24"/>
      <c r="E1033" s="24"/>
      <c r="F1033" s="24"/>
      <c r="G1033" s="24"/>
      <c r="H1033"/>
      <c r="I1033"/>
      <c r="J1033" s="4"/>
      <c r="K1033"/>
      <c r="L1033"/>
      <c r="M1033"/>
      <c r="N1033"/>
      <c r="O1033"/>
      <c r="Q1033"/>
    </row>
    <row r="1034" spans="2:17" ht="18" customHeight="1" x14ac:dyDescent="0.25">
      <c r="B1034" s="38" t="s">
        <v>21</v>
      </c>
      <c r="C1034" s="66">
        <v>3.5</v>
      </c>
      <c r="D1034" s="24">
        <v>3.5</v>
      </c>
      <c r="E1034" s="24">
        <v>2.5</v>
      </c>
      <c r="F1034" s="24">
        <v>2.5</v>
      </c>
      <c r="G1034" s="24">
        <v>2.5</v>
      </c>
      <c r="H1034" s="4">
        <v>3</v>
      </c>
      <c r="I1034" s="4">
        <v>3</v>
      </c>
      <c r="J1034" s="4">
        <v>3</v>
      </c>
      <c r="K1034" s="4">
        <v>3</v>
      </c>
      <c r="L1034" s="4">
        <v>3</v>
      </c>
      <c r="M1034"/>
      <c r="N1034"/>
      <c r="O1034"/>
      <c r="Q1034"/>
    </row>
    <row r="1035" spans="2:17" ht="18" customHeight="1" x14ac:dyDescent="0.25">
      <c r="B1035" s="38" t="s">
        <v>22</v>
      </c>
      <c r="C1035" s="66">
        <v>0.35</v>
      </c>
      <c r="D1035" s="24">
        <v>0.35</v>
      </c>
      <c r="E1035" s="24">
        <v>0.35</v>
      </c>
      <c r="F1035" s="24">
        <v>0.35</v>
      </c>
      <c r="G1035" s="24">
        <v>0.35</v>
      </c>
      <c r="H1035" s="4">
        <v>0.35</v>
      </c>
      <c r="I1035" s="4">
        <v>0.35</v>
      </c>
      <c r="J1035" s="4">
        <v>0.35</v>
      </c>
      <c r="K1035" s="4">
        <v>0.35</v>
      </c>
      <c r="L1035" s="4">
        <v>0.35</v>
      </c>
      <c r="M1035"/>
      <c r="N1035"/>
      <c r="O1035"/>
      <c r="Q1035"/>
    </row>
    <row r="1036" spans="2:17" ht="18" customHeight="1" x14ac:dyDescent="0.25">
      <c r="B1036" s="38" t="s">
        <v>23</v>
      </c>
      <c r="C1036" s="66"/>
      <c r="D1036" s="24"/>
      <c r="E1036" s="24"/>
      <c r="F1036"/>
      <c r="G1036"/>
      <c r="H1036"/>
      <c r="I1036"/>
      <c r="J1036"/>
      <c r="K1036"/>
      <c r="L1036"/>
      <c r="M1036"/>
      <c r="N1036"/>
      <c r="O1036"/>
      <c r="Q1036"/>
    </row>
    <row r="1037" spans="2:17" ht="18" customHeight="1" x14ac:dyDescent="0.25">
      <c r="B1037" s="38" t="s">
        <v>24</v>
      </c>
      <c r="C1037" s="66"/>
      <c r="D1037" s="24"/>
      <c r="E1037"/>
      <c r="F1037"/>
      <c r="G1037"/>
      <c r="H1037"/>
      <c r="I1037"/>
      <c r="J1037"/>
      <c r="K1037"/>
      <c r="L1037"/>
      <c r="M1037"/>
      <c r="N1037"/>
      <c r="O1037"/>
      <c r="Q1037"/>
    </row>
    <row r="1038" spans="2:17" ht="18" customHeight="1" x14ac:dyDescent="0.25">
      <c r="B1038" s="24"/>
      <c r="C1038" s="66"/>
      <c r="D1038" s="24"/>
      <c r="E1038"/>
      <c r="F1038"/>
      <c r="G1038"/>
      <c r="H1038"/>
      <c r="I1038"/>
      <c r="J1038"/>
      <c r="K1038"/>
      <c r="L1038"/>
      <c r="M1038"/>
      <c r="N1038"/>
      <c r="O1038"/>
      <c r="Q1038"/>
    </row>
    <row r="1039" spans="2:17" ht="18" customHeight="1" x14ac:dyDescent="0.25">
      <c r="B1039" s="19" t="s">
        <v>33</v>
      </c>
      <c r="C1039" s="66"/>
      <c r="D1039" s="24"/>
      <c r="E1039"/>
      <c r="F1039"/>
      <c r="G1039"/>
      <c r="H1039"/>
      <c r="I1039"/>
      <c r="J1039"/>
      <c r="K1039"/>
      <c r="L1039"/>
      <c r="M1039"/>
      <c r="N1039"/>
      <c r="O1039"/>
      <c r="Q1039"/>
    </row>
    <row r="1040" spans="2:17" ht="18" customHeight="1" x14ac:dyDescent="0.25">
      <c r="C1040" s="56"/>
      <c r="D1040"/>
      <c r="E1040"/>
      <c r="F1040"/>
      <c r="G1040"/>
      <c r="H1040"/>
      <c r="I1040"/>
      <c r="J1040"/>
      <c r="K1040"/>
      <c r="L1040"/>
      <c r="M1040"/>
      <c r="N1040"/>
      <c r="O1040"/>
      <c r="Q1040"/>
    </row>
    <row r="1041" spans="2:17" ht="18" customHeight="1" x14ac:dyDescent="0.25">
      <c r="C1041" s="56"/>
      <c r="D1041"/>
      <c r="E1041"/>
      <c r="F1041"/>
      <c r="G1041"/>
      <c r="H1041"/>
      <c r="I1041"/>
      <c r="J1041"/>
      <c r="K1041"/>
      <c r="L1041"/>
      <c r="M1041"/>
      <c r="N1041"/>
      <c r="O1041"/>
      <c r="Q1041"/>
    </row>
    <row r="1042" spans="2:17" ht="18" customHeight="1" x14ac:dyDescent="0.25">
      <c r="C1042" s="56"/>
      <c r="D1042"/>
      <c r="E1042"/>
      <c r="F1042"/>
      <c r="G1042"/>
      <c r="H1042"/>
      <c r="I1042"/>
      <c r="J1042"/>
      <c r="K1042"/>
      <c r="L1042"/>
      <c r="M1042"/>
      <c r="N1042"/>
      <c r="O1042"/>
      <c r="Q1042"/>
    </row>
    <row r="1043" spans="2:17" ht="18" customHeight="1" x14ac:dyDescent="0.25">
      <c r="B1043" s="31" t="s">
        <v>0</v>
      </c>
      <c r="C1043" s="66" t="s">
        <v>201</v>
      </c>
      <c r="D1043"/>
      <c r="E1043"/>
      <c r="F1043"/>
      <c r="G1043"/>
      <c r="H1043"/>
      <c r="I1043"/>
      <c r="J1043"/>
      <c r="K1043"/>
      <c r="L1043"/>
      <c r="M1043"/>
      <c r="N1043"/>
      <c r="O1043"/>
      <c r="Q1043"/>
    </row>
    <row r="1044" spans="2:17" ht="18" customHeight="1" x14ac:dyDescent="0.25">
      <c r="B1044" s="36" t="s">
        <v>3</v>
      </c>
      <c r="C1044" s="66">
        <v>2</v>
      </c>
      <c r="D1044"/>
      <c r="E1044"/>
      <c r="F1044"/>
      <c r="G1044"/>
      <c r="H1044"/>
      <c r="I1044"/>
      <c r="J1044"/>
      <c r="K1044"/>
      <c r="L1044"/>
      <c r="M1044"/>
      <c r="N1044"/>
      <c r="O1044"/>
      <c r="Q1044"/>
    </row>
    <row r="1045" spans="2:17" ht="18" customHeight="1" x14ac:dyDescent="0.25">
      <c r="B1045" s="36"/>
      <c r="C1045" s="56"/>
      <c r="D1045"/>
      <c r="E1045"/>
      <c r="F1045"/>
      <c r="G1045"/>
      <c r="H1045"/>
      <c r="I1045"/>
      <c r="J1045"/>
      <c r="K1045"/>
      <c r="L1045"/>
      <c r="M1045"/>
      <c r="N1045"/>
      <c r="O1045"/>
      <c r="Q1045"/>
    </row>
    <row r="1046" spans="2:17" ht="18" customHeight="1" x14ac:dyDescent="0.25">
      <c r="B1046" s="36" t="s">
        <v>6</v>
      </c>
      <c r="C1046" s="71">
        <v>38946</v>
      </c>
      <c r="D1046"/>
      <c r="E1046"/>
      <c r="F1046"/>
      <c r="G1046"/>
      <c r="H1046"/>
      <c r="I1046"/>
      <c r="J1046"/>
      <c r="K1046"/>
      <c r="L1046"/>
      <c r="M1046"/>
      <c r="N1046"/>
      <c r="O1046"/>
      <c r="Q1046"/>
    </row>
    <row r="1047" spans="2:17" ht="18" customHeight="1" x14ac:dyDescent="0.25">
      <c r="B1047" s="37" t="s">
        <v>9</v>
      </c>
      <c r="C1047" s="67">
        <v>40659</v>
      </c>
      <c r="D1047" s="25">
        <v>40729</v>
      </c>
      <c r="E1047" s="25">
        <v>40841</v>
      </c>
      <c r="F1047" s="25">
        <v>41044</v>
      </c>
      <c r="G1047" s="25">
        <v>41143</v>
      </c>
      <c r="H1047" s="25">
        <v>41260</v>
      </c>
      <c r="I1047" s="27">
        <v>41359</v>
      </c>
      <c r="J1047" s="25">
        <v>41367</v>
      </c>
      <c r="K1047"/>
      <c r="L1047"/>
      <c r="M1047"/>
      <c r="N1047"/>
      <c r="O1047"/>
      <c r="Q1047"/>
    </row>
    <row r="1048" spans="2:17" ht="18" customHeight="1" x14ac:dyDescent="0.25">
      <c r="B1048" s="37" t="s">
        <v>8</v>
      </c>
      <c r="C1048" s="66"/>
      <c r="D1048"/>
      <c r="E1048"/>
      <c r="F1048"/>
      <c r="G1048"/>
      <c r="H1048"/>
      <c r="I1048" s="24"/>
      <c r="J1048" s="4"/>
      <c r="K1048"/>
      <c r="L1048"/>
      <c r="M1048"/>
      <c r="N1048"/>
      <c r="O1048"/>
      <c r="Q1048"/>
    </row>
    <row r="1049" spans="2:17" ht="18" customHeight="1" x14ac:dyDescent="0.25">
      <c r="B1049" s="38" t="s">
        <v>11</v>
      </c>
      <c r="C1049" s="66">
        <v>5.19</v>
      </c>
      <c r="D1049" s="4">
        <v>5.18</v>
      </c>
      <c r="E1049" s="4">
        <v>5.16</v>
      </c>
      <c r="F1049" s="4">
        <v>5.13</v>
      </c>
      <c r="G1049" s="4">
        <v>5.12</v>
      </c>
      <c r="H1049" s="4">
        <v>5.09</v>
      </c>
      <c r="I1049" s="4">
        <v>5.04</v>
      </c>
      <c r="J1049" s="24">
        <v>5.04</v>
      </c>
      <c r="K1049"/>
      <c r="L1049"/>
      <c r="M1049"/>
      <c r="N1049"/>
      <c r="O1049"/>
      <c r="Q1049"/>
    </row>
    <row r="1050" spans="2:17" ht="18" customHeight="1" x14ac:dyDescent="0.25">
      <c r="B1050" s="38" t="s">
        <v>12</v>
      </c>
      <c r="C1050" s="66"/>
      <c r="D1050"/>
      <c r="E1050"/>
      <c r="F1050"/>
      <c r="G1050"/>
      <c r="H1050"/>
      <c r="I1050"/>
      <c r="J1050"/>
      <c r="K1050"/>
      <c r="L1050"/>
      <c r="M1050"/>
      <c r="N1050"/>
      <c r="O1050"/>
      <c r="Q1050"/>
    </row>
    <row r="1051" spans="2:17" ht="18" customHeight="1" x14ac:dyDescent="0.25">
      <c r="B1051" s="38" t="s">
        <v>13</v>
      </c>
      <c r="C1051" s="66" t="s">
        <v>202</v>
      </c>
      <c r="D1051" s="4" t="s">
        <v>203</v>
      </c>
      <c r="E1051" s="4" t="s">
        <v>204</v>
      </c>
      <c r="F1051" s="4" t="s">
        <v>205</v>
      </c>
      <c r="G1051" s="4" t="s">
        <v>206</v>
      </c>
      <c r="H1051" s="4">
        <v>48</v>
      </c>
      <c r="I1051" s="4">
        <v>47</v>
      </c>
      <c r="J1051" s="24">
        <v>60</v>
      </c>
      <c r="K1051"/>
      <c r="L1051"/>
      <c r="M1051"/>
      <c r="N1051"/>
      <c r="O1051"/>
      <c r="Q1051"/>
    </row>
    <row r="1052" spans="2:17" ht="18" customHeight="1" x14ac:dyDescent="0.25">
      <c r="B1052" s="38" t="s">
        <v>14</v>
      </c>
      <c r="C1052" s="66"/>
      <c r="D1052"/>
      <c r="E1052"/>
      <c r="F1052"/>
      <c r="G1052"/>
      <c r="H1052"/>
      <c r="I1052"/>
      <c r="J1052"/>
      <c r="K1052"/>
      <c r="L1052"/>
      <c r="M1052"/>
      <c r="N1052"/>
      <c r="O1052"/>
      <c r="Q1052"/>
    </row>
    <row r="1053" spans="2:17" ht="18" customHeight="1" x14ac:dyDescent="0.25">
      <c r="B1053" s="36" t="s">
        <v>41</v>
      </c>
      <c r="C1053" s="66" t="s">
        <v>42</v>
      </c>
      <c r="D1053" s="4" t="s">
        <v>46</v>
      </c>
      <c r="E1053" s="24" t="s">
        <v>42</v>
      </c>
      <c r="F1053" s="29" t="s">
        <v>207</v>
      </c>
      <c r="G1053" s="24" t="s">
        <v>42</v>
      </c>
      <c r="H1053" s="4" t="s">
        <v>46</v>
      </c>
      <c r="I1053" s="4" t="s">
        <v>46</v>
      </c>
      <c r="J1053" s="4" t="s">
        <v>46</v>
      </c>
      <c r="K1053"/>
      <c r="L1053"/>
      <c r="M1053"/>
      <c r="N1053"/>
      <c r="O1053"/>
      <c r="Q1053"/>
    </row>
    <row r="1054" spans="2:17" ht="18" customHeight="1" x14ac:dyDescent="0.25">
      <c r="B1054" s="37" t="s">
        <v>15</v>
      </c>
      <c r="C1054" s="66"/>
      <c r="D1054"/>
      <c r="E1054"/>
      <c r="F1054"/>
      <c r="G1054"/>
      <c r="H1054"/>
      <c r="I1054"/>
      <c r="J1054"/>
      <c r="K1054"/>
      <c r="L1054"/>
      <c r="M1054"/>
      <c r="N1054"/>
      <c r="O1054"/>
      <c r="Q1054"/>
    </row>
    <row r="1055" spans="2:17" ht="18" customHeight="1" x14ac:dyDescent="0.25">
      <c r="B1055" s="38" t="s">
        <v>17</v>
      </c>
      <c r="C1055" s="66" t="s">
        <v>47</v>
      </c>
      <c r="D1055" s="24" t="s">
        <v>47</v>
      </c>
      <c r="E1055" s="24" t="s">
        <v>47</v>
      </c>
      <c r="F1055" s="24" t="s">
        <v>47</v>
      </c>
      <c r="G1055" s="24" t="s">
        <v>47</v>
      </c>
      <c r="H1055" s="4" t="s">
        <v>208</v>
      </c>
      <c r="I1055" s="4" t="s">
        <v>208</v>
      </c>
      <c r="J1055" s="4" t="s">
        <v>208</v>
      </c>
      <c r="K1055"/>
      <c r="L1055"/>
      <c r="M1055"/>
      <c r="N1055"/>
      <c r="O1055"/>
      <c r="Q1055"/>
    </row>
    <row r="1056" spans="2:17" ht="18" customHeight="1" x14ac:dyDescent="0.25">
      <c r="B1056" s="38" t="s">
        <v>18</v>
      </c>
      <c r="C1056" s="66" t="s">
        <v>197</v>
      </c>
      <c r="D1056" s="24" t="s">
        <v>197</v>
      </c>
      <c r="E1056" s="24" t="s">
        <v>197</v>
      </c>
      <c r="F1056" s="24" t="s">
        <v>197</v>
      </c>
      <c r="G1056" s="24" t="s">
        <v>197</v>
      </c>
      <c r="H1056" s="4" t="s">
        <v>43</v>
      </c>
      <c r="I1056" s="4" t="s">
        <v>43</v>
      </c>
      <c r="J1056" s="4" t="s">
        <v>43</v>
      </c>
      <c r="K1056"/>
      <c r="L1056"/>
      <c r="M1056"/>
      <c r="N1056"/>
      <c r="O1056"/>
      <c r="Q1056"/>
    </row>
    <row r="1057" spans="2:17" ht="18" customHeight="1" x14ac:dyDescent="0.25">
      <c r="B1057" s="24"/>
      <c r="C1057" s="66"/>
      <c r="D1057" s="24"/>
      <c r="E1057" s="24"/>
      <c r="F1057" s="24"/>
      <c r="G1057" s="24"/>
      <c r="H1057"/>
      <c r="I1057"/>
      <c r="J1057" s="4"/>
      <c r="K1057"/>
      <c r="L1057"/>
      <c r="M1057"/>
      <c r="N1057"/>
      <c r="O1057"/>
      <c r="Q1057"/>
    </row>
    <row r="1058" spans="2:17" ht="18" customHeight="1" x14ac:dyDescent="0.25">
      <c r="B1058" s="31" t="s">
        <v>19</v>
      </c>
      <c r="C1058" s="66"/>
      <c r="D1058" s="24"/>
      <c r="E1058" s="24"/>
      <c r="F1058" s="24"/>
      <c r="G1058" s="24"/>
      <c r="H1058"/>
      <c r="I1058"/>
      <c r="J1058" s="4"/>
      <c r="K1058"/>
      <c r="L1058"/>
      <c r="M1058"/>
      <c r="N1058"/>
      <c r="O1058"/>
      <c r="Q1058"/>
    </row>
    <row r="1059" spans="2:17" ht="18" customHeight="1" x14ac:dyDescent="0.25">
      <c r="B1059" s="38" t="s">
        <v>20</v>
      </c>
      <c r="C1059" s="66"/>
      <c r="D1059" s="24"/>
      <c r="E1059" s="24"/>
      <c r="F1059" s="24"/>
      <c r="G1059" s="24"/>
      <c r="H1059"/>
      <c r="I1059"/>
      <c r="J1059" s="4"/>
      <c r="K1059"/>
      <c r="L1059"/>
      <c r="M1059"/>
      <c r="N1059"/>
      <c r="O1059"/>
      <c r="Q1059"/>
    </row>
    <row r="1060" spans="2:17" ht="18" customHeight="1" x14ac:dyDescent="0.25">
      <c r="B1060" s="38" t="s">
        <v>21</v>
      </c>
      <c r="C1060" s="66">
        <v>2.5</v>
      </c>
      <c r="D1060" s="24">
        <v>2.5</v>
      </c>
      <c r="E1060" s="24">
        <v>2.5</v>
      </c>
      <c r="F1060" s="24">
        <v>2.5</v>
      </c>
      <c r="G1060" s="24">
        <v>2.5</v>
      </c>
      <c r="H1060" s="24">
        <v>2.5</v>
      </c>
      <c r="I1060" s="24">
        <v>2.5</v>
      </c>
      <c r="J1060" s="24">
        <v>2.5</v>
      </c>
      <c r="K1060"/>
      <c r="L1060"/>
      <c r="M1060"/>
      <c r="N1060"/>
      <c r="O1060"/>
      <c r="Q1060"/>
    </row>
    <row r="1061" spans="2:17" ht="18" customHeight="1" x14ac:dyDescent="0.25">
      <c r="B1061" s="38" t="s">
        <v>22</v>
      </c>
      <c r="C1061" s="66">
        <v>0.6</v>
      </c>
      <c r="D1061" s="24">
        <v>0.6</v>
      </c>
      <c r="E1061" s="24">
        <v>0.6</v>
      </c>
      <c r="F1061" s="24">
        <v>0.6</v>
      </c>
      <c r="G1061" s="24">
        <v>0.6</v>
      </c>
      <c r="H1061" s="24">
        <v>0.6</v>
      </c>
      <c r="I1061" s="24">
        <v>0.6</v>
      </c>
      <c r="J1061" s="24">
        <v>0.6</v>
      </c>
      <c r="K1061"/>
      <c r="L1061"/>
      <c r="M1061"/>
      <c r="N1061"/>
      <c r="O1061"/>
      <c r="Q1061"/>
    </row>
    <row r="1062" spans="2:17" ht="18" customHeight="1" x14ac:dyDescent="0.25">
      <c r="B1062" s="38" t="s">
        <v>23</v>
      </c>
      <c r="C1062" s="66"/>
      <c r="D1062"/>
      <c r="E1062"/>
      <c r="F1062"/>
      <c r="G1062"/>
      <c r="H1062"/>
      <c r="I1062"/>
      <c r="J1062"/>
      <c r="K1062"/>
      <c r="L1062"/>
      <c r="M1062"/>
      <c r="N1062"/>
      <c r="O1062"/>
      <c r="Q1062"/>
    </row>
    <row r="1063" spans="2:17" ht="18" customHeight="1" x14ac:dyDescent="0.25">
      <c r="B1063" s="38" t="s">
        <v>24</v>
      </c>
      <c r="C1063" s="66"/>
      <c r="D1063"/>
      <c r="E1063"/>
      <c r="F1063"/>
      <c r="G1063"/>
      <c r="H1063"/>
      <c r="I1063"/>
      <c r="J1063"/>
      <c r="K1063"/>
      <c r="L1063"/>
      <c r="M1063"/>
      <c r="N1063"/>
      <c r="O1063"/>
      <c r="Q1063"/>
    </row>
    <row r="1064" spans="2:17" ht="18" customHeight="1" x14ac:dyDescent="0.25">
      <c r="B1064" s="24"/>
      <c r="C1064" s="66"/>
      <c r="D1064"/>
      <c r="E1064"/>
      <c r="F1064"/>
      <c r="G1064"/>
      <c r="H1064"/>
      <c r="I1064"/>
      <c r="J1064"/>
      <c r="K1064"/>
      <c r="L1064"/>
      <c r="M1064"/>
      <c r="N1064"/>
      <c r="O1064"/>
      <c r="Q1064"/>
    </row>
    <row r="1065" spans="2:17" ht="18" customHeight="1" x14ac:dyDescent="0.25">
      <c r="B1065" s="19" t="s">
        <v>33</v>
      </c>
      <c r="C1065" s="66"/>
      <c r="D1065"/>
      <c r="E1065"/>
      <c r="F1065"/>
      <c r="G1065"/>
      <c r="H1065"/>
      <c r="I1065"/>
      <c r="J1065"/>
      <c r="K1065"/>
      <c r="L1065"/>
      <c r="M1065"/>
      <c r="N1065"/>
      <c r="O1065"/>
      <c r="Q1065"/>
    </row>
    <row r="1066" spans="2:17" ht="18" customHeight="1" x14ac:dyDescent="0.25">
      <c r="C1066" s="56"/>
      <c r="D1066"/>
      <c r="E1066"/>
      <c r="F1066"/>
      <c r="G1066"/>
      <c r="H1066"/>
      <c r="I1066"/>
      <c r="J1066"/>
      <c r="K1066"/>
      <c r="L1066"/>
      <c r="M1066"/>
      <c r="N1066"/>
      <c r="O1066"/>
      <c r="Q1066"/>
    </row>
    <row r="1067" spans="2:17" ht="18" customHeight="1" x14ac:dyDescent="0.25">
      <c r="C1067" s="56"/>
      <c r="D1067"/>
      <c r="E1067"/>
      <c r="F1067"/>
      <c r="G1067"/>
      <c r="H1067"/>
      <c r="I1067"/>
      <c r="J1067"/>
      <c r="K1067"/>
      <c r="L1067"/>
      <c r="M1067"/>
      <c r="N1067"/>
      <c r="O1067"/>
      <c r="Q1067"/>
    </row>
    <row r="1068" spans="2:17" ht="18" customHeight="1" x14ac:dyDescent="0.25">
      <c r="C1068" s="56"/>
      <c r="D1068"/>
      <c r="E1068"/>
      <c r="F1068"/>
      <c r="G1068"/>
      <c r="H1068"/>
      <c r="I1068"/>
      <c r="J1068"/>
      <c r="K1068"/>
      <c r="L1068"/>
      <c r="M1068"/>
      <c r="N1068"/>
      <c r="O1068"/>
      <c r="Q1068"/>
    </row>
    <row r="1069" spans="2:17" ht="18" customHeight="1" x14ac:dyDescent="0.25">
      <c r="B1069" s="31" t="s">
        <v>0</v>
      </c>
      <c r="C1069" s="66" t="s">
        <v>209</v>
      </c>
      <c r="D1069"/>
      <c r="E1069"/>
      <c r="F1069"/>
      <c r="G1069"/>
      <c r="H1069"/>
      <c r="I1069"/>
      <c r="J1069"/>
      <c r="K1069"/>
      <c r="L1069"/>
      <c r="M1069"/>
      <c r="N1069"/>
      <c r="O1069"/>
      <c r="Q1069"/>
    </row>
    <row r="1070" spans="2:17" ht="18" customHeight="1" x14ac:dyDescent="0.25">
      <c r="B1070" s="36" t="s">
        <v>3</v>
      </c>
      <c r="C1070" s="66">
        <v>2</v>
      </c>
      <c r="D1070"/>
      <c r="E1070"/>
      <c r="F1070"/>
      <c r="G1070"/>
      <c r="H1070"/>
      <c r="I1070"/>
      <c r="J1070"/>
      <c r="K1070"/>
      <c r="L1070"/>
      <c r="M1070"/>
      <c r="N1070"/>
      <c r="O1070"/>
      <c r="Q1070"/>
    </row>
    <row r="1071" spans="2:17" ht="18" customHeight="1" x14ac:dyDescent="0.25">
      <c r="B1071" s="36"/>
      <c r="C1071" s="56"/>
      <c r="D1071"/>
      <c r="E1071"/>
      <c r="F1071"/>
      <c r="G1071"/>
      <c r="H1071"/>
      <c r="I1071"/>
      <c r="J1071"/>
      <c r="K1071"/>
      <c r="L1071"/>
      <c r="M1071"/>
      <c r="N1071"/>
      <c r="O1071"/>
      <c r="Q1071"/>
    </row>
    <row r="1072" spans="2:17" ht="18" customHeight="1" x14ac:dyDescent="0.25">
      <c r="B1072" s="36" t="s">
        <v>6</v>
      </c>
      <c r="C1072" s="71">
        <v>38687</v>
      </c>
      <c r="D1072"/>
      <c r="E1072"/>
      <c r="F1072"/>
      <c r="G1072"/>
      <c r="H1072"/>
      <c r="I1072"/>
      <c r="J1072"/>
      <c r="K1072"/>
      <c r="L1072"/>
      <c r="M1072"/>
      <c r="N1072"/>
      <c r="O1072"/>
      <c r="Q1072"/>
    </row>
    <row r="1073" spans="2:17" ht="18" customHeight="1" x14ac:dyDescent="0.25">
      <c r="B1073" s="37" t="s">
        <v>9</v>
      </c>
      <c r="C1073" s="67">
        <v>40792</v>
      </c>
      <c r="D1073" s="25">
        <v>40877</v>
      </c>
      <c r="E1073" s="25">
        <v>40974</v>
      </c>
      <c r="F1073" s="25">
        <v>41170</v>
      </c>
      <c r="G1073" s="25">
        <v>41373</v>
      </c>
      <c r="H1073" s="25">
        <v>41478</v>
      </c>
      <c r="I1073" s="25">
        <v>41624</v>
      </c>
      <c r="J1073" s="27">
        <v>41736</v>
      </c>
      <c r="K1073" s="25">
        <v>41803</v>
      </c>
      <c r="L1073" s="25">
        <v>41870</v>
      </c>
      <c r="M1073" s="25">
        <v>41968</v>
      </c>
      <c r="N1073" s="25">
        <v>42101</v>
      </c>
      <c r="O1073"/>
      <c r="Q1073"/>
    </row>
    <row r="1074" spans="2:17" ht="18" customHeight="1" x14ac:dyDescent="0.25">
      <c r="B1074" s="37" t="s">
        <v>8</v>
      </c>
      <c r="C1074" s="66"/>
      <c r="D1074"/>
      <c r="E1074"/>
      <c r="F1074"/>
      <c r="G1074"/>
      <c r="H1074"/>
      <c r="I1074"/>
      <c r="J1074"/>
      <c r="K1074"/>
      <c r="L1074"/>
      <c r="M1074"/>
      <c r="N1074"/>
      <c r="O1074"/>
      <c r="Q1074"/>
    </row>
    <row r="1075" spans="2:17" ht="18" customHeight="1" x14ac:dyDescent="0.25">
      <c r="B1075" s="38" t="s">
        <v>11</v>
      </c>
      <c r="C1075" s="66">
        <v>5.21</v>
      </c>
      <c r="D1075" s="4">
        <v>5.18</v>
      </c>
      <c r="E1075" s="4">
        <v>5.16</v>
      </c>
      <c r="F1075" s="4">
        <v>5.15</v>
      </c>
      <c r="G1075" s="4">
        <v>5.14</v>
      </c>
      <c r="H1075" s="4">
        <v>5.14</v>
      </c>
      <c r="I1075" s="4">
        <v>5.1100000000000003</v>
      </c>
      <c r="J1075" s="24">
        <v>5.05</v>
      </c>
      <c r="K1075" s="4">
        <v>5</v>
      </c>
      <c r="L1075" s="4">
        <v>4.88</v>
      </c>
      <c r="M1075" s="4">
        <v>4.6900000000000004</v>
      </c>
      <c r="N1075" s="4">
        <v>4.4800000000000004</v>
      </c>
      <c r="O1075"/>
      <c r="Q1075"/>
    </row>
    <row r="1076" spans="2:17" ht="18" customHeight="1" x14ac:dyDescent="0.25">
      <c r="B1076" s="38" t="s">
        <v>12</v>
      </c>
      <c r="C1076" s="66"/>
      <c r="D1076"/>
      <c r="E1076"/>
      <c r="F1076"/>
      <c r="G1076"/>
      <c r="H1076"/>
      <c r="I1076"/>
      <c r="J1076"/>
      <c r="K1076"/>
      <c r="L1076"/>
      <c r="M1076"/>
      <c r="N1076"/>
      <c r="O1076"/>
      <c r="Q1076"/>
    </row>
    <row r="1077" spans="2:17" ht="18" customHeight="1" x14ac:dyDescent="0.25">
      <c r="B1077" s="38" t="s">
        <v>13</v>
      </c>
      <c r="C1077" s="66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24">
        <v>0</v>
      </c>
      <c r="K1077" s="4">
        <v>0</v>
      </c>
      <c r="L1077" s="4">
        <v>0</v>
      </c>
      <c r="M1077" s="4">
        <v>0</v>
      </c>
      <c r="N1077" s="4">
        <v>0</v>
      </c>
      <c r="O1077"/>
      <c r="Q1077"/>
    </row>
    <row r="1078" spans="2:17" ht="18" customHeight="1" x14ac:dyDescent="0.25">
      <c r="B1078" s="38" t="s">
        <v>14</v>
      </c>
      <c r="C1078" s="66"/>
      <c r="D1078"/>
      <c r="E1078"/>
      <c r="F1078"/>
      <c r="G1078"/>
      <c r="H1078"/>
      <c r="I1078"/>
      <c r="J1078"/>
      <c r="K1078"/>
      <c r="L1078"/>
      <c r="M1078"/>
      <c r="N1078"/>
      <c r="O1078"/>
      <c r="Q1078"/>
    </row>
    <row r="1079" spans="2:17" ht="18" customHeight="1" x14ac:dyDescent="0.25">
      <c r="B1079" s="36" t="s">
        <v>41</v>
      </c>
      <c r="C1079" s="66" t="s">
        <v>77</v>
      </c>
      <c r="D1079" s="4" t="s">
        <v>42</v>
      </c>
      <c r="E1079" s="4" t="s">
        <v>42</v>
      </c>
      <c r="F1079" s="4" t="s">
        <v>42</v>
      </c>
      <c r="G1079" s="4" t="s">
        <v>42</v>
      </c>
      <c r="H1079" s="4" t="s">
        <v>42</v>
      </c>
      <c r="I1079" s="4" t="s">
        <v>42</v>
      </c>
      <c r="J1079" s="4" t="s">
        <v>42</v>
      </c>
      <c r="K1079" s="4" t="s">
        <v>42</v>
      </c>
      <c r="L1079" s="4" t="s">
        <v>42</v>
      </c>
      <c r="M1079" s="4" t="s">
        <v>46</v>
      </c>
      <c r="N1079" s="4" t="s">
        <v>77</v>
      </c>
      <c r="O1079"/>
      <c r="Q1079"/>
    </row>
    <row r="1080" spans="2:17" ht="18" customHeight="1" x14ac:dyDescent="0.25">
      <c r="B1080" s="37" t="s">
        <v>15</v>
      </c>
      <c r="C1080" s="66"/>
      <c r="D1080"/>
      <c r="E1080"/>
      <c r="F1080"/>
      <c r="G1080"/>
      <c r="H1080"/>
      <c r="I1080"/>
      <c r="J1080"/>
      <c r="K1080"/>
      <c r="L1080"/>
      <c r="M1080"/>
      <c r="N1080"/>
      <c r="O1080"/>
      <c r="Q1080"/>
    </row>
    <row r="1081" spans="2:17" ht="18" customHeight="1" x14ac:dyDescent="0.25">
      <c r="B1081" s="38" t="s">
        <v>17</v>
      </c>
      <c r="C1081" s="66">
        <v>30</v>
      </c>
      <c r="D1081" s="24">
        <v>30</v>
      </c>
      <c r="E1081" s="24">
        <v>30</v>
      </c>
      <c r="F1081" s="24">
        <v>30</v>
      </c>
      <c r="G1081" s="24">
        <v>30</v>
      </c>
      <c r="H1081" s="24">
        <v>30</v>
      </c>
      <c r="I1081" s="24">
        <v>30</v>
      </c>
      <c r="J1081" s="24">
        <v>30</v>
      </c>
      <c r="K1081" s="24">
        <v>30</v>
      </c>
      <c r="L1081" s="24">
        <v>30</v>
      </c>
      <c r="M1081" s="24">
        <v>30</v>
      </c>
      <c r="N1081" s="4">
        <v>30</v>
      </c>
      <c r="O1081"/>
      <c r="Q1081"/>
    </row>
    <row r="1082" spans="2:17" ht="18" customHeight="1" x14ac:dyDescent="0.25">
      <c r="B1082" s="38" t="s">
        <v>18</v>
      </c>
      <c r="C1082" s="66"/>
      <c r="D1082" s="24"/>
      <c r="E1082" s="24"/>
      <c r="F1082" s="24"/>
      <c r="G1082" s="24"/>
      <c r="H1082" s="24"/>
      <c r="I1082" s="24"/>
      <c r="J1082"/>
      <c r="K1082" s="24"/>
      <c r="L1082" s="24"/>
      <c r="M1082" s="24"/>
      <c r="N1082"/>
      <c r="O1082"/>
      <c r="Q1082"/>
    </row>
    <row r="1083" spans="2:17" ht="18" customHeight="1" x14ac:dyDescent="0.25">
      <c r="B1083" s="24"/>
      <c r="C1083" s="66"/>
      <c r="D1083" s="24"/>
      <c r="E1083" s="24"/>
      <c r="F1083" s="24"/>
      <c r="G1083" s="24"/>
      <c r="H1083" s="24"/>
      <c r="I1083" s="24"/>
      <c r="J1083"/>
      <c r="K1083" s="24"/>
      <c r="L1083" s="24"/>
      <c r="M1083" s="24"/>
      <c r="N1083"/>
      <c r="O1083"/>
      <c r="Q1083"/>
    </row>
    <row r="1084" spans="2:17" ht="18" customHeight="1" x14ac:dyDescent="0.25">
      <c r="B1084" s="31" t="s">
        <v>19</v>
      </c>
      <c r="C1084" s="66"/>
      <c r="D1084" s="24"/>
      <c r="E1084" s="24"/>
      <c r="F1084" s="24"/>
      <c r="G1084" s="24"/>
      <c r="H1084" s="24"/>
      <c r="I1084" s="24"/>
      <c r="J1084"/>
      <c r="K1084" s="24"/>
      <c r="L1084" s="24"/>
      <c r="M1084" s="24"/>
      <c r="N1084"/>
      <c r="O1084"/>
      <c r="Q1084"/>
    </row>
    <row r="1085" spans="2:17" ht="18" customHeight="1" x14ac:dyDescent="0.25">
      <c r="B1085" s="38" t="s">
        <v>20</v>
      </c>
      <c r="C1085" s="66"/>
      <c r="D1085" s="24"/>
      <c r="E1085" s="24"/>
      <c r="F1085" s="24"/>
      <c r="G1085" s="24"/>
      <c r="H1085" s="24"/>
      <c r="I1085" s="24"/>
      <c r="J1085"/>
      <c r="K1085" s="24"/>
      <c r="L1085" s="24"/>
      <c r="M1085" s="24"/>
      <c r="N1085"/>
      <c r="O1085"/>
      <c r="Q1085"/>
    </row>
    <row r="1086" spans="2:17" ht="18" customHeight="1" x14ac:dyDescent="0.25">
      <c r="B1086" s="38" t="s">
        <v>21</v>
      </c>
      <c r="C1086" s="66">
        <v>2</v>
      </c>
      <c r="D1086" s="24">
        <v>2</v>
      </c>
      <c r="E1086" s="24">
        <v>2</v>
      </c>
      <c r="F1086" s="24">
        <v>2</v>
      </c>
      <c r="G1086" s="24">
        <v>2</v>
      </c>
      <c r="H1086" s="24">
        <v>2</v>
      </c>
      <c r="I1086" s="24">
        <v>2</v>
      </c>
      <c r="J1086" s="24">
        <v>2</v>
      </c>
      <c r="K1086" s="24">
        <v>2</v>
      </c>
      <c r="L1086" s="24">
        <v>2</v>
      </c>
      <c r="M1086" s="24">
        <v>2</v>
      </c>
      <c r="N1086" s="24">
        <v>2</v>
      </c>
      <c r="O1086"/>
      <c r="Q1086"/>
    </row>
    <row r="1087" spans="2:17" ht="18" customHeight="1" x14ac:dyDescent="0.25">
      <c r="B1087" s="38" t="s">
        <v>22</v>
      </c>
      <c r="C1087" s="66">
        <v>0.35</v>
      </c>
      <c r="D1087" s="24">
        <v>0.35</v>
      </c>
      <c r="E1087" s="24">
        <v>0.35</v>
      </c>
      <c r="F1087" s="24">
        <v>0.35</v>
      </c>
      <c r="G1087" s="24">
        <v>0.35</v>
      </c>
      <c r="H1087" s="24">
        <v>0.35</v>
      </c>
      <c r="I1087" s="24">
        <v>0.35</v>
      </c>
      <c r="J1087" s="24">
        <v>0.35</v>
      </c>
      <c r="K1087" s="24">
        <v>0.35</v>
      </c>
      <c r="L1087" s="24">
        <v>0.35</v>
      </c>
      <c r="M1087" s="24">
        <v>0.35</v>
      </c>
      <c r="N1087" s="24">
        <v>0.35</v>
      </c>
      <c r="O1087"/>
      <c r="Q1087"/>
    </row>
    <row r="1088" spans="2:17" ht="18" customHeight="1" x14ac:dyDescent="0.25">
      <c r="B1088" s="38" t="s">
        <v>23</v>
      </c>
      <c r="C1088" s="66"/>
      <c r="D1088"/>
      <c r="E1088"/>
      <c r="F1088"/>
      <c r="G1088"/>
      <c r="H1088"/>
      <c r="I1088"/>
      <c r="J1088"/>
      <c r="K1088"/>
      <c r="L1088"/>
      <c r="M1088"/>
      <c r="N1088"/>
      <c r="O1088"/>
      <c r="Q1088"/>
    </row>
    <row r="1089" spans="2:17" ht="18" customHeight="1" x14ac:dyDescent="0.25">
      <c r="B1089" s="38" t="s">
        <v>24</v>
      </c>
      <c r="C1089" s="66"/>
      <c r="D1089"/>
      <c r="E1089"/>
      <c r="F1089"/>
      <c r="G1089"/>
      <c r="H1089"/>
      <c r="I1089"/>
      <c r="J1089"/>
      <c r="K1089"/>
      <c r="L1089"/>
      <c r="M1089"/>
      <c r="N1089"/>
      <c r="O1089"/>
      <c r="Q1089"/>
    </row>
    <row r="1090" spans="2:17" ht="18" customHeight="1" x14ac:dyDescent="0.25">
      <c r="B1090" s="24"/>
      <c r="C1090" s="66"/>
      <c r="D1090"/>
      <c r="E1090"/>
      <c r="F1090"/>
      <c r="G1090"/>
      <c r="H1090"/>
      <c r="I1090"/>
      <c r="J1090"/>
      <c r="K1090"/>
      <c r="L1090"/>
      <c r="M1090"/>
      <c r="N1090"/>
      <c r="O1090"/>
      <c r="Q1090"/>
    </row>
    <row r="1091" spans="2:17" ht="18" customHeight="1" x14ac:dyDescent="0.25">
      <c r="B1091" s="19" t="s">
        <v>33</v>
      </c>
      <c r="C1091" s="66"/>
      <c r="D1091"/>
      <c r="E1091"/>
      <c r="F1091"/>
      <c r="G1091"/>
      <c r="H1091"/>
      <c r="I1091"/>
      <c r="J1091"/>
      <c r="K1091"/>
      <c r="L1091"/>
      <c r="M1091"/>
      <c r="N1091"/>
      <c r="O1091"/>
      <c r="Q1091"/>
    </row>
    <row r="1092" spans="2:17" ht="18" customHeight="1" x14ac:dyDescent="0.25">
      <c r="C1092" s="56"/>
      <c r="D1092"/>
      <c r="E1092"/>
      <c r="F1092"/>
      <c r="G1092"/>
      <c r="H1092"/>
      <c r="I1092"/>
      <c r="J1092"/>
      <c r="K1092"/>
      <c r="L1092"/>
      <c r="M1092"/>
      <c r="N1092"/>
      <c r="O1092"/>
      <c r="Q1092"/>
    </row>
    <row r="1093" spans="2:17" ht="18" customHeight="1" x14ac:dyDescent="0.25">
      <c r="C1093" s="56"/>
      <c r="D1093"/>
      <c r="E1093"/>
      <c r="F1093"/>
      <c r="G1093"/>
      <c r="H1093"/>
      <c r="I1093"/>
      <c r="J1093"/>
      <c r="K1093"/>
      <c r="L1093"/>
      <c r="M1093"/>
      <c r="N1093"/>
      <c r="O1093"/>
      <c r="Q1093"/>
    </row>
    <row r="1094" spans="2:17" ht="18" customHeight="1" x14ac:dyDescent="0.25">
      <c r="C1094" s="56"/>
      <c r="D1094"/>
      <c r="E1094"/>
      <c r="F1094"/>
      <c r="G1094"/>
      <c r="H1094"/>
      <c r="I1094"/>
      <c r="J1094"/>
      <c r="K1094"/>
      <c r="L1094"/>
      <c r="M1094"/>
      <c r="N1094"/>
      <c r="O1094"/>
      <c r="Q1094"/>
    </row>
    <row r="1095" spans="2:17" ht="18" customHeight="1" x14ac:dyDescent="0.25">
      <c r="B1095" s="31" t="s">
        <v>0</v>
      </c>
      <c r="C1095" s="66" t="s">
        <v>210</v>
      </c>
      <c r="D1095"/>
      <c r="E1095"/>
      <c r="F1095"/>
      <c r="G1095"/>
      <c r="H1095"/>
      <c r="I1095"/>
      <c r="J1095"/>
      <c r="K1095"/>
      <c r="L1095"/>
      <c r="M1095"/>
      <c r="N1095"/>
      <c r="O1095"/>
      <c r="Q1095"/>
    </row>
    <row r="1096" spans="2:17" ht="18" customHeight="1" x14ac:dyDescent="0.25">
      <c r="B1096" s="36" t="s">
        <v>3</v>
      </c>
      <c r="C1096" s="66">
        <v>2</v>
      </c>
      <c r="D1096"/>
      <c r="E1096"/>
      <c r="F1096"/>
      <c r="G1096"/>
      <c r="H1096"/>
      <c r="I1096"/>
      <c r="J1096"/>
      <c r="K1096"/>
      <c r="L1096"/>
      <c r="M1096"/>
      <c r="N1096"/>
      <c r="O1096"/>
      <c r="Q1096"/>
    </row>
    <row r="1097" spans="2:17" ht="18" customHeight="1" x14ac:dyDescent="0.25">
      <c r="B1097" s="36"/>
      <c r="C1097" s="56"/>
      <c r="D1097"/>
      <c r="E1097"/>
      <c r="F1097"/>
      <c r="G1097"/>
      <c r="H1097"/>
      <c r="I1097"/>
      <c r="J1097"/>
      <c r="K1097"/>
      <c r="L1097"/>
      <c r="M1097"/>
      <c r="N1097"/>
      <c r="O1097"/>
      <c r="Q1097"/>
    </row>
    <row r="1098" spans="2:17" ht="18" customHeight="1" x14ac:dyDescent="0.25">
      <c r="B1098" s="36" t="s">
        <v>6</v>
      </c>
      <c r="C1098" s="71">
        <v>39833</v>
      </c>
      <c r="D1098"/>
      <c r="E1098"/>
      <c r="F1098"/>
      <c r="G1098"/>
      <c r="H1098"/>
      <c r="I1098"/>
      <c r="J1098"/>
      <c r="K1098"/>
      <c r="L1098"/>
      <c r="M1098"/>
      <c r="N1098"/>
      <c r="O1098"/>
      <c r="Q1098"/>
    </row>
    <row r="1099" spans="2:17" ht="18" customHeight="1" x14ac:dyDescent="0.25">
      <c r="B1099" s="37" t="s">
        <v>9</v>
      </c>
      <c r="C1099" s="67">
        <v>40687</v>
      </c>
      <c r="D1099" s="25">
        <v>40890</v>
      </c>
      <c r="E1099" s="25">
        <v>41079</v>
      </c>
      <c r="F1099" s="25">
        <v>41324</v>
      </c>
      <c r="G1099" s="25">
        <v>41478</v>
      </c>
      <c r="H1099" s="25">
        <v>41695</v>
      </c>
      <c r="I1099" s="25">
        <v>41912</v>
      </c>
      <c r="J1099"/>
      <c r="K1099"/>
      <c r="L1099"/>
      <c r="M1099"/>
      <c r="N1099"/>
      <c r="O1099"/>
      <c r="Q1099"/>
    </row>
    <row r="1100" spans="2:17" ht="18" customHeight="1" x14ac:dyDescent="0.25">
      <c r="B1100" s="37" t="s">
        <v>8</v>
      </c>
      <c r="C1100" s="66"/>
      <c r="D1100"/>
      <c r="E1100"/>
      <c r="F1100"/>
      <c r="G1100"/>
      <c r="H1100"/>
      <c r="I1100"/>
      <c r="J1100"/>
      <c r="K1100"/>
      <c r="L1100"/>
      <c r="M1100"/>
      <c r="N1100"/>
      <c r="O1100"/>
      <c r="Q1100"/>
    </row>
    <row r="1101" spans="2:17" ht="18" customHeight="1" x14ac:dyDescent="0.25">
      <c r="B1101" s="38" t="s">
        <v>11</v>
      </c>
      <c r="C1101" s="66">
        <v>6.37</v>
      </c>
      <c r="D1101" s="4">
        <v>6.29</v>
      </c>
      <c r="E1101" s="4">
        <v>6.13</v>
      </c>
      <c r="F1101" s="4">
        <v>5.85</v>
      </c>
      <c r="G1101" s="4">
        <v>5.55</v>
      </c>
      <c r="H1101" s="4">
        <v>5.28</v>
      </c>
      <c r="I1101" s="4">
        <v>5.18</v>
      </c>
      <c r="J1101"/>
      <c r="K1101"/>
      <c r="L1101"/>
      <c r="M1101"/>
      <c r="N1101"/>
      <c r="O1101"/>
      <c r="Q1101"/>
    </row>
    <row r="1102" spans="2:17" ht="18" customHeight="1" x14ac:dyDescent="0.25">
      <c r="B1102" s="38" t="s">
        <v>12</v>
      </c>
      <c r="C1102" s="66"/>
      <c r="D1102"/>
      <c r="E1102"/>
      <c r="F1102"/>
      <c r="G1102"/>
      <c r="H1102"/>
      <c r="I1102"/>
      <c r="J1102"/>
      <c r="K1102"/>
      <c r="L1102"/>
      <c r="M1102"/>
      <c r="N1102"/>
      <c r="O1102"/>
      <c r="Q1102"/>
    </row>
    <row r="1103" spans="2:17" ht="18" customHeight="1" x14ac:dyDescent="0.25">
      <c r="B1103" s="38" t="s">
        <v>13</v>
      </c>
      <c r="C1103" s="66">
        <v>0</v>
      </c>
      <c r="D1103" s="24">
        <v>0</v>
      </c>
      <c r="E1103" s="24">
        <v>0</v>
      </c>
      <c r="F1103" s="24">
        <v>0</v>
      </c>
      <c r="G1103" s="24">
        <v>0</v>
      </c>
      <c r="H1103" s="24">
        <v>0</v>
      </c>
      <c r="I1103" s="24">
        <v>0</v>
      </c>
      <c r="J1103"/>
      <c r="K1103"/>
      <c r="L1103"/>
      <c r="M1103"/>
      <c r="N1103"/>
      <c r="O1103"/>
      <c r="Q1103"/>
    </row>
    <row r="1104" spans="2:17" ht="18" customHeight="1" x14ac:dyDescent="0.25">
      <c r="B1104" s="38" t="s">
        <v>14</v>
      </c>
      <c r="C1104" s="66"/>
      <c r="D1104"/>
      <c r="E1104"/>
      <c r="F1104"/>
      <c r="G1104"/>
      <c r="H1104"/>
      <c r="I1104"/>
      <c r="J1104"/>
      <c r="K1104"/>
      <c r="L1104"/>
      <c r="M1104"/>
      <c r="N1104"/>
      <c r="O1104"/>
      <c r="Q1104"/>
    </row>
    <row r="1105" spans="2:17" ht="18" customHeight="1" x14ac:dyDescent="0.25">
      <c r="B1105" s="36" t="s">
        <v>41</v>
      </c>
      <c r="C1105" s="66" t="s">
        <v>42</v>
      </c>
      <c r="D1105" s="24" t="s">
        <v>42</v>
      </c>
      <c r="E1105" s="24" t="s">
        <v>42</v>
      </c>
      <c r="F1105" s="24" t="s">
        <v>42</v>
      </c>
      <c r="G1105" s="24" t="s">
        <v>42</v>
      </c>
      <c r="H1105" s="24" t="s">
        <v>42</v>
      </c>
      <c r="I1105" s="24" t="s">
        <v>42</v>
      </c>
      <c r="J1105"/>
      <c r="K1105"/>
      <c r="L1105"/>
      <c r="M1105"/>
      <c r="N1105"/>
      <c r="O1105"/>
      <c r="Q1105"/>
    </row>
    <row r="1106" spans="2:17" ht="18" customHeight="1" x14ac:dyDescent="0.25">
      <c r="B1106" s="37" t="s">
        <v>15</v>
      </c>
      <c r="C1106" s="66"/>
      <c r="D1106"/>
      <c r="E1106"/>
      <c r="F1106"/>
      <c r="G1106"/>
      <c r="H1106"/>
      <c r="I1106"/>
      <c r="J1106"/>
      <c r="K1106"/>
      <c r="L1106"/>
      <c r="M1106"/>
      <c r="N1106"/>
      <c r="O1106"/>
      <c r="Q1106"/>
    </row>
    <row r="1107" spans="2:17" ht="18" customHeight="1" x14ac:dyDescent="0.25">
      <c r="B1107" s="38" t="s">
        <v>17</v>
      </c>
      <c r="C1107" s="66" t="s">
        <v>47</v>
      </c>
      <c r="D1107" s="24" t="s">
        <v>47</v>
      </c>
      <c r="E1107" s="24" t="s">
        <v>47</v>
      </c>
      <c r="F1107" s="24" t="s">
        <v>47</v>
      </c>
      <c r="G1107" s="24" t="s">
        <v>47</v>
      </c>
      <c r="H1107" s="24" t="s">
        <v>47</v>
      </c>
      <c r="I1107" s="24" t="s">
        <v>47</v>
      </c>
      <c r="J1107"/>
      <c r="K1107"/>
      <c r="L1107"/>
      <c r="M1107"/>
      <c r="N1107"/>
      <c r="O1107"/>
      <c r="Q1107"/>
    </row>
    <row r="1108" spans="2:17" ht="18" customHeight="1" x14ac:dyDescent="0.25">
      <c r="B1108" s="38" t="s">
        <v>18</v>
      </c>
      <c r="C1108" s="66" t="s">
        <v>69</v>
      </c>
      <c r="D1108" s="24" t="s">
        <v>69</v>
      </c>
      <c r="E1108" s="24" t="s">
        <v>69</v>
      </c>
      <c r="F1108" s="24" t="s">
        <v>69</v>
      </c>
      <c r="G1108" s="24" t="s">
        <v>69</v>
      </c>
      <c r="H1108" s="24" t="s">
        <v>69</v>
      </c>
      <c r="I1108" s="24" t="s">
        <v>69</v>
      </c>
      <c r="J1108"/>
      <c r="K1108"/>
      <c r="L1108"/>
      <c r="M1108"/>
      <c r="N1108"/>
      <c r="O1108"/>
      <c r="Q1108"/>
    </row>
    <row r="1109" spans="2:17" ht="18" customHeight="1" x14ac:dyDescent="0.25">
      <c r="B1109" s="24"/>
      <c r="C1109" s="66"/>
      <c r="D1109" s="24"/>
      <c r="E1109" s="24"/>
      <c r="F1109" s="24"/>
      <c r="G1109" s="24"/>
      <c r="H1109" s="24"/>
      <c r="I1109" s="24"/>
      <c r="J1109"/>
      <c r="K1109"/>
      <c r="L1109"/>
      <c r="M1109"/>
      <c r="N1109"/>
      <c r="O1109"/>
      <c r="Q1109"/>
    </row>
    <row r="1110" spans="2:17" ht="18" customHeight="1" x14ac:dyDescent="0.25">
      <c r="B1110" s="31" t="s">
        <v>19</v>
      </c>
      <c r="C1110" s="66">
        <v>2.5</v>
      </c>
      <c r="D1110" s="24">
        <v>2.5</v>
      </c>
      <c r="E1110" s="24">
        <v>2.5</v>
      </c>
      <c r="F1110" s="24">
        <v>2.5</v>
      </c>
      <c r="G1110" s="24">
        <v>2.5</v>
      </c>
      <c r="H1110" s="24">
        <v>2.5</v>
      </c>
      <c r="I1110" s="24">
        <v>2.5</v>
      </c>
      <c r="J1110"/>
      <c r="K1110"/>
      <c r="L1110"/>
      <c r="M1110"/>
      <c r="N1110"/>
      <c r="O1110"/>
      <c r="Q1110"/>
    </row>
    <row r="1111" spans="2:17" ht="18" customHeight="1" x14ac:dyDescent="0.25">
      <c r="B1111" s="38" t="s">
        <v>20</v>
      </c>
      <c r="C1111" s="66">
        <v>0.35</v>
      </c>
      <c r="D1111" s="24">
        <v>0.35</v>
      </c>
      <c r="E1111" s="24">
        <v>0.35</v>
      </c>
      <c r="F1111" s="24">
        <v>0.35</v>
      </c>
      <c r="G1111" s="24">
        <v>0.35</v>
      </c>
      <c r="H1111" s="24">
        <v>0.35</v>
      </c>
      <c r="I1111" s="24">
        <v>0.35</v>
      </c>
      <c r="J1111"/>
      <c r="K1111"/>
      <c r="L1111"/>
      <c r="M1111"/>
      <c r="N1111"/>
      <c r="O1111"/>
      <c r="Q1111"/>
    </row>
    <row r="1112" spans="2:17" ht="18" customHeight="1" x14ac:dyDescent="0.25">
      <c r="B1112" s="38" t="s">
        <v>21</v>
      </c>
      <c r="C1112" s="66">
        <v>2.5</v>
      </c>
      <c r="D1112" s="24">
        <v>2.5</v>
      </c>
      <c r="E1112" s="24">
        <v>2.5</v>
      </c>
      <c r="F1112" s="24">
        <v>2.5</v>
      </c>
      <c r="G1112" s="24">
        <v>2.5</v>
      </c>
      <c r="H1112" s="24">
        <v>2.5</v>
      </c>
      <c r="I1112" s="24">
        <v>2.5</v>
      </c>
      <c r="J1112"/>
      <c r="K1112"/>
      <c r="L1112"/>
      <c r="M1112"/>
      <c r="N1112"/>
      <c r="O1112"/>
      <c r="Q1112"/>
    </row>
    <row r="1113" spans="2:17" ht="18" customHeight="1" x14ac:dyDescent="0.25">
      <c r="B1113" s="38" t="s">
        <v>22</v>
      </c>
      <c r="C1113" s="66">
        <v>0.35</v>
      </c>
      <c r="D1113" s="24">
        <v>0.35</v>
      </c>
      <c r="E1113" s="24">
        <v>0.35</v>
      </c>
      <c r="F1113" s="24">
        <v>0.35</v>
      </c>
      <c r="G1113" s="24">
        <v>0.35</v>
      </c>
      <c r="H1113" s="24">
        <v>0.35</v>
      </c>
      <c r="I1113" s="24">
        <v>0.35</v>
      </c>
      <c r="J1113"/>
      <c r="K1113"/>
      <c r="L1113"/>
      <c r="M1113"/>
      <c r="N1113"/>
      <c r="O1113"/>
      <c r="Q1113"/>
    </row>
    <row r="1114" spans="2:17" ht="18" customHeight="1" x14ac:dyDescent="0.25">
      <c r="B1114" s="38" t="s">
        <v>23</v>
      </c>
      <c r="C1114" s="66"/>
      <c r="D1114"/>
      <c r="E1114"/>
      <c r="F1114"/>
      <c r="G1114"/>
      <c r="H1114"/>
      <c r="I1114"/>
      <c r="J1114"/>
      <c r="K1114"/>
      <c r="L1114"/>
      <c r="M1114"/>
      <c r="N1114"/>
      <c r="O1114"/>
      <c r="Q1114"/>
    </row>
    <row r="1115" spans="2:17" ht="18" customHeight="1" x14ac:dyDescent="0.25">
      <c r="B1115" s="38" t="s">
        <v>24</v>
      </c>
      <c r="C1115" s="66"/>
      <c r="D1115"/>
      <c r="E1115"/>
      <c r="F1115"/>
      <c r="G1115"/>
      <c r="H1115"/>
      <c r="I1115"/>
      <c r="J1115"/>
      <c r="K1115"/>
      <c r="L1115"/>
      <c r="M1115"/>
      <c r="N1115"/>
      <c r="O1115"/>
      <c r="Q1115"/>
    </row>
    <row r="1116" spans="2:17" ht="18" customHeight="1" x14ac:dyDescent="0.25">
      <c r="B1116" s="24"/>
      <c r="C1116" s="66"/>
      <c r="D1116"/>
      <c r="E1116"/>
      <c r="F1116"/>
      <c r="G1116"/>
      <c r="H1116"/>
      <c r="I1116"/>
      <c r="J1116"/>
      <c r="K1116"/>
      <c r="L1116"/>
      <c r="M1116"/>
      <c r="N1116"/>
      <c r="O1116"/>
      <c r="Q1116"/>
    </row>
    <row r="1117" spans="2:17" ht="18" customHeight="1" x14ac:dyDescent="0.25">
      <c r="B1117" s="19" t="s">
        <v>33</v>
      </c>
      <c r="C1117" s="66"/>
      <c r="D1117"/>
      <c r="E1117"/>
      <c r="F1117"/>
      <c r="G1117"/>
      <c r="H1117"/>
      <c r="I1117"/>
      <c r="J1117"/>
      <c r="K1117"/>
      <c r="L1117"/>
      <c r="M1117"/>
      <c r="N1117"/>
      <c r="O1117"/>
      <c r="Q1117"/>
    </row>
    <row r="1118" spans="2:17" ht="18" customHeight="1" x14ac:dyDescent="0.25">
      <c r="C1118" s="56"/>
      <c r="D1118"/>
      <c r="E1118"/>
      <c r="F1118"/>
      <c r="G1118"/>
      <c r="H1118"/>
      <c r="I1118"/>
      <c r="J1118"/>
      <c r="K1118"/>
      <c r="L1118"/>
      <c r="M1118"/>
      <c r="N1118"/>
      <c r="O1118"/>
      <c r="Q1118"/>
    </row>
    <row r="1119" spans="2:17" ht="18" customHeight="1" x14ac:dyDescent="0.25">
      <c r="C1119" s="56"/>
      <c r="D1119"/>
      <c r="E1119"/>
      <c r="F1119"/>
      <c r="G1119"/>
      <c r="H1119"/>
      <c r="I1119"/>
      <c r="J1119"/>
      <c r="K1119"/>
      <c r="L1119"/>
      <c r="M1119"/>
      <c r="N1119"/>
      <c r="O1119"/>
      <c r="Q1119"/>
    </row>
    <row r="1120" spans="2:17" ht="18" customHeight="1" x14ac:dyDescent="0.25">
      <c r="C1120" s="56"/>
      <c r="D1120"/>
      <c r="E1120"/>
      <c r="F1120"/>
      <c r="G1120"/>
      <c r="H1120"/>
      <c r="I1120"/>
      <c r="J1120"/>
      <c r="K1120"/>
      <c r="L1120"/>
      <c r="M1120"/>
      <c r="N1120"/>
      <c r="O1120"/>
      <c r="Q1120"/>
    </row>
    <row r="1121" spans="2:17" ht="18" customHeight="1" x14ac:dyDescent="0.25">
      <c r="B1121" s="31" t="s">
        <v>0</v>
      </c>
      <c r="C1121" s="66" t="s">
        <v>211</v>
      </c>
      <c r="D1121"/>
      <c r="E1121"/>
      <c r="F1121"/>
      <c r="G1121"/>
      <c r="H1121"/>
      <c r="I1121"/>
      <c r="J1121"/>
      <c r="K1121"/>
      <c r="L1121"/>
      <c r="M1121"/>
      <c r="N1121"/>
      <c r="O1121"/>
      <c r="Q1121"/>
    </row>
    <row r="1122" spans="2:17" ht="18" customHeight="1" x14ac:dyDescent="0.25">
      <c r="B1122" s="36" t="s">
        <v>3</v>
      </c>
      <c r="C1122" s="66">
        <v>2</v>
      </c>
      <c r="D1122"/>
      <c r="E1122"/>
      <c r="F1122"/>
      <c r="G1122"/>
      <c r="H1122"/>
      <c r="I1122"/>
      <c r="J1122"/>
      <c r="K1122"/>
      <c r="L1122"/>
      <c r="M1122"/>
      <c r="N1122"/>
      <c r="O1122"/>
      <c r="Q1122"/>
    </row>
    <row r="1123" spans="2:17" ht="18" customHeight="1" x14ac:dyDescent="0.25">
      <c r="B1123" s="36"/>
      <c r="C1123" s="56"/>
      <c r="D1123"/>
      <c r="E1123"/>
      <c r="F1123"/>
      <c r="G1123"/>
      <c r="H1123"/>
      <c r="I1123"/>
      <c r="J1123"/>
      <c r="K1123"/>
      <c r="L1123"/>
      <c r="M1123"/>
      <c r="N1123"/>
      <c r="O1123"/>
      <c r="Q1123"/>
    </row>
    <row r="1124" spans="2:17" ht="18" customHeight="1" x14ac:dyDescent="0.25">
      <c r="B1124" s="36" t="s">
        <v>6</v>
      </c>
      <c r="C1124" s="71">
        <v>38882</v>
      </c>
      <c r="D1124"/>
      <c r="E1124"/>
      <c r="F1124"/>
      <c r="G1124"/>
      <c r="H1124"/>
      <c r="I1124"/>
      <c r="J1124"/>
      <c r="K1124"/>
      <c r="L1124"/>
      <c r="M1124"/>
      <c r="N1124"/>
      <c r="O1124"/>
      <c r="Q1124"/>
    </row>
    <row r="1125" spans="2:17" ht="18" customHeight="1" x14ac:dyDescent="0.25">
      <c r="B1125" s="37" t="s">
        <v>9</v>
      </c>
      <c r="C1125" s="67">
        <v>40827</v>
      </c>
      <c r="D1125" s="25">
        <v>41023</v>
      </c>
      <c r="E1125" s="25">
        <v>41212</v>
      </c>
      <c r="F1125" s="25">
        <v>41323</v>
      </c>
      <c r="G1125"/>
      <c r="H1125"/>
      <c r="I1125"/>
      <c r="J1125"/>
      <c r="K1125"/>
      <c r="L1125"/>
      <c r="M1125"/>
      <c r="N1125"/>
      <c r="O1125"/>
      <c r="Q1125"/>
    </row>
    <row r="1126" spans="2:17" ht="18" customHeight="1" x14ac:dyDescent="0.25">
      <c r="B1126" s="37" t="s">
        <v>8</v>
      </c>
      <c r="C1126" s="66"/>
      <c r="D1126"/>
      <c r="E1126"/>
      <c r="F1126"/>
      <c r="G1126"/>
      <c r="H1126"/>
      <c r="I1126"/>
      <c r="J1126"/>
      <c r="K1126"/>
      <c r="L1126"/>
      <c r="M1126"/>
      <c r="N1126"/>
      <c r="O1126"/>
      <c r="Q1126"/>
    </row>
    <row r="1127" spans="2:17" ht="18" customHeight="1" x14ac:dyDescent="0.25">
      <c r="B1127" s="38" t="s">
        <v>11</v>
      </c>
      <c r="C1127" s="66">
        <v>5.15</v>
      </c>
      <c r="D1127" s="4">
        <v>5.15</v>
      </c>
      <c r="E1127" s="4">
        <v>5.13</v>
      </c>
      <c r="F1127" s="4">
        <v>5.07</v>
      </c>
      <c r="G1127"/>
      <c r="H1127"/>
      <c r="I1127"/>
      <c r="J1127"/>
      <c r="K1127"/>
      <c r="L1127"/>
      <c r="M1127"/>
      <c r="N1127"/>
      <c r="O1127"/>
      <c r="Q1127"/>
    </row>
    <row r="1128" spans="2:17" ht="18" customHeight="1" x14ac:dyDescent="0.25">
      <c r="B1128" s="38" t="s">
        <v>12</v>
      </c>
      <c r="C1128" s="66">
        <v>2</v>
      </c>
      <c r="D1128" s="4">
        <v>2</v>
      </c>
      <c r="E1128" s="4">
        <v>1</v>
      </c>
      <c r="F1128" s="4">
        <v>5</v>
      </c>
      <c r="G1128"/>
      <c r="H1128"/>
      <c r="I1128"/>
      <c r="J1128"/>
      <c r="K1128"/>
      <c r="L1128"/>
      <c r="M1128"/>
      <c r="N1128"/>
      <c r="O1128"/>
      <c r="Q1128"/>
    </row>
    <row r="1129" spans="2:17" ht="18" customHeight="1" x14ac:dyDescent="0.25">
      <c r="B1129" s="38" t="s">
        <v>13</v>
      </c>
      <c r="C1129" s="66">
        <v>0</v>
      </c>
      <c r="D1129" s="24">
        <v>0</v>
      </c>
      <c r="E1129" s="4">
        <v>0</v>
      </c>
      <c r="F1129" s="4">
        <v>0</v>
      </c>
      <c r="G1129"/>
      <c r="H1129"/>
      <c r="I1129"/>
      <c r="J1129"/>
      <c r="K1129"/>
      <c r="L1129"/>
      <c r="M1129"/>
      <c r="N1129"/>
      <c r="O1129"/>
      <c r="Q1129"/>
    </row>
    <row r="1130" spans="2:17" ht="18" customHeight="1" x14ac:dyDescent="0.25">
      <c r="B1130" s="38" t="s">
        <v>14</v>
      </c>
      <c r="C1130" s="66"/>
      <c r="D1130"/>
      <c r="E1130"/>
      <c r="F1130"/>
      <c r="G1130"/>
      <c r="H1130"/>
      <c r="I1130"/>
      <c r="J1130"/>
      <c r="K1130"/>
      <c r="L1130"/>
      <c r="M1130"/>
      <c r="N1130"/>
      <c r="O1130"/>
      <c r="Q1130"/>
    </row>
    <row r="1131" spans="2:17" ht="18" customHeight="1" x14ac:dyDescent="0.25">
      <c r="B1131" s="36" t="s">
        <v>41</v>
      </c>
      <c r="C1131" s="66" t="s">
        <v>45</v>
      </c>
      <c r="D1131" s="24" t="s">
        <v>42</v>
      </c>
      <c r="E1131" s="24" t="s">
        <v>42</v>
      </c>
      <c r="F1131" s="24" t="s">
        <v>42</v>
      </c>
      <c r="G1131"/>
      <c r="H1131"/>
      <c r="I1131"/>
      <c r="J1131"/>
      <c r="K1131"/>
      <c r="L1131"/>
      <c r="M1131"/>
      <c r="N1131"/>
      <c r="O1131"/>
      <c r="Q1131"/>
    </row>
    <row r="1132" spans="2:17" ht="18" customHeight="1" x14ac:dyDescent="0.25">
      <c r="B1132" s="37" t="s">
        <v>15</v>
      </c>
      <c r="C1132" s="66"/>
      <c r="D1132"/>
      <c r="E1132"/>
      <c r="F1132"/>
      <c r="G1132"/>
      <c r="H1132"/>
      <c r="I1132"/>
      <c r="J1132"/>
      <c r="K1132"/>
      <c r="L1132"/>
      <c r="M1132"/>
      <c r="N1132"/>
      <c r="O1132"/>
      <c r="Q1132"/>
    </row>
    <row r="1133" spans="2:17" ht="18" customHeight="1" x14ac:dyDescent="0.25">
      <c r="B1133" s="38" t="s">
        <v>17</v>
      </c>
      <c r="C1133" s="66" t="s">
        <v>67</v>
      </c>
      <c r="D1133" s="24" t="s">
        <v>67</v>
      </c>
      <c r="E1133" s="24" t="s">
        <v>67</v>
      </c>
      <c r="F1133" s="24" t="s">
        <v>67</v>
      </c>
      <c r="G1133"/>
      <c r="H1133"/>
      <c r="I1133"/>
      <c r="J1133"/>
      <c r="K1133"/>
      <c r="L1133"/>
      <c r="M1133"/>
      <c r="N1133"/>
      <c r="O1133"/>
      <c r="Q1133"/>
    </row>
    <row r="1134" spans="2:17" ht="18" customHeight="1" x14ac:dyDescent="0.25">
      <c r="B1134" s="38" t="s">
        <v>18</v>
      </c>
      <c r="C1134" s="66" t="s">
        <v>69</v>
      </c>
      <c r="D1134" s="24" t="s">
        <v>69</v>
      </c>
      <c r="E1134" s="24" t="s">
        <v>69</v>
      </c>
      <c r="F1134" s="24" t="s">
        <v>69</v>
      </c>
      <c r="G1134"/>
      <c r="H1134"/>
      <c r="I1134"/>
      <c r="J1134"/>
      <c r="K1134"/>
      <c r="L1134"/>
      <c r="M1134"/>
      <c r="N1134"/>
      <c r="O1134"/>
      <c r="Q1134"/>
    </row>
    <row r="1135" spans="2:17" ht="18" customHeight="1" x14ac:dyDescent="0.25">
      <c r="B1135" s="24"/>
      <c r="C1135" s="66"/>
      <c r="D1135" s="24"/>
      <c r="E1135" s="24"/>
      <c r="F1135" s="24"/>
      <c r="G1135"/>
      <c r="H1135"/>
      <c r="I1135"/>
      <c r="J1135"/>
      <c r="K1135"/>
      <c r="L1135"/>
      <c r="M1135"/>
      <c r="N1135"/>
      <c r="O1135"/>
      <c r="Q1135"/>
    </row>
    <row r="1136" spans="2:17" ht="18" customHeight="1" x14ac:dyDescent="0.25">
      <c r="B1136" s="31" t="s">
        <v>19</v>
      </c>
      <c r="C1136" s="66">
        <v>2</v>
      </c>
      <c r="D1136" s="24">
        <v>2</v>
      </c>
      <c r="E1136" s="24">
        <v>2</v>
      </c>
      <c r="F1136" s="24">
        <v>2</v>
      </c>
      <c r="G1136"/>
      <c r="H1136"/>
      <c r="I1136"/>
      <c r="J1136"/>
      <c r="K1136"/>
      <c r="L1136"/>
      <c r="M1136"/>
      <c r="N1136"/>
      <c r="O1136"/>
      <c r="Q1136"/>
    </row>
    <row r="1137" spans="2:19" ht="18" customHeight="1" x14ac:dyDescent="0.25">
      <c r="B1137" s="38" t="s">
        <v>20</v>
      </c>
      <c r="C1137" s="66">
        <v>0.35</v>
      </c>
      <c r="D1137" s="24">
        <v>0.35</v>
      </c>
      <c r="E1137" s="24">
        <v>0.35</v>
      </c>
      <c r="F1137" s="24">
        <v>0.35</v>
      </c>
      <c r="G1137"/>
      <c r="H1137"/>
      <c r="I1137"/>
      <c r="J1137"/>
      <c r="K1137"/>
      <c r="L1137"/>
      <c r="M1137"/>
      <c r="N1137"/>
      <c r="O1137"/>
      <c r="Q1137"/>
    </row>
    <row r="1138" spans="2:19" ht="18" customHeight="1" x14ac:dyDescent="0.25">
      <c r="B1138" s="38" t="s">
        <v>21</v>
      </c>
      <c r="C1138" s="66">
        <v>2</v>
      </c>
      <c r="D1138" s="24">
        <v>2</v>
      </c>
      <c r="E1138" s="24">
        <v>2</v>
      </c>
      <c r="F1138" s="24">
        <v>2</v>
      </c>
      <c r="G1138"/>
      <c r="H1138"/>
      <c r="I1138"/>
      <c r="J1138"/>
      <c r="K1138"/>
      <c r="L1138"/>
      <c r="M1138"/>
      <c r="N1138"/>
      <c r="O1138"/>
      <c r="Q1138"/>
    </row>
    <row r="1139" spans="2:19" ht="18" customHeight="1" x14ac:dyDescent="0.25">
      <c r="B1139" s="38" t="s">
        <v>22</v>
      </c>
      <c r="C1139" s="66">
        <v>0.35</v>
      </c>
      <c r="D1139" s="24">
        <v>0.35</v>
      </c>
      <c r="E1139" s="24">
        <v>0.35</v>
      </c>
      <c r="F1139" s="24">
        <v>0.35</v>
      </c>
      <c r="G1139"/>
      <c r="H1139"/>
      <c r="I1139"/>
      <c r="J1139"/>
      <c r="K1139"/>
      <c r="L1139"/>
      <c r="M1139"/>
      <c r="N1139"/>
      <c r="O1139"/>
      <c r="Q1139"/>
    </row>
    <row r="1140" spans="2:19" ht="18" customHeight="1" x14ac:dyDescent="0.25">
      <c r="B1140" s="38" t="s">
        <v>23</v>
      </c>
      <c r="C1140" s="66"/>
      <c r="D1140"/>
      <c r="E1140"/>
      <c r="F1140"/>
      <c r="G1140"/>
      <c r="H1140"/>
      <c r="I1140"/>
      <c r="J1140"/>
      <c r="K1140"/>
      <c r="L1140"/>
      <c r="M1140"/>
      <c r="N1140"/>
      <c r="O1140"/>
      <c r="Q1140"/>
    </row>
    <row r="1141" spans="2:19" ht="18" customHeight="1" x14ac:dyDescent="0.25">
      <c r="B1141" s="38" t="s">
        <v>24</v>
      </c>
      <c r="C1141" s="66"/>
      <c r="D1141"/>
      <c r="E1141"/>
      <c r="F1141"/>
      <c r="G1141"/>
      <c r="H1141"/>
      <c r="I1141"/>
      <c r="J1141"/>
      <c r="K1141"/>
      <c r="L1141"/>
      <c r="M1141"/>
      <c r="N1141"/>
      <c r="O1141"/>
      <c r="Q1141"/>
    </row>
    <row r="1142" spans="2:19" ht="18" customHeight="1" x14ac:dyDescent="0.25">
      <c r="B1142" s="24"/>
      <c r="C1142" s="66"/>
      <c r="D1142"/>
      <c r="E1142"/>
      <c r="F1142"/>
      <c r="G1142"/>
      <c r="H1142"/>
      <c r="I1142"/>
      <c r="J1142"/>
      <c r="K1142"/>
      <c r="L1142"/>
      <c r="M1142"/>
      <c r="N1142"/>
      <c r="O1142"/>
      <c r="Q1142"/>
    </row>
    <row r="1143" spans="2:19" ht="18" customHeight="1" x14ac:dyDescent="0.25">
      <c r="B1143" s="19" t="s">
        <v>33</v>
      </c>
      <c r="C1143" s="66"/>
      <c r="D1143"/>
      <c r="E1143"/>
      <c r="F1143"/>
      <c r="G1143"/>
      <c r="H1143"/>
      <c r="I1143"/>
      <c r="J1143"/>
      <c r="K1143"/>
      <c r="L1143"/>
      <c r="M1143"/>
      <c r="N1143"/>
      <c r="O1143"/>
      <c r="Q1143"/>
    </row>
    <row r="1144" spans="2:19" ht="18" customHeight="1" x14ac:dyDescent="0.25">
      <c r="C1144" s="56"/>
      <c r="D1144"/>
      <c r="E1144"/>
      <c r="F1144"/>
      <c r="G1144"/>
      <c r="H1144"/>
      <c r="I1144"/>
      <c r="J1144"/>
      <c r="K1144"/>
      <c r="L1144"/>
      <c r="M1144"/>
      <c r="N1144"/>
      <c r="O1144"/>
      <c r="Q1144"/>
    </row>
    <row r="1145" spans="2:19" ht="18" customHeight="1" x14ac:dyDescent="0.25">
      <c r="C1145" s="56"/>
      <c r="D1145"/>
      <c r="E1145"/>
      <c r="F1145"/>
      <c r="G1145"/>
      <c r="H1145"/>
      <c r="I1145"/>
      <c r="J1145"/>
      <c r="K1145"/>
      <c r="L1145"/>
      <c r="M1145"/>
      <c r="N1145"/>
      <c r="O1145"/>
      <c r="Q1145"/>
    </row>
    <row r="1146" spans="2:19" ht="18" customHeight="1" x14ac:dyDescent="0.25">
      <c r="C1146" s="56"/>
      <c r="D1146"/>
      <c r="E1146"/>
      <c r="F1146"/>
      <c r="G1146"/>
      <c r="H1146"/>
      <c r="I1146"/>
      <c r="J1146"/>
      <c r="K1146"/>
      <c r="L1146"/>
      <c r="M1146"/>
      <c r="N1146"/>
      <c r="O1146"/>
      <c r="Q1146"/>
    </row>
    <row r="1147" spans="2:19" ht="18" customHeight="1" x14ac:dyDescent="0.25">
      <c r="C1147" s="56"/>
      <c r="D1147"/>
      <c r="E1147"/>
      <c r="F1147"/>
      <c r="G1147"/>
      <c r="H1147"/>
      <c r="I1147"/>
      <c r="J1147"/>
      <c r="K1147"/>
      <c r="L1147"/>
      <c r="M1147"/>
      <c r="N1147"/>
      <c r="O1147"/>
      <c r="Q1147"/>
    </row>
    <row r="1148" spans="2:19" ht="18" customHeight="1" x14ac:dyDescent="0.25">
      <c r="B1148" s="31" t="s">
        <v>0</v>
      </c>
      <c r="C1148" s="66" t="s">
        <v>212</v>
      </c>
      <c r="D1148"/>
      <c r="E1148"/>
      <c r="F1148"/>
      <c r="G1148"/>
      <c r="H1148"/>
      <c r="I1148"/>
      <c r="J1148"/>
      <c r="K1148"/>
      <c r="L1148"/>
      <c r="M1148"/>
      <c r="N1148"/>
      <c r="O1148"/>
      <c r="Q1148"/>
    </row>
    <row r="1149" spans="2:19" ht="18" customHeight="1" x14ac:dyDescent="0.25">
      <c r="B1149" s="36" t="s">
        <v>3</v>
      </c>
      <c r="C1149" s="66">
        <v>2</v>
      </c>
      <c r="D1149"/>
      <c r="E1149"/>
      <c r="F1149"/>
      <c r="G1149"/>
      <c r="H1149"/>
      <c r="I1149"/>
      <c r="J1149"/>
      <c r="K1149"/>
      <c r="L1149"/>
      <c r="M1149"/>
      <c r="N1149"/>
      <c r="O1149"/>
      <c r="Q1149"/>
    </row>
    <row r="1150" spans="2:19" ht="18" customHeight="1" x14ac:dyDescent="0.25">
      <c r="B1150" s="36"/>
      <c r="C1150" s="56"/>
      <c r="D1150"/>
      <c r="E1150"/>
      <c r="F1150"/>
      <c r="G1150"/>
      <c r="H1150"/>
      <c r="I1150"/>
      <c r="J1150"/>
      <c r="K1150"/>
      <c r="L1150"/>
      <c r="M1150"/>
      <c r="N1150"/>
      <c r="O1150"/>
      <c r="Q1150" s="24"/>
      <c r="S1150" s="4"/>
    </row>
    <row r="1151" spans="2:19" ht="18" customHeight="1" x14ac:dyDescent="0.25">
      <c r="B1151" s="36" t="s">
        <v>6</v>
      </c>
      <c r="C1151" s="71">
        <v>38748</v>
      </c>
      <c r="D1151"/>
      <c r="E1151"/>
      <c r="F1151"/>
      <c r="G1151"/>
      <c r="H1151"/>
      <c r="I1151"/>
      <c r="J1151"/>
      <c r="K1151"/>
      <c r="L1151"/>
      <c r="M1151"/>
      <c r="N1151"/>
      <c r="O1151"/>
      <c r="Q1151" s="24"/>
      <c r="S1151" s="4"/>
    </row>
    <row r="1152" spans="2:19" ht="18" customHeight="1" x14ac:dyDescent="0.25">
      <c r="B1152" s="37" t="s">
        <v>9</v>
      </c>
      <c r="C1152" s="65">
        <v>41162</v>
      </c>
      <c r="D1152" s="25">
        <v>41261</v>
      </c>
      <c r="E1152" s="25">
        <v>41323</v>
      </c>
      <c r="F1152" s="27">
        <v>41415</v>
      </c>
      <c r="G1152" s="25">
        <v>41486</v>
      </c>
      <c r="H1152" s="25">
        <v>41670</v>
      </c>
      <c r="I1152"/>
      <c r="J1152"/>
      <c r="K1152"/>
      <c r="L1152"/>
      <c r="M1152"/>
      <c r="N1152"/>
      <c r="O1152"/>
    </row>
    <row r="1153" spans="2:15" ht="18" customHeight="1" x14ac:dyDescent="0.25">
      <c r="B1153" s="37" t="s">
        <v>8</v>
      </c>
      <c r="C1153" s="66"/>
      <c r="D1153"/>
      <c r="E1153"/>
      <c r="F1153"/>
      <c r="G1153"/>
      <c r="H1153"/>
      <c r="I1153"/>
      <c r="J1153"/>
      <c r="K1153"/>
      <c r="L1153"/>
      <c r="M1153"/>
      <c r="N1153"/>
      <c r="O1153"/>
    </row>
    <row r="1154" spans="2:15" ht="18" customHeight="1" x14ac:dyDescent="0.25">
      <c r="B1154" s="38" t="s">
        <v>11</v>
      </c>
      <c r="C1154" s="66">
        <v>5.15</v>
      </c>
      <c r="D1154" s="4">
        <v>5.15</v>
      </c>
      <c r="E1154" s="4">
        <v>5.13</v>
      </c>
      <c r="F1154" s="4">
        <v>5.09</v>
      </c>
      <c r="G1154" s="4">
        <v>5.05</v>
      </c>
      <c r="H1154" s="4">
        <v>4.79</v>
      </c>
      <c r="I1154"/>
      <c r="J1154"/>
      <c r="K1154"/>
      <c r="L1154"/>
      <c r="M1154"/>
      <c r="N1154"/>
      <c r="O1154"/>
    </row>
    <row r="1155" spans="2:15" ht="18" customHeight="1" x14ac:dyDescent="0.25">
      <c r="B1155" s="38" t="s">
        <v>12</v>
      </c>
      <c r="C1155" s="66">
        <v>1</v>
      </c>
      <c r="D1155" s="4">
        <v>1</v>
      </c>
      <c r="E1155" s="4">
        <v>1</v>
      </c>
      <c r="F1155" s="4">
        <v>1</v>
      </c>
      <c r="G1155" s="4">
        <v>4</v>
      </c>
      <c r="H1155" s="4">
        <v>2</v>
      </c>
      <c r="I1155"/>
      <c r="J1155"/>
      <c r="K1155"/>
      <c r="L1155"/>
      <c r="M1155"/>
      <c r="N1155"/>
      <c r="O1155"/>
    </row>
    <row r="1156" spans="2:15" ht="18" customHeight="1" x14ac:dyDescent="0.25">
      <c r="B1156" s="38" t="s">
        <v>13</v>
      </c>
      <c r="C1156" s="66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/>
      <c r="J1156"/>
      <c r="K1156"/>
      <c r="L1156"/>
      <c r="M1156"/>
      <c r="N1156"/>
      <c r="O1156"/>
    </row>
    <row r="1157" spans="2:15" ht="18" customHeight="1" x14ac:dyDescent="0.25">
      <c r="B1157" s="38" t="s">
        <v>14</v>
      </c>
      <c r="C1157" s="66"/>
      <c r="D1157"/>
      <c r="E1157"/>
      <c r="F1157"/>
      <c r="G1157"/>
      <c r="H1157"/>
      <c r="I1157"/>
      <c r="J1157"/>
      <c r="K1157"/>
      <c r="L1157"/>
      <c r="M1157"/>
      <c r="N1157"/>
      <c r="O1157"/>
    </row>
    <row r="1158" spans="2:15" ht="18" customHeight="1" x14ac:dyDescent="0.25">
      <c r="B1158" s="36" t="s">
        <v>41</v>
      </c>
      <c r="C1158" s="66" t="s">
        <v>46</v>
      </c>
      <c r="D1158" s="24" t="s">
        <v>46</v>
      </c>
      <c r="E1158" s="4" t="s">
        <v>42</v>
      </c>
      <c r="F1158" s="4" t="s">
        <v>42</v>
      </c>
      <c r="G1158" s="4" t="s">
        <v>42</v>
      </c>
      <c r="H1158" s="4" t="s">
        <v>213</v>
      </c>
      <c r="I1158"/>
      <c r="J1158"/>
      <c r="K1158"/>
      <c r="L1158"/>
      <c r="M1158"/>
      <c r="N1158"/>
      <c r="O1158"/>
    </row>
    <row r="1159" spans="2:15" ht="18" customHeight="1" x14ac:dyDescent="0.25">
      <c r="B1159" s="37" t="s">
        <v>15</v>
      </c>
      <c r="C1159" s="66"/>
      <c r="D1159"/>
      <c r="E1159"/>
      <c r="F1159"/>
      <c r="G1159"/>
      <c r="H1159"/>
      <c r="I1159"/>
      <c r="J1159"/>
      <c r="K1159"/>
      <c r="L1159"/>
      <c r="M1159"/>
      <c r="N1159"/>
      <c r="O1159"/>
    </row>
    <row r="1160" spans="2:15" ht="18" customHeight="1" x14ac:dyDescent="0.25">
      <c r="B1160" s="38" t="s">
        <v>17</v>
      </c>
      <c r="C1160" s="66" t="s">
        <v>214</v>
      </c>
      <c r="D1160" s="24" t="s">
        <v>214</v>
      </c>
      <c r="E1160" s="24" t="s">
        <v>214</v>
      </c>
      <c r="F1160" s="24" t="s">
        <v>214</v>
      </c>
      <c r="G1160" s="24" t="s">
        <v>214</v>
      </c>
      <c r="H1160" s="24" t="s">
        <v>214</v>
      </c>
      <c r="I1160"/>
      <c r="J1160"/>
      <c r="K1160"/>
      <c r="L1160"/>
      <c r="M1160"/>
      <c r="N1160"/>
      <c r="O1160"/>
    </row>
    <row r="1161" spans="2:15" ht="18" customHeight="1" x14ac:dyDescent="0.25">
      <c r="B1161" s="38" t="s">
        <v>18</v>
      </c>
      <c r="C1161" s="66" t="s">
        <v>69</v>
      </c>
      <c r="D1161" s="24" t="s">
        <v>69</v>
      </c>
      <c r="E1161" s="24" t="s">
        <v>69</v>
      </c>
      <c r="F1161" s="24" t="s">
        <v>69</v>
      </c>
      <c r="G1161" s="24" t="s">
        <v>69</v>
      </c>
      <c r="H1161" s="24" t="s">
        <v>69</v>
      </c>
      <c r="I1161"/>
      <c r="J1161"/>
      <c r="K1161"/>
      <c r="L1161"/>
      <c r="M1161"/>
      <c r="N1161"/>
      <c r="O1161"/>
    </row>
    <row r="1162" spans="2:15" ht="18" customHeight="1" x14ac:dyDescent="0.25">
      <c r="B1162" s="24"/>
      <c r="C1162" s="66"/>
      <c r="D1162" s="24"/>
      <c r="E1162" s="24"/>
      <c r="F1162" s="24"/>
      <c r="G1162" s="24"/>
      <c r="H1162" s="24"/>
      <c r="I1162"/>
      <c r="J1162"/>
      <c r="K1162"/>
      <c r="L1162"/>
      <c r="M1162"/>
      <c r="N1162"/>
      <c r="O1162"/>
    </row>
    <row r="1163" spans="2:15" ht="18" customHeight="1" x14ac:dyDescent="0.25">
      <c r="B1163" s="31" t="s">
        <v>19</v>
      </c>
      <c r="C1163" s="66">
        <v>2</v>
      </c>
      <c r="D1163" s="24">
        <v>2</v>
      </c>
      <c r="E1163" s="24">
        <v>2</v>
      </c>
      <c r="F1163" s="24">
        <v>2</v>
      </c>
      <c r="G1163" s="24">
        <v>2</v>
      </c>
      <c r="H1163" s="24">
        <v>2</v>
      </c>
      <c r="I1163"/>
      <c r="J1163"/>
      <c r="K1163"/>
      <c r="L1163"/>
      <c r="M1163"/>
      <c r="N1163"/>
      <c r="O1163"/>
    </row>
    <row r="1164" spans="2:15" ht="18" customHeight="1" x14ac:dyDescent="0.25">
      <c r="B1164" s="38" t="s">
        <v>20</v>
      </c>
      <c r="C1164" s="66">
        <v>0.35</v>
      </c>
      <c r="D1164" s="24">
        <v>0.35</v>
      </c>
      <c r="E1164" s="24">
        <v>0.35</v>
      </c>
      <c r="F1164" s="24">
        <v>0.35</v>
      </c>
      <c r="G1164" s="24">
        <v>0.35</v>
      </c>
      <c r="H1164" s="24">
        <v>0.35</v>
      </c>
      <c r="I1164"/>
      <c r="J1164"/>
      <c r="K1164"/>
      <c r="L1164"/>
      <c r="M1164"/>
      <c r="N1164"/>
      <c r="O1164"/>
    </row>
    <row r="1165" spans="2:15" ht="18" customHeight="1" x14ac:dyDescent="0.25">
      <c r="B1165" s="38" t="s">
        <v>21</v>
      </c>
      <c r="C1165" s="66">
        <v>2</v>
      </c>
      <c r="D1165" s="24">
        <v>2</v>
      </c>
      <c r="E1165" s="24">
        <v>2</v>
      </c>
      <c r="F1165" s="24">
        <v>2</v>
      </c>
      <c r="G1165" s="24">
        <v>2</v>
      </c>
      <c r="H1165" s="24">
        <v>2</v>
      </c>
      <c r="I1165"/>
      <c r="J1165"/>
      <c r="K1165"/>
      <c r="L1165"/>
      <c r="M1165"/>
      <c r="N1165"/>
      <c r="O1165"/>
    </row>
    <row r="1166" spans="2:15" ht="18" customHeight="1" x14ac:dyDescent="0.25">
      <c r="B1166" s="38" t="s">
        <v>22</v>
      </c>
      <c r="C1166" s="66">
        <v>0.35</v>
      </c>
      <c r="D1166" s="24">
        <v>0.35</v>
      </c>
      <c r="E1166" s="24">
        <v>0.35</v>
      </c>
      <c r="F1166" s="24">
        <v>0.35</v>
      </c>
      <c r="G1166" s="24">
        <v>0.35</v>
      </c>
      <c r="H1166" s="24">
        <v>0.35</v>
      </c>
      <c r="I1166"/>
      <c r="J1166"/>
      <c r="K1166"/>
      <c r="L1166"/>
      <c r="M1166"/>
      <c r="N1166"/>
      <c r="O1166"/>
    </row>
    <row r="1167" spans="2:15" ht="18" customHeight="1" x14ac:dyDescent="0.25">
      <c r="B1167" s="38" t="s">
        <v>23</v>
      </c>
      <c r="C1167" s="66"/>
      <c r="D1167" s="24"/>
      <c r="E1167" s="24"/>
      <c r="F1167" s="24"/>
      <c r="G1167" s="24"/>
      <c r="H1167" s="24"/>
      <c r="I1167"/>
      <c r="J1167"/>
      <c r="K1167"/>
      <c r="L1167"/>
      <c r="M1167"/>
      <c r="N1167"/>
      <c r="O1167"/>
    </row>
    <row r="1168" spans="2:15" ht="18" customHeight="1" x14ac:dyDescent="0.25">
      <c r="B1168" s="38" t="s">
        <v>24</v>
      </c>
      <c r="C1168" s="66"/>
      <c r="D1168"/>
      <c r="E1168"/>
      <c r="F1168"/>
      <c r="G1168"/>
      <c r="H1168"/>
      <c r="I1168"/>
      <c r="J1168"/>
      <c r="K1168"/>
      <c r="L1168"/>
      <c r="M1168"/>
      <c r="N1168"/>
      <c r="O1168"/>
    </row>
    <row r="1169" spans="2:15" ht="18" customHeight="1" x14ac:dyDescent="0.25">
      <c r="B1169" s="24"/>
      <c r="C1169" s="66"/>
      <c r="D1169"/>
      <c r="E1169"/>
      <c r="F1169"/>
      <c r="G1169"/>
      <c r="H1169"/>
      <c r="I1169"/>
      <c r="J1169"/>
      <c r="K1169"/>
      <c r="L1169"/>
      <c r="M1169"/>
      <c r="N1169"/>
      <c r="O1169"/>
    </row>
    <row r="1170" spans="2:15" ht="18" customHeight="1" x14ac:dyDescent="0.25">
      <c r="B1170" s="19" t="s">
        <v>33</v>
      </c>
      <c r="C1170" s="56"/>
      <c r="D1170"/>
      <c r="E1170"/>
      <c r="F1170"/>
      <c r="G1170"/>
      <c r="H1170"/>
      <c r="I1170"/>
      <c r="J1170"/>
      <c r="K1170"/>
      <c r="L1170"/>
      <c r="M1170"/>
      <c r="N1170"/>
      <c r="O1170"/>
    </row>
    <row r="1171" spans="2:15" ht="18" customHeight="1" x14ac:dyDescent="0.25">
      <c r="C1171" s="56"/>
      <c r="D1171"/>
      <c r="E1171"/>
      <c r="F1171"/>
      <c r="G1171"/>
      <c r="H1171"/>
      <c r="I1171"/>
      <c r="J1171"/>
      <c r="K1171"/>
      <c r="L1171"/>
      <c r="M1171"/>
      <c r="N1171"/>
      <c r="O1171"/>
    </row>
    <row r="1172" spans="2:15" ht="18" customHeight="1" x14ac:dyDescent="0.25">
      <c r="C1172" s="56"/>
      <c r="D1172"/>
      <c r="E1172"/>
      <c r="F1172"/>
      <c r="G1172"/>
      <c r="H1172"/>
      <c r="I1172"/>
      <c r="J1172"/>
      <c r="K1172"/>
      <c r="L1172"/>
      <c r="M1172"/>
      <c r="N1172"/>
      <c r="O1172"/>
    </row>
    <row r="1173" spans="2:15" ht="18" customHeight="1" x14ac:dyDescent="0.25">
      <c r="C1173" s="56"/>
      <c r="D1173"/>
      <c r="E1173"/>
      <c r="F1173"/>
      <c r="G1173"/>
      <c r="H1173"/>
      <c r="I1173"/>
      <c r="J1173"/>
      <c r="K1173"/>
      <c r="L1173"/>
      <c r="M1173"/>
      <c r="N1173"/>
      <c r="O1173"/>
    </row>
    <row r="1174" spans="2:15" ht="18" customHeight="1" x14ac:dyDescent="0.25">
      <c r="C1174" s="56"/>
      <c r="D1174"/>
      <c r="E1174"/>
      <c r="F1174"/>
      <c r="G1174"/>
      <c r="H1174"/>
      <c r="I1174"/>
      <c r="J1174"/>
      <c r="K1174"/>
      <c r="L1174"/>
      <c r="M1174"/>
      <c r="N1174"/>
      <c r="O1174"/>
    </row>
    <row r="1175" spans="2:15" ht="18" customHeight="1" x14ac:dyDescent="0.25">
      <c r="B1175" s="31" t="s">
        <v>0</v>
      </c>
      <c r="C1175" s="66" t="s">
        <v>215</v>
      </c>
      <c r="D1175"/>
      <c r="E1175"/>
      <c r="F1175"/>
      <c r="G1175"/>
      <c r="H1175"/>
      <c r="I1175"/>
      <c r="J1175"/>
      <c r="K1175"/>
      <c r="L1175"/>
      <c r="M1175"/>
      <c r="N1175"/>
      <c r="O1175"/>
    </row>
    <row r="1176" spans="2:15" ht="18" customHeight="1" x14ac:dyDescent="0.25">
      <c r="B1176" s="36" t="s">
        <v>3</v>
      </c>
      <c r="C1176" s="66">
        <v>2</v>
      </c>
      <c r="D1176"/>
      <c r="E1176"/>
      <c r="F1176"/>
      <c r="G1176"/>
      <c r="H1176"/>
      <c r="I1176"/>
      <c r="J1176"/>
      <c r="K1176"/>
      <c r="L1176"/>
      <c r="M1176"/>
      <c r="N1176"/>
      <c r="O1176"/>
    </row>
    <row r="1177" spans="2:15" ht="18" customHeight="1" x14ac:dyDescent="0.25">
      <c r="B1177" s="36"/>
      <c r="C1177" s="56"/>
      <c r="D1177"/>
      <c r="E1177"/>
      <c r="F1177"/>
      <c r="G1177"/>
      <c r="H1177"/>
      <c r="I1177"/>
      <c r="J1177"/>
      <c r="K1177"/>
      <c r="L1177"/>
      <c r="M1177"/>
      <c r="N1177"/>
      <c r="O1177"/>
    </row>
    <row r="1178" spans="2:15" ht="18" customHeight="1" x14ac:dyDescent="0.25">
      <c r="B1178" s="36" t="s">
        <v>6</v>
      </c>
      <c r="C1178" s="71">
        <v>39868</v>
      </c>
      <c r="D1178"/>
      <c r="E1178"/>
      <c r="F1178"/>
      <c r="G1178"/>
      <c r="H1178"/>
      <c r="I1178"/>
      <c r="J1178"/>
      <c r="K1178"/>
      <c r="L1178"/>
      <c r="M1178"/>
      <c r="N1178"/>
      <c r="O1178"/>
    </row>
    <row r="1179" spans="2:15" ht="18" customHeight="1" x14ac:dyDescent="0.25">
      <c r="B1179" s="37" t="s">
        <v>9</v>
      </c>
      <c r="C1179" s="65">
        <v>40750</v>
      </c>
      <c r="D1179" s="25">
        <v>40778</v>
      </c>
      <c r="E1179" s="25">
        <v>40806</v>
      </c>
      <c r="F1179" s="25">
        <v>40960</v>
      </c>
      <c r="G1179" s="25">
        <v>41163</v>
      </c>
      <c r="H1179" s="25">
        <v>41359</v>
      </c>
      <c r="I1179" s="25">
        <v>41534</v>
      </c>
      <c r="J1179" s="27">
        <v>41716</v>
      </c>
      <c r="K1179" s="25">
        <v>41897</v>
      </c>
      <c r="L1179" s="25">
        <v>42066</v>
      </c>
      <c r="M1179" s="25">
        <v>42157</v>
      </c>
      <c r="N1179" s="25">
        <v>42228</v>
      </c>
      <c r="O1179"/>
    </row>
    <row r="1180" spans="2:15" ht="18" customHeight="1" x14ac:dyDescent="0.25">
      <c r="B1180" s="37" t="s">
        <v>8</v>
      </c>
      <c r="C1180" s="66"/>
      <c r="D1180"/>
      <c r="E1180"/>
      <c r="F1180"/>
      <c r="G1180"/>
      <c r="H1180"/>
      <c r="I1180"/>
      <c r="J1180"/>
      <c r="K1180"/>
      <c r="L1180"/>
      <c r="M1180"/>
      <c r="N1180"/>
      <c r="O1180"/>
    </row>
    <row r="1181" spans="2:15" ht="18" customHeight="1" x14ac:dyDescent="0.25">
      <c r="B1181" s="38" t="s">
        <v>11</v>
      </c>
      <c r="C1181" s="66">
        <v>6.01</v>
      </c>
      <c r="D1181" s="4">
        <v>6</v>
      </c>
      <c r="E1181" s="4">
        <v>5.96</v>
      </c>
      <c r="F1181" s="4">
        <v>5.79</v>
      </c>
      <c r="G1181" s="4">
        <v>5.33</v>
      </c>
      <c r="H1181" s="4">
        <v>5.2</v>
      </c>
      <c r="I1181" s="4">
        <v>5.17</v>
      </c>
      <c r="J1181" s="24">
        <v>5.16</v>
      </c>
      <c r="K1181" s="4">
        <v>5.14</v>
      </c>
      <c r="L1181" s="4">
        <v>5.04</v>
      </c>
      <c r="M1181" s="4">
        <v>4.91</v>
      </c>
      <c r="N1181" s="4">
        <v>4.7300000000000004</v>
      </c>
      <c r="O1181"/>
    </row>
    <row r="1182" spans="2:15" ht="18" customHeight="1" x14ac:dyDescent="0.25">
      <c r="B1182" s="38" t="s">
        <v>12</v>
      </c>
      <c r="C1182" s="66" t="s">
        <v>216</v>
      </c>
      <c r="D1182" s="4" t="s">
        <v>217</v>
      </c>
      <c r="E1182" s="4" t="s">
        <v>218</v>
      </c>
      <c r="F1182" s="4" t="s">
        <v>219</v>
      </c>
      <c r="G1182" s="4" t="s">
        <v>220</v>
      </c>
      <c r="H1182" s="4" t="s">
        <v>221</v>
      </c>
      <c r="I1182" s="4" t="s">
        <v>222</v>
      </c>
      <c r="J1182" s="24" t="s">
        <v>223</v>
      </c>
      <c r="K1182" s="4" t="s">
        <v>224</v>
      </c>
      <c r="L1182" s="4" t="s">
        <v>225</v>
      </c>
      <c r="M1182" s="4" t="s">
        <v>225</v>
      </c>
      <c r="N1182" s="4" t="s">
        <v>184</v>
      </c>
      <c r="O1182"/>
    </row>
    <row r="1183" spans="2:15" ht="18" customHeight="1" x14ac:dyDescent="0.25">
      <c r="B1183" s="38" t="s">
        <v>13</v>
      </c>
      <c r="C1183" s="66" t="s">
        <v>226</v>
      </c>
      <c r="D1183" s="4" t="s">
        <v>227</v>
      </c>
      <c r="E1183" s="4" t="s">
        <v>228</v>
      </c>
      <c r="F1183" s="4" t="s">
        <v>229</v>
      </c>
      <c r="G1183" s="4" t="s">
        <v>230</v>
      </c>
      <c r="H1183" s="4" t="s">
        <v>231</v>
      </c>
      <c r="I1183" s="4" t="s">
        <v>232</v>
      </c>
      <c r="J1183" s="24" t="s">
        <v>233</v>
      </c>
      <c r="K1183" s="4" t="s">
        <v>234</v>
      </c>
      <c r="L1183" s="4" t="s">
        <v>235</v>
      </c>
      <c r="M1183" s="4" t="s">
        <v>236</v>
      </c>
      <c r="N1183" s="4" t="s">
        <v>237</v>
      </c>
      <c r="O1183"/>
    </row>
    <row r="1184" spans="2:15" ht="18" customHeight="1" x14ac:dyDescent="0.25">
      <c r="B1184" s="38" t="s">
        <v>14</v>
      </c>
      <c r="C1184" s="66"/>
      <c r="D1184"/>
      <c r="E1184"/>
      <c r="F1184"/>
      <c r="G1184"/>
      <c r="H1184"/>
      <c r="I1184"/>
      <c r="J1184"/>
      <c r="K1184"/>
      <c r="L1184"/>
      <c r="M1184"/>
      <c r="N1184"/>
      <c r="O1184"/>
    </row>
    <row r="1185" spans="2:15" ht="18" customHeight="1" x14ac:dyDescent="0.25">
      <c r="B1185" s="36" t="s">
        <v>41</v>
      </c>
      <c r="C1185" s="66" t="s">
        <v>42</v>
      </c>
      <c r="D1185" s="4" t="s">
        <v>42</v>
      </c>
      <c r="E1185" s="4" t="s">
        <v>42</v>
      </c>
      <c r="F1185" s="4" t="s">
        <v>42</v>
      </c>
      <c r="G1185" s="4" t="s">
        <v>42</v>
      </c>
      <c r="H1185" s="4" t="s">
        <v>46</v>
      </c>
      <c r="I1185" s="4" t="s">
        <v>77</v>
      </c>
      <c r="J1185" s="24" t="s">
        <v>42</v>
      </c>
      <c r="K1185" s="4" t="s">
        <v>42</v>
      </c>
      <c r="L1185" s="4" t="s">
        <v>46</v>
      </c>
      <c r="M1185" s="4" t="s">
        <v>46</v>
      </c>
      <c r="N1185" s="4" t="s">
        <v>42</v>
      </c>
      <c r="O1185"/>
    </row>
    <row r="1186" spans="2:15" ht="18" customHeight="1" x14ac:dyDescent="0.25">
      <c r="B1186" s="37" t="s">
        <v>15</v>
      </c>
      <c r="C1186" s="66"/>
      <c r="D1186"/>
      <c r="E1186"/>
      <c r="F1186"/>
      <c r="G1186"/>
      <c r="H1186"/>
      <c r="I1186"/>
      <c r="J1186"/>
      <c r="K1186"/>
      <c r="L1186"/>
      <c r="M1186"/>
      <c r="N1186"/>
      <c r="O1186"/>
    </row>
    <row r="1187" spans="2:15" ht="18" customHeight="1" x14ac:dyDescent="0.25">
      <c r="B1187" s="38" t="s">
        <v>17</v>
      </c>
      <c r="C1187" s="66" t="s">
        <v>47</v>
      </c>
      <c r="D1187" s="24" t="s">
        <v>47</v>
      </c>
      <c r="E1187" s="24" t="s">
        <v>47</v>
      </c>
      <c r="F1187" s="24" t="s">
        <v>47</v>
      </c>
      <c r="G1187" s="24" t="s">
        <v>47</v>
      </c>
      <c r="H1187" s="24" t="s">
        <v>47</v>
      </c>
      <c r="I1187" s="24" t="s">
        <v>47</v>
      </c>
      <c r="J1187" s="24" t="s">
        <v>47</v>
      </c>
      <c r="K1187" s="24" t="s">
        <v>47</v>
      </c>
      <c r="L1187" s="24" t="s">
        <v>47</v>
      </c>
      <c r="M1187" s="24" t="s">
        <v>47</v>
      </c>
      <c r="N1187" s="24" t="s">
        <v>47</v>
      </c>
      <c r="O1187"/>
    </row>
    <row r="1188" spans="2:15" ht="18" customHeight="1" x14ac:dyDescent="0.25">
      <c r="B1188" s="38" t="s">
        <v>18</v>
      </c>
      <c r="C1188" s="66" t="s">
        <v>65</v>
      </c>
      <c r="D1188" s="24" t="s">
        <v>65</v>
      </c>
      <c r="E1188" s="24" t="s">
        <v>65</v>
      </c>
      <c r="F1188" s="24" t="s">
        <v>65</v>
      </c>
      <c r="G1188" s="24" t="s">
        <v>65</v>
      </c>
      <c r="H1188" s="24" t="s">
        <v>65</v>
      </c>
      <c r="I1188" s="24" t="s">
        <v>65</v>
      </c>
      <c r="J1188" s="24" t="s">
        <v>65</v>
      </c>
      <c r="K1188" s="24" t="s">
        <v>65</v>
      </c>
      <c r="L1188" s="24" t="s">
        <v>65</v>
      </c>
      <c r="M1188" s="24" t="s">
        <v>65</v>
      </c>
      <c r="N1188" s="24" t="s">
        <v>65</v>
      </c>
      <c r="O1188"/>
    </row>
    <row r="1189" spans="2:15" ht="18" customHeight="1" x14ac:dyDescent="0.25">
      <c r="B1189" s="24"/>
      <c r="C1189" s="66"/>
      <c r="D1189" s="24"/>
      <c r="E1189" s="24"/>
      <c r="F1189" s="24"/>
      <c r="G1189" s="24"/>
      <c r="H1189" s="24"/>
      <c r="I1189" s="24"/>
      <c r="J1189"/>
      <c r="K1189" s="24"/>
      <c r="L1189" s="24"/>
      <c r="M1189" s="24"/>
      <c r="N1189" s="24"/>
      <c r="O1189"/>
    </row>
    <row r="1190" spans="2:15" ht="18" customHeight="1" x14ac:dyDescent="0.25">
      <c r="B1190" s="31" t="s">
        <v>19</v>
      </c>
      <c r="C1190" s="66">
        <v>3.5</v>
      </c>
      <c r="D1190" s="24">
        <v>3.5</v>
      </c>
      <c r="E1190" s="24">
        <v>3.5</v>
      </c>
      <c r="F1190" s="24">
        <v>3.5</v>
      </c>
      <c r="G1190" s="24">
        <v>3.5</v>
      </c>
      <c r="H1190" s="24">
        <v>3.5</v>
      </c>
      <c r="I1190" s="24">
        <v>2</v>
      </c>
      <c r="J1190" s="24">
        <v>2</v>
      </c>
      <c r="K1190" s="24">
        <v>2</v>
      </c>
      <c r="L1190" s="24">
        <v>2</v>
      </c>
      <c r="M1190" s="24">
        <v>2</v>
      </c>
      <c r="N1190" s="24">
        <v>2</v>
      </c>
      <c r="O1190"/>
    </row>
    <row r="1191" spans="2:15" ht="18" customHeight="1" x14ac:dyDescent="0.25">
      <c r="B1191" s="38" t="s">
        <v>20</v>
      </c>
      <c r="C1191" s="66">
        <v>0.35</v>
      </c>
      <c r="D1191" s="24">
        <v>0.35</v>
      </c>
      <c r="E1191" s="24">
        <v>0.35</v>
      </c>
      <c r="F1191" s="24">
        <v>0.35</v>
      </c>
      <c r="G1191" s="24">
        <v>0.35</v>
      </c>
      <c r="H1191" s="24">
        <v>0.35</v>
      </c>
      <c r="I1191" s="24">
        <v>0.35</v>
      </c>
      <c r="J1191" s="24">
        <v>0.35</v>
      </c>
      <c r="K1191" s="24">
        <v>0.35</v>
      </c>
      <c r="L1191" s="24">
        <v>0.35</v>
      </c>
      <c r="M1191" s="24">
        <v>0.35</v>
      </c>
      <c r="N1191" s="24">
        <v>0.35</v>
      </c>
      <c r="O1191"/>
    </row>
    <row r="1192" spans="2:15" ht="18" customHeight="1" x14ac:dyDescent="0.25">
      <c r="B1192" s="38" t="s">
        <v>21</v>
      </c>
      <c r="C1192" s="66">
        <v>3.5</v>
      </c>
      <c r="D1192" s="24">
        <v>3.5</v>
      </c>
      <c r="E1192" s="24">
        <v>3.5</v>
      </c>
      <c r="F1192" s="24">
        <v>3.5</v>
      </c>
      <c r="G1192" s="24">
        <v>3.5</v>
      </c>
      <c r="H1192" s="24">
        <v>3.5</v>
      </c>
      <c r="I1192" s="24">
        <v>2.5</v>
      </c>
      <c r="J1192" s="24">
        <v>2.5</v>
      </c>
      <c r="K1192" s="24">
        <v>2.5</v>
      </c>
      <c r="L1192" s="24">
        <v>2.5</v>
      </c>
      <c r="M1192" s="24">
        <v>2.5</v>
      </c>
      <c r="N1192" s="24">
        <v>2.5</v>
      </c>
      <c r="O1192"/>
    </row>
    <row r="1193" spans="2:15" ht="18" customHeight="1" x14ac:dyDescent="0.25">
      <c r="B1193" s="38" t="s">
        <v>22</v>
      </c>
      <c r="C1193" s="66">
        <v>0.35</v>
      </c>
      <c r="D1193" s="24">
        <v>0.35</v>
      </c>
      <c r="E1193" s="24">
        <v>0.35</v>
      </c>
      <c r="F1193" s="24">
        <v>0.35</v>
      </c>
      <c r="G1193" s="24">
        <v>0.35</v>
      </c>
      <c r="H1193" s="24">
        <v>0.35</v>
      </c>
      <c r="I1193" s="24">
        <v>0.35</v>
      </c>
      <c r="J1193" s="24">
        <v>0.35</v>
      </c>
      <c r="K1193" s="24">
        <v>0.35</v>
      </c>
      <c r="L1193" s="24">
        <v>0.35</v>
      </c>
      <c r="M1193" s="24">
        <v>0.35</v>
      </c>
      <c r="N1193" s="24">
        <v>0.35</v>
      </c>
      <c r="O1193"/>
    </row>
    <row r="1194" spans="2:15" ht="18" customHeight="1" x14ac:dyDescent="0.25">
      <c r="B1194" s="38" t="s">
        <v>23</v>
      </c>
      <c r="C1194" s="66"/>
      <c r="D1194"/>
      <c r="E1194"/>
      <c r="F1194"/>
      <c r="G1194"/>
      <c r="H1194"/>
      <c r="I1194"/>
      <c r="J1194"/>
      <c r="K1194"/>
      <c r="L1194"/>
      <c r="M1194"/>
      <c r="N1194"/>
      <c r="O1194"/>
    </row>
    <row r="1195" spans="2:15" ht="18" customHeight="1" x14ac:dyDescent="0.25">
      <c r="B1195" s="38" t="s">
        <v>24</v>
      </c>
      <c r="C1195" s="66"/>
      <c r="D1195"/>
      <c r="E1195"/>
      <c r="F1195"/>
      <c r="G1195"/>
      <c r="H1195"/>
      <c r="I1195"/>
      <c r="J1195"/>
      <c r="K1195"/>
      <c r="L1195"/>
      <c r="M1195"/>
      <c r="N1195"/>
      <c r="O1195"/>
    </row>
    <row r="1196" spans="2:15" ht="18" customHeight="1" x14ac:dyDescent="0.25">
      <c r="B1196" s="24"/>
      <c r="C1196" s="66"/>
      <c r="D1196"/>
      <c r="E1196"/>
      <c r="F1196"/>
      <c r="G1196"/>
      <c r="H1196"/>
      <c r="I1196"/>
      <c r="J1196"/>
      <c r="K1196"/>
      <c r="L1196"/>
      <c r="M1196"/>
      <c r="N1196"/>
      <c r="O1196"/>
    </row>
    <row r="1197" spans="2:15" ht="18" customHeight="1" x14ac:dyDescent="0.25">
      <c r="B1197" s="19" t="s">
        <v>33</v>
      </c>
      <c r="C1197" s="56"/>
      <c r="D1197"/>
      <c r="E1197"/>
      <c r="F1197"/>
      <c r="G1197"/>
      <c r="H1197"/>
      <c r="I1197"/>
      <c r="J1197"/>
      <c r="K1197"/>
      <c r="L1197"/>
      <c r="M1197"/>
      <c r="N1197"/>
      <c r="O1197"/>
    </row>
    <row r="1198" spans="2:15" ht="18" customHeight="1" x14ac:dyDescent="0.25">
      <c r="C1198" s="56"/>
      <c r="D1198"/>
      <c r="E1198"/>
      <c r="F1198"/>
      <c r="G1198"/>
      <c r="H1198"/>
      <c r="I1198"/>
      <c r="J1198"/>
      <c r="K1198"/>
      <c r="L1198"/>
      <c r="M1198"/>
      <c r="N1198"/>
      <c r="O1198"/>
    </row>
    <row r="1199" spans="2:15" ht="18" customHeight="1" x14ac:dyDescent="0.25">
      <c r="C1199" s="56"/>
      <c r="D1199"/>
      <c r="E1199"/>
      <c r="F1199"/>
      <c r="G1199"/>
      <c r="H1199"/>
      <c r="I1199"/>
      <c r="J1199"/>
      <c r="K1199"/>
      <c r="L1199"/>
      <c r="M1199"/>
      <c r="N1199"/>
      <c r="O1199"/>
    </row>
    <row r="1200" spans="2:15" ht="18" customHeight="1" x14ac:dyDescent="0.25">
      <c r="C1200" s="56"/>
      <c r="D1200"/>
      <c r="E1200"/>
      <c r="F1200"/>
      <c r="G1200"/>
      <c r="H1200"/>
      <c r="I1200"/>
      <c r="J1200"/>
      <c r="K1200"/>
      <c r="L1200"/>
      <c r="M1200"/>
      <c r="N1200"/>
      <c r="O1200"/>
    </row>
    <row r="1201" spans="2:15" ht="18" customHeight="1" x14ac:dyDescent="0.25">
      <c r="B1201" s="31" t="s">
        <v>0</v>
      </c>
      <c r="C1201" s="66" t="s">
        <v>238</v>
      </c>
      <c r="D1201"/>
      <c r="E1201"/>
      <c r="F1201"/>
      <c r="G1201"/>
      <c r="H1201"/>
      <c r="I1201"/>
      <c r="J1201"/>
      <c r="K1201"/>
      <c r="L1201"/>
      <c r="M1201"/>
      <c r="N1201"/>
      <c r="O1201"/>
    </row>
    <row r="1202" spans="2:15" ht="18" customHeight="1" x14ac:dyDescent="0.25">
      <c r="B1202" s="36" t="s">
        <v>3</v>
      </c>
      <c r="C1202" s="66">
        <v>1</v>
      </c>
      <c r="D1202"/>
      <c r="E1202"/>
      <c r="F1202"/>
      <c r="G1202"/>
      <c r="H1202"/>
      <c r="I1202"/>
      <c r="J1202"/>
      <c r="K1202"/>
      <c r="L1202"/>
      <c r="M1202"/>
      <c r="N1202"/>
      <c r="O1202"/>
    </row>
    <row r="1203" spans="2:15" ht="18" customHeight="1" x14ac:dyDescent="0.25">
      <c r="B1203" s="36"/>
      <c r="C1203" s="56"/>
      <c r="D1203"/>
      <c r="E1203"/>
      <c r="F1203"/>
      <c r="G1203"/>
      <c r="H1203"/>
      <c r="I1203"/>
      <c r="J1203"/>
      <c r="K1203"/>
      <c r="L1203"/>
      <c r="M1203"/>
      <c r="N1203"/>
      <c r="O1203"/>
    </row>
    <row r="1204" spans="2:15" ht="18" customHeight="1" x14ac:dyDescent="0.25">
      <c r="B1204" s="36" t="s">
        <v>6</v>
      </c>
      <c r="C1204" s="71">
        <v>40085</v>
      </c>
      <c r="D1204"/>
      <c r="E1204"/>
      <c r="F1204"/>
      <c r="G1204"/>
      <c r="H1204"/>
      <c r="I1204"/>
      <c r="J1204"/>
      <c r="K1204"/>
      <c r="L1204"/>
      <c r="M1204"/>
      <c r="N1204"/>
      <c r="O1204"/>
    </row>
    <row r="1205" spans="2:15" ht="18" customHeight="1" x14ac:dyDescent="0.25">
      <c r="B1205" s="37" t="s">
        <v>9</v>
      </c>
      <c r="C1205" s="65">
        <v>40148</v>
      </c>
      <c r="D1205" s="25">
        <v>40330</v>
      </c>
      <c r="E1205" s="25">
        <v>40638</v>
      </c>
      <c r="F1205" s="25">
        <v>40928</v>
      </c>
      <c r="G1205"/>
      <c r="H1205"/>
      <c r="I1205"/>
      <c r="J1205"/>
      <c r="K1205"/>
      <c r="L1205"/>
      <c r="M1205"/>
      <c r="N1205"/>
      <c r="O1205"/>
    </row>
    <row r="1206" spans="2:15" ht="18" customHeight="1" x14ac:dyDescent="0.25">
      <c r="B1206" s="37" t="s">
        <v>8</v>
      </c>
      <c r="C1206" s="66"/>
      <c r="D1206"/>
      <c r="E1206"/>
      <c r="F1206"/>
      <c r="G1206"/>
      <c r="H1206"/>
      <c r="I1206"/>
      <c r="J1206"/>
      <c r="K1206"/>
      <c r="L1206"/>
      <c r="M1206"/>
      <c r="N1206"/>
      <c r="O1206"/>
    </row>
    <row r="1207" spans="2:15" ht="18" customHeight="1" x14ac:dyDescent="0.25">
      <c r="B1207" s="38" t="s">
        <v>11</v>
      </c>
      <c r="C1207" s="66">
        <v>6.5</v>
      </c>
      <c r="D1207" s="4">
        <v>6.47</v>
      </c>
      <c r="E1207" s="4">
        <v>6.4</v>
      </c>
      <c r="F1207" s="4">
        <v>6.36</v>
      </c>
      <c r="G1207"/>
      <c r="H1207"/>
      <c r="I1207"/>
      <c r="J1207"/>
      <c r="K1207"/>
      <c r="L1207"/>
      <c r="M1207"/>
      <c r="N1207"/>
      <c r="O1207"/>
    </row>
    <row r="1208" spans="2:15" ht="18" customHeight="1" x14ac:dyDescent="0.25">
      <c r="B1208" s="38" t="s">
        <v>12</v>
      </c>
      <c r="C1208" s="66"/>
      <c r="D1208"/>
      <c r="E1208"/>
      <c r="F1208"/>
      <c r="G1208"/>
      <c r="H1208"/>
      <c r="I1208"/>
      <c r="J1208"/>
      <c r="K1208"/>
      <c r="L1208"/>
      <c r="M1208"/>
      <c r="N1208"/>
      <c r="O1208"/>
    </row>
    <row r="1209" spans="2:15" ht="18" customHeight="1" x14ac:dyDescent="0.25">
      <c r="B1209" s="38" t="s">
        <v>13</v>
      </c>
      <c r="C1209" s="66">
        <v>4</v>
      </c>
      <c r="D1209" s="4">
        <v>1</v>
      </c>
      <c r="E1209" s="4">
        <v>0</v>
      </c>
      <c r="F1209" s="4">
        <v>0</v>
      </c>
      <c r="G1209"/>
      <c r="H1209"/>
      <c r="I1209"/>
      <c r="J1209"/>
      <c r="K1209"/>
      <c r="L1209"/>
      <c r="M1209"/>
      <c r="N1209"/>
      <c r="O1209"/>
    </row>
    <row r="1210" spans="2:15" ht="18" customHeight="1" x14ac:dyDescent="0.25">
      <c r="B1210" s="38" t="s">
        <v>14</v>
      </c>
      <c r="C1210" s="66"/>
      <c r="D1210"/>
      <c r="E1210"/>
      <c r="F1210"/>
      <c r="G1210"/>
      <c r="H1210"/>
      <c r="I1210"/>
      <c r="J1210"/>
      <c r="K1210"/>
      <c r="L1210"/>
      <c r="M1210"/>
      <c r="N1210"/>
      <c r="O1210"/>
    </row>
    <row r="1211" spans="2:15" ht="18" customHeight="1" x14ac:dyDescent="0.25">
      <c r="B1211" s="36" t="s">
        <v>41</v>
      </c>
      <c r="C1211" s="66" t="s">
        <v>42</v>
      </c>
      <c r="D1211" s="4" t="s">
        <v>42</v>
      </c>
      <c r="E1211" s="4" t="s">
        <v>42</v>
      </c>
      <c r="F1211" s="4" t="s">
        <v>42</v>
      </c>
      <c r="G1211"/>
      <c r="H1211"/>
      <c r="I1211"/>
      <c r="J1211"/>
      <c r="K1211"/>
      <c r="L1211"/>
      <c r="M1211"/>
      <c r="N1211"/>
      <c r="O1211"/>
    </row>
    <row r="1212" spans="2:15" ht="18" customHeight="1" x14ac:dyDescent="0.25">
      <c r="B1212" s="37" t="s">
        <v>15</v>
      </c>
      <c r="C1212" s="66"/>
      <c r="D1212"/>
      <c r="E1212"/>
      <c r="F1212"/>
      <c r="G1212"/>
      <c r="H1212"/>
      <c r="I1212"/>
      <c r="J1212"/>
      <c r="K1212"/>
      <c r="L1212"/>
      <c r="M1212"/>
      <c r="N1212"/>
      <c r="O1212"/>
    </row>
    <row r="1213" spans="2:15" ht="18" customHeight="1" x14ac:dyDescent="0.25">
      <c r="B1213" s="38" t="s">
        <v>17</v>
      </c>
      <c r="C1213" s="66">
        <v>40</v>
      </c>
      <c r="D1213" s="24">
        <v>40</v>
      </c>
      <c r="E1213" s="24">
        <v>40</v>
      </c>
      <c r="F1213" s="24">
        <v>40</v>
      </c>
      <c r="G1213"/>
      <c r="H1213"/>
      <c r="I1213"/>
      <c r="J1213"/>
      <c r="K1213"/>
      <c r="L1213"/>
      <c r="M1213"/>
      <c r="N1213"/>
      <c r="O1213"/>
    </row>
    <row r="1214" spans="2:15" ht="18" customHeight="1" x14ac:dyDescent="0.25">
      <c r="B1214" s="38" t="s">
        <v>18</v>
      </c>
      <c r="C1214" s="66" t="s">
        <v>43</v>
      </c>
      <c r="D1214" s="24" t="s">
        <v>43</v>
      </c>
      <c r="E1214" s="24" t="s">
        <v>43</v>
      </c>
      <c r="F1214" s="24" t="s">
        <v>43</v>
      </c>
      <c r="G1214"/>
      <c r="H1214"/>
      <c r="I1214"/>
      <c r="J1214"/>
      <c r="K1214"/>
      <c r="L1214"/>
      <c r="M1214"/>
      <c r="N1214"/>
      <c r="O1214"/>
    </row>
    <row r="1215" spans="2:15" ht="18" customHeight="1" x14ac:dyDescent="0.25">
      <c r="B1215" s="24"/>
      <c r="C1215" s="66"/>
      <c r="D1215" s="24"/>
      <c r="E1215" s="24"/>
      <c r="F1215" s="24"/>
      <c r="G1215"/>
      <c r="H1215"/>
      <c r="I1215"/>
      <c r="J1215"/>
      <c r="K1215"/>
      <c r="L1215"/>
      <c r="M1215"/>
      <c r="N1215"/>
      <c r="O1215"/>
    </row>
    <row r="1216" spans="2:15" ht="18" customHeight="1" x14ac:dyDescent="0.25">
      <c r="B1216" s="31" t="s">
        <v>19</v>
      </c>
      <c r="C1216" s="66"/>
      <c r="D1216" s="24"/>
      <c r="E1216" s="24"/>
      <c r="F1216" s="24"/>
      <c r="G1216"/>
      <c r="H1216"/>
      <c r="I1216"/>
      <c r="J1216"/>
      <c r="K1216"/>
      <c r="L1216"/>
      <c r="M1216"/>
      <c r="N1216"/>
      <c r="O1216"/>
    </row>
    <row r="1217" spans="2:15" ht="18" customHeight="1" x14ac:dyDescent="0.25">
      <c r="B1217" s="38" t="s">
        <v>20</v>
      </c>
      <c r="C1217" s="66"/>
      <c r="D1217" s="24"/>
      <c r="E1217" s="24"/>
      <c r="F1217" s="24"/>
      <c r="G1217"/>
      <c r="H1217"/>
      <c r="I1217"/>
      <c r="J1217"/>
      <c r="K1217"/>
      <c r="L1217"/>
      <c r="M1217"/>
      <c r="N1217"/>
      <c r="O1217"/>
    </row>
    <row r="1218" spans="2:15" ht="18" customHeight="1" x14ac:dyDescent="0.25">
      <c r="B1218" s="38" t="s">
        <v>21</v>
      </c>
      <c r="C1218" s="66">
        <v>3.5</v>
      </c>
      <c r="D1218" s="24">
        <v>3.5</v>
      </c>
      <c r="E1218" s="24">
        <v>3.5</v>
      </c>
      <c r="F1218" s="24">
        <v>3.5</v>
      </c>
      <c r="G1218"/>
      <c r="H1218"/>
      <c r="I1218"/>
      <c r="J1218"/>
      <c r="K1218"/>
      <c r="L1218"/>
      <c r="M1218"/>
      <c r="N1218"/>
      <c r="O1218"/>
    </row>
    <row r="1219" spans="2:15" ht="18" customHeight="1" x14ac:dyDescent="0.25">
      <c r="B1219" s="38" t="s">
        <v>22</v>
      </c>
      <c r="C1219" s="66">
        <v>0.35</v>
      </c>
      <c r="D1219" s="24">
        <v>0.35</v>
      </c>
      <c r="E1219" s="24">
        <v>0.35</v>
      </c>
      <c r="F1219" s="24">
        <v>0.35</v>
      </c>
      <c r="G1219"/>
      <c r="H1219"/>
      <c r="I1219"/>
      <c r="J1219"/>
      <c r="K1219"/>
      <c r="L1219"/>
      <c r="M1219"/>
      <c r="N1219"/>
      <c r="O1219"/>
    </row>
    <row r="1220" spans="2:15" ht="18" customHeight="1" x14ac:dyDescent="0.25">
      <c r="B1220" s="38" t="s">
        <v>23</v>
      </c>
      <c r="C1220" s="66"/>
      <c r="D1220" s="24"/>
      <c r="E1220" s="24"/>
      <c r="F1220" s="24"/>
      <c r="G1220"/>
      <c r="H1220"/>
      <c r="I1220"/>
      <c r="J1220"/>
      <c r="K1220"/>
      <c r="L1220"/>
      <c r="M1220"/>
      <c r="N1220"/>
      <c r="O1220"/>
    </row>
    <row r="1221" spans="2:15" ht="18" customHeight="1" x14ac:dyDescent="0.25">
      <c r="B1221" s="38" t="s">
        <v>24</v>
      </c>
      <c r="C1221" s="66"/>
      <c r="D1221" s="24"/>
      <c r="E1221" s="24"/>
      <c r="F1221" s="24"/>
      <c r="G1221"/>
      <c r="H1221"/>
      <c r="I1221"/>
      <c r="J1221"/>
      <c r="K1221"/>
      <c r="L1221"/>
      <c r="M1221"/>
      <c r="N1221"/>
      <c r="O1221"/>
    </row>
    <row r="1222" spans="2:15" ht="18" customHeight="1" x14ac:dyDescent="0.25">
      <c r="B1222" s="24"/>
      <c r="C1222" s="66"/>
      <c r="D1222"/>
      <c r="E1222"/>
      <c r="F1222"/>
      <c r="G1222"/>
      <c r="H1222"/>
      <c r="I1222"/>
      <c r="J1222"/>
      <c r="K1222"/>
      <c r="L1222"/>
      <c r="M1222"/>
      <c r="N1222"/>
      <c r="O1222"/>
    </row>
    <row r="1223" spans="2:15" ht="18" customHeight="1" x14ac:dyDescent="0.25">
      <c r="B1223" s="19" t="s">
        <v>33</v>
      </c>
      <c r="C1223" s="56"/>
      <c r="D1223"/>
      <c r="E1223"/>
      <c r="F1223"/>
      <c r="G1223"/>
      <c r="H1223"/>
      <c r="I1223"/>
      <c r="J1223"/>
      <c r="K1223"/>
      <c r="L1223"/>
      <c r="M1223"/>
      <c r="N1223"/>
      <c r="O1223"/>
    </row>
    <row r="1224" spans="2:15" ht="18" customHeight="1" x14ac:dyDescent="0.25">
      <c r="C1224" s="56"/>
      <c r="D1224"/>
      <c r="E1224"/>
      <c r="F1224"/>
      <c r="G1224"/>
      <c r="H1224"/>
      <c r="I1224"/>
      <c r="J1224"/>
      <c r="K1224"/>
      <c r="L1224"/>
      <c r="M1224"/>
      <c r="N1224"/>
      <c r="O1224"/>
    </row>
    <row r="1225" spans="2:15" ht="18" customHeight="1" x14ac:dyDescent="0.25">
      <c r="C1225" s="56"/>
      <c r="D1225"/>
      <c r="E1225"/>
      <c r="F1225"/>
      <c r="G1225"/>
      <c r="H1225"/>
      <c r="I1225"/>
      <c r="J1225"/>
      <c r="K1225"/>
      <c r="L1225"/>
      <c r="M1225"/>
      <c r="N1225"/>
      <c r="O1225"/>
    </row>
    <row r="1226" spans="2:15" ht="18" customHeight="1" x14ac:dyDescent="0.25">
      <c r="C1226" s="56"/>
      <c r="D1226"/>
      <c r="E1226"/>
      <c r="F1226"/>
      <c r="G1226"/>
      <c r="H1226"/>
      <c r="I1226"/>
      <c r="J1226"/>
      <c r="K1226"/>
      <c r="L1226"/>
      <c r="M1226"/>
      <c r="N1226"/>
      <c r="O1226"/>
    </row>
    <row r="1227" spans="2:15" ht="18" customHeight="1" x14ac:dyDescent="0.25">
      <c r="B1227" s="31" t="s">
        <v>0</v>
      </c>
      <c r="C1227" s="66" t="s">
        <v>239</v>
      </c>
      <c r="D1227"/>
      <c r="E1227"/>
      <c r="F1227"/>
      <c r="G1227"/>
      <c r="H1227"/>
      <c r="I1227"/>
      <c r="J1227"/>
      <c r="K1227"/>
      <c r="L1227"/>
      <c r="M1227"/>
      <c r="N1227"/>
      <c r="O1227"/>
    </row>
    <row r="1228" spans="2:15" ht="18" customHeight="1" x14ac:dyDescent="0.25">
      <c r="B1228" s="36" t="s">
        <v>3</v>
      </c>
      <c r="C1228" s="66">
        <v>2</v>
      </c>
      <c r="D1228"/>
      <c r="E1228"/>
      <c r="F1228"/>
      <c r="G1228"/>
      <c r="H1228"/>
      <c r="I1228"/>
      <c r="J1228"/>
      <c r="K1228"/>
      <c r="L1228"/>
      <c r="M1228"/>
      <c r="N1228"/>
      <c r="O1228"/>
    </row>
    <row r="1229" spans="2:15" ht="18" customHeight="1" x14ac:dyDescent="0.25">
      <c r="B1229" s="36"/>
      <c r="C1229" s="56"/>
      <c r="D1229"/>
      <c r="E1229"/>
      <c r="F1229"/>
      <c r="G1229"/>
      <c r="H1229"/>
      <c r="I1229"/>
      <c r="J1229"/>
      <c r="K1229"/>
      <c r="L1229"/>
      <c r="M1229"/>
      <c r="N1229"/>
      <c r="O1229"/>
    </row>
    <row r="1230" spans="2:15" ht="18" customHeight="1" x14ac:dyDescent="0.25">
      <c r="B1230" s="36" t="s">
        <v>6</v>
      </c>
      <c r="C1230" s="71">
        <v>39835</v>
      </c>
      <c r="D1230"/>
      <c r="E1230"/>
      <c r="F1230"/>
      <c r="G1230"/>
      <c r="H1230"/>
      <c r="I1230"/>
      <c r="J1230"/>
      <c r="K1230"/>
      <c r="L1230"/>
      <c r="M1230"/>
      <c r="N1230"/>
      <c r="O1230"/>
    </row>
    <row r="1231" spans="2:15" ht="18" customHeight="1" x14ac:dyDescent="0.25">
      <c r="B1231" s="37" t="s">
        <v>9</v>
      </c>
      <c r="C1231" s="65">
        <v>40092</v>
      </c>
      <c r="D1231" s="25">
        <v>40242</v>
      </c>
      <c r="E1231" s="25">
        <v>40246</v>
      </c>
      <c r="F1231" s="25">
        <v>40274</v>
      </c>
      <c r="G1231" s="25">
        <v>40351</v>
      </c>
      <c r="H1231" s="25">
        <v>40862</v>
      </c>
      <c r="I1231" s="25">
        <v>41051</v>
      </c>
      <c r="J1231" s="27">
        <v>41191</v>
      </c>
      <c r="K1231" s="29">
        <v>41201</v>
      </c>
      <c r="L1231" s="25">
        <v>41323</v>
      </c>
      <c r="M1231" s="25">
        <v>41471</v>
      </c>
      <c r="N1231" s="25">
        <v>41674</v>
      </c>
      <c r="O1231" s="25">
        <v>41884</v>
      </c>
    </row>
    <row r="1232" spans="2:15" ht="18" customHeight="1" x14ac:dyDescent="0.25">
      <c r="B1232" s="37" t="s">
        <v>8</v>
      </c>
      <c r="C1232" s="66"/>
      <c r="D1232"/>
      <c r="E1232"/>
      <c r="F1232"/>
      <c r="G1232"/>
      <c r="H1232"/>
      <c r="I1232"/>
      <c r="J1232"/>
      <c r="K1232"/>
      <c r="L1232"/>
      <c r="M1232"/>
      <c r="N1232"/>
      <c r="O1232"/>
    </row>
    <row r="1233" spans="2:15" ht="18" customHeight="1" x14ac:dyDescent="0.25">
      <c r="B1233" s="38" t="s">
        <v>11</v>
      </c>
      <c r="C1233" s="66">
        <v>6.47</v>
      </c>
      <c r="D1233" s="4">
        <v>6.46</v>
      </c>
      <c r="E1233" s="4">
        <v>6.37</v>
      </c>
      <c r="F1233" s="4">
        <v>6.43</v>
      </c>
      <c r="G1233" s="4">
        <v>6.43</v>
      </c>
      <c r="H1233" s="4">
        <v>6.14</v>
      </c>
      <c r="I1233" s="4">
        <v>5.91</v>
      </c>
      <c r="J1233" s="24">
        <v>5.74</v>
      </c>
      <c r="K1233" s="4">
        <v>5.64</v>
      </c>
      <c r="L1233" s="4">
        <v>5.34</v>
      </c>
      <c r="M1233" s="4">
        <v>5.24</v>
      </c>
      <c r="N1233" s="4">
        <v>5.17</v>
      </c>
      <c r="O1233" s="4">
        <v>5.16</v>
      </c>
    </row>
    <row r="1234" spans="2:15" ht="18" customHeight="1" x14ac:dyDescent="0.25">
      <c r="B1234" s="38" t="s">
        <v>12</v>
      </c>
      <c r="C1234" s="66">
        <v>7</v>
      </c>
      <c r="D1234" s="4">
        <v>6</v>
      </c>
      <c r="E1234" s="4">
        <v>0</v>
      </c>
      <c r="F1234" s="4">
        <v>2</v>
      </c>
      <c r="G1234" s="4">
        <v>63</v>
      </c>
      <c r="H1234" s="4">
        <v>47</v>
      </c>
      <c r="I1234" s="4">
        <v>4</v>
      </c>
      <c r="J1234" s="24">
        <v>0</v>
      </c>
      <c r="K1234" s="4">
        <v>0</v>
      </c>
      <c r="L1234" s="4" t="s">
        <v>240</v>
      </c>
      <c r="M1234" s="4" t="s">
        <v>241</v>
      </c>
      <c r="N1234" s="4" t="s">
        <v>242</v>
      </c>
      <c r="O1234" s="4" t="s">
        <v>184</v>
      </c>
    </row>
    <row r="1235" spans="2:15" ht="18" customHeight="1" x14ac:dyDescent="0.25">
      <c r="B1235" s="38" t="s">
        <v>13</v>
      </c>
      <c r="C1235" s="66">
        <v>0</v>
      </c>
      <c r="D1235" s="4">
        <v>0</v>
      </c>
      <c r="E1235" s="4">
        <v>0</v>
      </c>
      <c r="F1235" s="4">
        <v>0</v>
      </c>
      <c r="G1235" s="4">
        <v>0</v>
      </c>
      <c r="H1235"/>
      <c r="I1235"/>
      <c r="J1235"/>
      <c r="K1235"/>
      <c r="L1235"/>
      <c r="M1235"/>
      <c r="N1235"/>
      <c r="O1235"/>
    </row>
    <row r="1236" spans="2:15" ht="18" customHeight="1" x14ac:dyDescent="0.25">
      <c r="B1236" s="38" t="s">
        <v>14</v>
      </c>
      <c r="C1236" s="66"/>
      <c r="D1236"/>
      <c r="E1236"/>
      <c r="F1236"/>
      <c r="G1236"/>
      <c r="H1236"/>
      <c r="I1236"/>
      <c r="J1236"/>
      <c r="K1236"/>
      <c r="L1236"/>
      <c r="M1236"/>
      <c r="N1236"/>
      <c r="O1236"/>
    </row>
    <row r="1237" spans="2:15" ht="18" customHeight="1" x14ac:dyDescent="0.25">
      <c r="B1237" s="36" t="s">
        <v>41</v>
      </c>
      <c r="C1237" s="72" t="s">
        <v>243</v>
      </c>
      <c r="D1237" s="44" t="s">
        <v>244</v>
      </c>
      <c r="E1237" s="4" t="s">
        <v>46</v>
      </c>
      <c r="F1237" s="4" t="s">
        <v>193</v>
      </c>
      <c r="G1237" s="4" t="s">
        <v>169</v>
      </c>
      <c r="H1237" s="4" t="s">
        <v>42</v>
      </c>
      <c r="I1237" s="28" t="s">
        <v>245</v>
      </c>
      <c r="J1237" s="24" t="s">
        <v>42</v>
      </c>
      <c r="K1237" s="4" t="s">
        <v>77</v>
      </c>
      <c r="L1237" s="4" t="s">
        <v>42</v>
      </c>
      <c r="M1237" s="4" t="s">
        <v>42</v>
      </c>
      <c r="N1237" s="4" t="s">
        <v>42</v>
      </c>
      <c r="O1237" s="4" t="s">
        <v>42</v>
      </c>
    </row>
    <row r="1238" spans="2:15" ht="18" customHeight="1" x14ac:dyDescent="0.25">
      <c r="B1238" s="37" t="s">
        <v>15</v>
      </c>
      <c r="C1238" s="66"/>
      <c r="D1238"/>
      <c r="E1238"/>
      <c r="F1238"/>
      <c r="G1238"/>
      <c r="H1238"/>
      <c r="I1238"/>
      <c r="J1238"/>
      <c r="K1238"/>
      <c r="L1238"/>
      <c r="M1238"/>
      <c r="N1238"/>
      <c r="O1238"/>
    </row>
    <row r="1239" spans="2:15" ht="18" customHeight="1" x14ac:dyDescent="0.25">
      <c r="B1239" s="38" t="s">
        <v>17</v>
      </c>
      <c r="C1239" s="66" t="s">
        <v>67</v>
      </c>
      <c r="D1239" s="24" t="s">
        <v>67</v>
      </c>
      <c r="E1239" s="24" t="s">
        <v>67</v>
      </c>
      <c r="F1239" s="24" t="s">
        <v>67</v>
      </c>
      <c r="G1239" s="24" t="s">
        <v>67</v>
      </c>
      <c r="H1239" s="24" t="s">
        <v>67</v>
      </c>
      <c r="I1239" s="24" t="s">
        <v>67</v>
      </c>
      <c r="J1239" s="24" t="s">
        <v>67</v>
      </c>
      <c r="K1239" s="24" t="s">
        <v>67</v>
      </c>
      <c r="L1239" s="24" t="s">
        <v>47</v>
      </c>
      <c r="M1239" s="24" t="s">
        <v>190</v>
      </c>
      <c r="N1239" s="24" t="s">
        <v>190</v>
      </c>
      <c r="O1239" s="24" t="s">
        <v>190</v>
      </c>
    </row>
    <row r="1240" spans="2:15" ht="18" customHeight="1" x14ac:dyDescent="0.25">
      <c r="B1240" s="38" t="s">
        <v>18</v>
      </c>
      <c r="C1240" s="66" t="s">
        <v>43</v>
      </c>
      <c r="D1240" s="24" t="s">
        <v>43</v>
      </c>
      <c r="E1240" s="24" t="s">
        <v>43</v>
      </c>
      <c r="F1240" s="24" t="s">
        <v>43</v>
      </c>
      <c r="G1240" s="24" t="s">
        <v>43</v>
      </c>
      <c r="H1240" s="24" t="s">
        <v>43</v>
      </c>
      <c r="I1240" s="24" t="s">
        <v>43</v>
      </c>
      <c r="J1240" s="24" t="s">
        <v>43</v>
      </c>
      <c r="K1240" s="24" t="s">
        <v>65</v>
      </c>
      <c r="L1240" s="24" t="s">
        <v>65</v>
      </c>
      <c r="M1240" s="24" t="s">
        <v>65</v>
      </c>
      <c r="N1240" s="24" t="s">
        <v>65</v>
      </c>
      <c r="O1240" s="24" t="s">
        <v>65</v>
      </c>
    </row>
    <row r="1241" spans="2:15" ht="18" customHeight="1" x14ac:dyDescent="0.25">
      <c r="B1241" s="24"/>
      <c r="C1241" s="66"/>
      <c r="D1241" s="24"/>
      <c r="E1241" s="24"/>
      <c r="F1241" s="24"/>
      <c r="G1241" s="24"/>
      <c r="H1241" s="24"/>
      <c r="I1241" s="24"/>
      <c r="J1241"/>
      <c r="K1241" s="24"/>
      <c r="L1241" s="24"/>
      <c r="M1241" s="24"/>
      <c r="N1241" s="24"/>
      <c r="O1241" s="24"/>
    </row>
    <row r="1242" spans="2:15" ht="18" customHeight="1" x14ac:dyDescent="0.25">
      <c r="B1242" s="31" t="s">
        <v>19</v>
      </c>
      <c r="C1242" s="66">
        <v>3.5</v>
      </c>
      <c r="D1242" s="24">
        <v>3.5</v>
      </c>
      <c r="E1242" s="24">
        <v>3.5</v>
      </c>
      <c r="F1242" s="24">
        <v>3.5</v>
      </c>
      <c r="G1242" s="24">
        <v>3.5</v>
      </c>
      <c r="H1242" s="24">
        <v>3</v>
      </c>
      <c r="I1242" s="24">
        <v>3</v>
      </c>
      <c r="J1242" s="24">
        <v>3</v>
      </c>
      <c r="K1242" s="24">
        <v>3</v>
      </c>
      <c r="L1242" s="24">
        <v>3</v>
      </c>
      <c r="M1242" s="24">
        <v>2</v>
      </c>
      <c r="N1242" s="24">
        <v>2</v>
      </c>
      <c r="O1242" s="24">
        <v>2</v>
      </c>
    </row>
    <row r="1243" spans="2:15" ht="18" customHeight="1" x14ac:dyDescent="0.25">
      <c r="B1243" s="38" t="s">
        <v>20</v>
      </c>
      <c r="C1243" s="66">
        <v>0.35</v>
      </c>
      <c r="D1243" s="24">
        <v>0.35</v>
      </c>
      <c r="E1243" s="24">
        <v>0.35</v>
      </c>
      <c r="F1243" s="24">
        <v>0.35</v>
      </c>
      <c r="G1243" s="24">
        <v>0.35</v>
      </c>
      <c r="H1243" s="24">
        <v>0.35</v>
      </c>
      <c r="I1243" s="24">
        <v>0.35</v>
      </c>
      <c r="J1243" s="24">
        <v>0.35</v>
      </c>
      <c r="K1243" s="24">
        <v>0.35</v>
      </c>
      <c r="L1243" s="24">
        <v>0.35</v>
      </c>
      <c r="M1243" s="24">
        <v>0.35</v>
      </c>
      <c r="N1243" s="24">
        <v>0.35</v>
      </c>
      <c r="O1243" s="24">
        <v>0.35</v>
      </c>
    </row>
    <row r="1244" spans="2:15" ht="18" customHeight="1" x14ac:dyDescent="0.25">
      <c r="B1244" s="38" t="s">
        <v>21</v>
      </c>
      <c r="C1244" s="66">
        <v>3.5</v>
      </c>
      <c r="D1244" s="24">
        <v>3.5</v>
      </c>
      <c r="E1244" s="24">
        <v>3.5</v>
      </c>
      <c r="F1244" s="24">
        <v>3.5</v>
      </c>
      <c r="G1244" s="24">
        <v>3.5</v>
      </c>
      <c r="H1244" s="24">
        <v>2.5</v>
      </c>
      <c r="I1244" s="24">
        <v>2.5</v>
      </c>
      <c r="J1244" s="24">
        <v>2.5</v>
      </c>
      <c r="K1244" s="24">
        <v>2.5</v>
      </c>
      <c r="L1244" s="24">
        <v>2.5</v>
      </c>
      <c r="M1244" s="24">
        <v>2.5</v>
      </c>
      <c r="N1244" s="24">
        <v>2.5</v>
      </c>
      <c r="O1244" s="24">
        <v>2.5</v>
      </c>
    </row>
    <row r="1245" spans="2:15" ht="18" customHeight="1" x14ac:dyDescent="0.25">
      <c r="B1245" s="38" t="s">
        <v>22</v>
      </c>
      <c r="C1245" s="66">
        <v>0.35</v>
      </c>
      <c r="D1245" s="24">
        <v>0.35</v>
      </c>
      <c r="E1245" s="24">
        <v>0.35</v>
      </c>
      <c r="F1245" s="24">
        <v>0.35</v>
      </c>
      <c r="G1245" s="24">
        <v>0.35</v>
      </c>
      <c r="H1245" s="24">
        <v>0.35</v>
      </c>
      <c r="I1245" s="24">
        <v>0.35</v>
      </c>
      <c r="J1245" s="24">
        <v>0.35</v>
      </c>
      <c r="K1245" s="24">
        <v>0.35</v>
      </c>
      <c r="L1245" s="24">
        <v>0.35</v>
      </c>
      <c r="M1245" s="24">
        <v>0.35</v>
      </c>
      <c r="N1245" s="24">
        <v>0.35</v>
      </c>
      <c r="O1245" s="24">
        <v>0.35</v>
      </c>
    </row>
    <row r="1246" spans="2:15" ht="18" customHeight="1" x14ac:dyDescent="0.25">
      <c r="B1246" s="38" t="s">
        <v>23</v>
      </c>
      <c r="C1246" s="66"/>
      <c r="D1246" s="24"/>
      <c r="E1246" s="24"/>
      <c r="F1246" s="24"/>
      <c r="G1246" s="24"/>
      <c r="H1246"/>
      <c r="I1246"/>
      <c r="J1246" s="4"/>
      <c r="K1246"/>
    </row>
    <row r="1247" spans="2:15" ht="18" customHeight="1" x14ac:dyDescent="0.25">
      <c r="B1247" s="38" t="s">
        <v>24</v>
      </c>
      <c r="C1247" s="66"/>
      <c r="D1247" s="24"/>
      <c r="E1247"/>
      <c r="F1247"/>
      <c r="G1247"/>
      <c r="H1247"/>
      <c r="I1247"/>
      <c r="J1247"/>
      <c r="K1247"/>
    </row>
    <row r="1248" spans="2:15" ht="18" customHeight="1" x14ac:dyDescent="0.25">
      <c r="B1248" s="24"/>
      <c r="C1248" s="66"/>
      <c r="D1248"/>
      <c r="E1248"/>
      <c r="F1248"/>
      <c r="G1248"/>
      <c r="H1248"/>
      <c r="I1248"/>
      <c r="J1248"/>
      <c r="K1248"/>
    </row>
    <row r="1249" spans="2:11" ht="18" customHeight="1" x14ac:dyDescent="0.25">
      <c r="B1249" s="19" t="s">
        <v>33</v>
      </c>
      <c r="C1249" s="56"/>
      <c r="D1249"/>
      <c r="E1249"/>
      <c r="F1249"/>
      <c r="G1249"/>
      <c r="H1249"/>
      <c r="I1249"/>
      <c r="J1249"/>
      <c r="K1249"/>
    </row>
    <row r="1250" spans="2:11" ht="18" customHeight="1" x14ac:dyDescent="0.25">
      <c r="C1250" s="56"/>
      <c r="D1250"/>
      <c r="E1250"/>
      <c r="F1250"/>
      <c r="G1250"/>
      <c r="H1250"/>
      <c r="I1250"/>
      <c r="J1250"/>
      <c r="K1250"/>
    </row>
    <row r="1251" spans="2:11" ht="18" customHeight="1" x14ac:dyDescent="0.25">
      <c r="C1251" s="56"/>
      <c r="D1251"/>
      <c r="E1251"/>
      <c r="F1251"/>
      <c r="G1251"/>
      <c r="H1251"/>
      <c r="I1251"/>
      <c r="J1251"/>
      <c r="K1251"/>
    </row>
    <row r="1252" spans="2:11" ht="18" customHeight="1" x14ac:dyDescent="0.25">
      <c r="C1252" s="56"/>
      <c r="D1252"/>
      <c r="E1252"/>
      <c r="F1252"/>
      <c r="G1252"/>
      <c r="H1252"/>
      <c r="I1252"/>
      <c r="J1252"/>
      <c r="K1252"/>
    </row>
    <row r="1253" spans="2:11" ht="18" customHeight="1" x14ac:dyDescent="0.25">
      <c r="B1253" s="31" t="s">
        <v>0</v>
      </c>
      <c r="C1253" s="66" t="s">
        <v>246</v>
      </c>
      <c r="D1253"/>
      <c r="E1253"/>
      <c r="F1253"/>
      <c r="G1253"/>
      <c r="H1253"/>
      <c r="I1253"/>
      <c r="J1253"/>
      <c r="K1253"/>
    </row>
    <row r="1254" spans="2:11" ht="18" customHeight="1" x14ac:dyDescent="0.25">
      <c r="B1254" s="36" t="s">
        <v>3</v>
      </c>
      <c r="C1254" s="66">
        <v>1</v>
      </c>
      <c r="D1254"/>
      <c r="E1254"/>
      <c r="F1254"/>
      <c r="G1254"/>
      <c r="H1254"/>
      <c r="I1254"/>
      <c r="J1254"/>
      <c r="K1254"/>
    </row>
    <row r="1255" spans="2:11" ht="18" customHeight="1" x14ac:dyDescent="0.25">
      <c r="B1255" s="36"/>
      <c r="C1255" s="56"/>
      <c r="D1255"/>
      <c r="E1255"/>
      <c r="F1255"/>
      <c r="G1255"/>
      <c r="H1255"/>
      <c r="I1255"/>
      <c r="J1255"/>
      <c r="K1255"/>
    </row>
    <row r="1256" spans="2:11" ht="18" customHeight="1" x14ac:dyDescent="0.25">
      <c r="B1256" s="36" t="s">
        <v>6</v>
      </c>
      <c r="C1256" s="71">
        <v>42386</v>
      </c>
      <c r="D1256"/>
      <c r="E1256"/>
      <c r="F1256"/>
      <c r="G1256"/>
      <c r="H1256"/>
      <c r="I1256"/>
      <c r="J1256"/>
      <c r="K1256"/>
    </row>
    <row r="1257" spans="2:11" ht="18" customHeight="1" x14ac:dyDescent="0.25">
      <c r="B1257" s="37" t="s">
        <v>9</v>
      </c>
      <c r="C1257" s="65">
        <v>40253</v>
      </c>
      <c r="D1257" s="25">
        <v>40456</v>
      </c>
      <c r="E1257"/>
      <c r="F1257"/>
      <c r="G1257"/>
      <c r="H1257"/>
      <c r="I1257"/>
      <c r="J1257"/>
      <c r="K1257"/>
    </row>
    <row r="1258" spans="2:11" ht="18" customHeight="1" x14ac:dyDescent="0.25">
      <c r="B1258" s="37" t="s">
        <v>8</v>
      </c>
      <c r="C1258" s="66"/>
      <c r="D1258"/>
      <c r="E1258"/>
      <c r="F1258"/>
      <c r="G1258"/>
      <c r="H1258"/>
      <c r="I1258"/>
      <c r="J1258"/>
      <c r="K1258"/>
    </row>
    <row r="1259" spans="2:11" ht="18" customHeight="1" x14ac:dyDescent="0.25">
      <c r="B1259" s="38" t="s">
        <v>11</v>
      </c>
      <c r="C1259" s="66">
        <v>5.38</v>
      </c>
      <c r="D1259" s="4">
        <v>5.18</v>
      </c>
      <c r="E1259"/>
      <c r="F1259"/>
      <c r="G1259"/>
      <c r="H1259"/>
      <c r="I1259"/>
      <c r="J1259"/>
      <c r="K1259"/>
    </row>
    <row r="1260" spans="2:11" ht="18" customHeight="1" x14ac:dyDescent="0.25">
      <c r="B1260" s="38" t="s">
        <v>12</v>
      </c>
      <c r="C1260" s="66">
        <v>1</v>
      </c>
      <c r="D1260" s="4">
        <v>1</v>
      </c>
      <c r="E1260"/>
      <c r="F1260"/>
      <c r="G1260"/>
      <c r="H1260"/>
      <c r="I1260"/>
      <c r="J1260"/>
      <c r="K1260"/>
    </row>
    <row r="1261" spans="2:11" ht="18" customHeight="1" x14ac:dyDescent="0.25">
      <c r="B1261" s="38" t="s">
        <v>13</v>
      </c>
      <c r="C1261" s="66">
        <v>0</v>
      </c>
      <c r="D1261" s="4">
        <v>0</v>
      </c>
      <c r="E1261"/>
      <c r="F1261"/>
      <c r="G1261"/>
      <c r="H1261"/>
      <c r="I1261"/>
      <c r="J1261"/>
      <c r="K1261"/>
    </row>
    <row r="1262" spans="2:11" ht="18" customHeight="1" x14ac:dyDescent="0.25">
      <c r="B1262" s="38" t="s">
        <v>14</v>
      </c>
      <c r="C1262" s="66"/>
      <c r="D1262"/>
      <c r="E1262"/>
      <c r="F1262"/>
      <c r="G1262"/>
      <c r="H1262"/>
      <c r="I1262"/>
      <c r="J1262"/>
      <c r="K1262"/>
    </row>
    <row r="1263" spans="2:11" ht="18" customHeight="1" x14ac:dyDescent="0.25">
      <c r="B1263" s="36" t="s">
        <v>41</v>
      </c>
      <c r="C1263" s="72" t="s">
        <v>42</v>
      </c>
      <c r="D1263" s="30" t="s">
        <v>42</v>
      </c>
      <c r="E1263"/>
      <c r="F1263"/>
      <c r="G1263"/>
      <c r="H1263"/>
      <c r="I1263"/>
      <c r="J1263"/>
      <c r="K1263"/>
    </row>
    <row r="1264" spans="2:11" ht="18" customHeight="1" x14ac:dyDescent="0.25">
      <c r="B1264" s="37" t="s">
        <v>15</v>
      </c>
      <c r="C1264" s="66"/>
      <c r="D1264" s="24"/>
      <c r="E1264"/>
      <c r="F1264"/>
      <c r="G1264"/>
      <c r="H1264"/>
      <c r="I1264"/>
      <c r="J1264"/>
      <c r="K1264"/>
    </row>
    <row r="1265" spans="2:11" ht="18" customHeight="1" x14ac:dyDescent="0.25">
      <c r="B1265" s="38" t="s">
        <v>17</v>
      </c>
      <c r="C1265" s="66" t="s">
        <v>47</v>
      </c>
      <c r="D1265" s="24" t="s">
        <v>47</v>
      </c>
      <c r="E1265"/>
      <c r="F1265"/>
      <c r="G1265"/>
      <c r="H1265"/>
      <c r="I1265"/>
      <c r="J1265"/>
      <c r="K1265"/>
    </row>
    <row r="1266" spans="2:11" ht="18" customHeight="1" x14ac:dyDescent="0.25">
      <c r="B1266" s="38" t="s">
        <v>18</v>
      </c>
      <c r="C1266" s="66" t="s">
        <v>43</v>
      </c>
      <c r="D1266" s="24" t="s">
        <v>43</v>
      </c>
      <c r="E1266"/>
      <c r="F1266"/>
      <c r="G1266"/>
      <c r="H1266"/>
      <c r="I1266"/>
      <c r="J1266"/>
      <c r="K1266"/>
    </row>
    <row r="1267" spans="2:11" ht="18" customHeight="1" x14ac:dyDescent="0.25">
      <c r="B1267" s="24"/>
      <c r="C1267" s="66"/>
      <c r="D1267" s="24"/>
      <c r="E1267"/>
      <c r="F1267"/>
      <c r="G1267"/>
      <c r="H1267"/>
      <c r="I1267"/>
      <c r="J1267"/>
      <c r="K1267"/>
    </row>
    <row r="1268" spans="2:11" ht="18" customHeight="1" x14ac:dyDescent="0.25">
      <c r="B1268" s="31" t="s">
        <v>19</v>
      </c>
      <c r="C1268" s="66">
        <v>2</v>
      </c>
      <c r="D1268" s="24">
        <v>2</v>
      </c>
      <c r="E1268"/>
      <c r="F1268"/>
      <c r="G1268"/>
      <c r="H1268"/>
      <c r="I1268"/>
      <c r="J1268"/>
      <c r="K1268"/>
    </row>
    <row r="1269" spans="2:11" ht="18" customHeight="1" x14ac:dyDescent="0.25">
      <c r="B1269" s="38" t="s">
        <v>20</v>
      </c>
      <c r="C1269" s="66">
        <v>0.35</v>
      </c>
      <c r="D1269" s="24">
        <v>0.35</v>
      </c>
      <c r="E1269"/>
      <c r="F1269"/>
      <c r="G1269"/>
      <c r="H1269"/>
      <c r="I1269"/>
      <c r="J1269"/>
      <c r="K1269"/>
    </row>
    <row r="1270" spans="2:11" ht="18" customHeight="1" x14ac:dyDescent="0.25">
      <c r="B1270" s="38" t="s">
        <v>21</v>
      </c>
      <c r="C1270" s="66">
        <v>4</v>
      </c>
      <c r="D1270" s="24">
        <v>4</v>
      </c>
      <c r="E1270"/>
      <c r="F1270"/>
      <c r="G1270"/>
      <c r="H1270"/>
      <c r="I1270"/>
      <c r="J1270"/>
      <c r="K1270"/>
    </row>
    <row r="1271" spans="2:11" ht="18" customHeight="1" x14ac:dyDescent="0.25">
      <c r="B1271" s="38" t="s">
        <v>22</v>
      </c>
      <c r="C1271" s="66">
        <v>0.6</v>
      </c>
      <c r="D1271" s="24">
        <v>0.6</v>
      </c>
      <c r="E1271"/>
      <c r="F1271"/>
      <c r="G1271"/>
      <c r="H1271"/>
      <c r="I1271"/>
      <c r="J1271"/>
      <c r="K1271"/>
    </row>
    <row r="1272" spans="2:11" ht="18" customHeight="1" x14ac:dyDescent="0.25">
      <c r="B1272" s="38" t="s">
        <v>23</v>
      </c>
      <c r="C1272" s="66"/>
      <c r="D1272"/>
      <c r="E1272"/>
      <c r="F1272"/>
      <c r="G1272"/>
      <c r="H1272"/>
      <c r="I1272"/>
      <c r="J1272"/>
      <c r="K1272"/>
    </row>
    <row r="1273" spans="2:11" ht="18" customHeight="1" x14ac:dyDescent="0.25">
      <c r="B1273" s="38" t="s">
        <v>24</v>
      </c>
      <c r="C1273" s="66"/>
      <c r="D1273"/>
      <c r="E1273"/>
      <c r="F1273"/>
      <c r="G1273"/>
      <c r="H1273"/>
      <c r="I1273"/>
      <c r="J1273"/>
      <c r="K1273"/>
    </row>
    <row r="1274" spans="2:11" ht="18" customHeight="1" x14ac:dyDescent="0.25">
      <c r="B1274" s="24"/>
      <c r="C1274" s="66"/>
      <c r="D1274"/>
      <c r="E1274"/>
      <c r="F1274"/>
      <c r="G1274"/>
      <c r="H1274"/>
      <c r="I1274"/>
      <c r="J1274"/>
      <c r="K1274"/>
    </row>
    <row r="1275" spans="2:11" ht="18" customHeight="1" x14ac:dyDescent="0.25">
      <c r="B1275" s="19" t="s">
        <v>33</v>
      </c>
      <c r="C1275" s="56"/>
      <c r="D1275"/>
      <c r="E1275"/>
      <c r="F1275"/>
      <c r="G1275"/>
      <c r="H1275"/>
      <c r="I1275"/>
      <c r="J1275"/>
      <c r="K1275"/>
    </row>
    <row r="1276" spans="2:11" ht="18" customHeight="1" x14ac:dyDescent="0.25">
      <c r="C1276" s="56"/>
      <c r="D1276"/>
      <c r="E1276"/>
      <c r="F1276"/>
      <c r="G1276"/>
      <c r="H1276"/>
      <c r="I1276"/>
      <c r="J1276"/>
      <c r="K1276"/>
    </row>
    <row r="1277" spans="2:11" ht="18" customHeight="1" x14ac:dyDescent="0.25">
      <c r="C1277" s="56"/>
      <c r="D1277"/>
      <c r="E1277"/>
      <c r="F1277"/>
      <c r="G1277"/>
      <c r="H1277"/>
      <c r="I1277"/>
      <c r="J1277"/>
      <c r="K1277"/>
    </row>
    <row r="1278" spans="2:11" ht="18" customHeight="1" x14ac:dyDescent="0.25">
      <c r="C1278" s="56"/>
      <c r="D1278"/>
      <c r="E1278"/>
      <c r="F1278"/>
      <c r="G1278"/>
      <c r="H1278"/>
      <c r="I1278"/>
      <c r="J1278"/>
      <c r="K1278"/>
    </row>
    <row r="1279" spans="2:11" ht="18" customHeight="1" x14ac:dyDescent="0.25">
      <c r="C1279" s="56"/>
      <c r="D1279"/>
      <c r="E1279"/>
      <c r="F1279"/>
      <c r="G1279"/>
      <c r="H1279"/>
      <c r="I1279"/>
      <c r="J1279"/>
      <c r="K1279"/>
    </row>
    <row r="1280" spans="2:11" ht="18" customHeight="1" x14ac:dyDescent="0.25">
      <c r="B1280" s="31" t="s">
        <v>0</v>
      </c>
      <c r="C1280" s="66" t="s">
        <v>247</v>
      </c>
      <c r="D1280"/>
      <c r="E1280"/>
      <c r="F1280"/>
      <c r="G1280"/>
      <c r="H1280"/>
      <c r="I1280"/>
      <c r="J1280"/>
      <c r="K1280"/>
    </row>
    <row r="1281" spans="2:11" ht="18" customHeight="1" x14ac:dyDescent="0.25">
      <c r="B1281" s="36" t="s">
        <v>3</v>
      </c>
      <c r="C1281" s="66">
        <v>2</v>
      </c>
      <c r="D1281"/>
      <c r="E1281"/>
      <c r="F1281"/>
      <c r="G1281"/>
      <c r="H1281"/>
      <c r="I1281"/>
      <c r="J1281"/>
      <c r="K1281"/>
    </row>
    <row r="1282" spans="2:11" ht="18" customHeight="1" x14ac:dyDescent="0.25">
      <c r="B1282" s="36"/>
      <c r="C1282" s="56"/>
      <c r="D1282"/>
      <c r="E1282"/>
      <c r="F1282"/>
      <c r="G1282"/>
      <c r="H1282"/>
      <c r="I1282"/>
      <c r="J1282"/>
      <c r="K1282"/>
    </row>
    <row r="1283" spans="2:11" ht="18" customHeight="1" x14ac:dyDescent="0.25">
      <c r="B1283" s="36" t="s">
        <v>6</v>
      </c>
      <c r="C1283" s="71">
        <v>39399</v>
      </c>
      <c r="D1283"/>
      <c r="E1283"/>
      <c r="F1283"/>
      <c r="G1283"/>
      <c r="H1283"/>
      <c r="I1283"/>
      <c r="J1283"/>
      <c r="K1283"/>
    </row>
    <row r="1284" spans="2:11" ht="18" customHeight="1" x14ac:dyDescent="0.25">
      <c r="B1284" s="37" t="s">
        <v>9</v>
      </c>
      <c r="C1284" s="65">
        <v>40162</v>
      </c>
      <c r="D1284" s="25">
        <v>40351</v>
      </c>
      <c r="E1284" s="25">
        <v>40708</v>
      </c>
      <c r="F1284" s="25">
        <v>40932</v>
      </c>
      <c r="G1284" s="25">
        <v>41107</v>
      </c>
      <c r="H1284" s="25">
        <v>41310</v>
      </c>
      <c r="I1284" s="25">
        <v>41478</v>
      </c>
      <c r="J1284" s="27">
        <v>41681</v>
      </c>
      <c r="K1284" s="25">
        <v>41898</v>
      </c>
    </row>
    <row r="1285" spans="2:11" ht="18" customHeight="1" x14ac:dyDescent="0.25">
      <c r="B1285" s="37" t="s">
        <v>8</v>
      </c>
      <c r="C1285" s="66"/>
      <c r="D1285"/>
      <c r="E1285"/>
      <c r="F1285"/>
      <c r="G1285"/>
      <c r="H1285"/>
      <c r="I1285"/>
      <c r="J1285"/>
      <c r="K1285"/>
    </row>
    <row r="1286" spans="2:11" ht="18" customHeight="1" x14ac:dyDescent="0.25">
      <c r="B1286" s="38" t="s">
        <v>11</v>
      </c>
      <c r="C1286" s="66">
        <v>6.37</v>
      </c>
      <c r="D1286" s="4">
        <v>6.31</v>
      </c>
      <c r="E1286" s="4">
        <v>6.01</v>
      </c>
      <c r="F1286" s="4">
        <v>5.79</v>
      </c>
      <c r="G1286" s="4">
        <v>5.41</v>
      </c>
      <c r="H1286" s="4">
        <v>5.24</v>
      </c>
      <c r="I1286" s="4">
        <v>5.17</v>
      </c>
      <c r="J1286" s="24">
        <v>5.14</v>
      </c>
      <c r="K1286" s="4">
        <v>5.13</v>
      </c>
    </row>
    <row r="1287" spans="2:11" ht="18" customHeight="1" x14ac:dyDescent="0.25">
      <c r="B1287" s="38" t="s">
        <v>12</v>
      </c>
      <c r="C1287" s="66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</row>
    <row r="1288" spans="2:11" ht="18" customHeight="1" x14ac:dyDescent="0.25">
      <c r="B1288" s="38" t="s">
        <v>13</v>
      </c>
      <c r="C1288" s="66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</row>
    <row r="1289" spans="2:11" ht="18" customHeight="1" x14ac:dyDescent="0.25">
      <c r="B1289" s="38" t="s">
        <v>14</v>
      </c>
      <c r="C1289" s="66"/>
      <c r="D1289"/>
      <c r="E1289"/>
      <c r="F1289"/>
      <c r="G1289"/>
      <c r="H1289"/>
      <c r="I1289"/>
      <c r="J1289" s="4"/>
      <c r="K1289"/>
    </row>
    <row r="1290" spans="2:11" ht="18" customHeight="1" x14ac:dyDescent="0.25">
      <c r="B1290" s="36" t="s">
        <v>41</v>
      </c>
      <c r="C1290" s="72" t="s">
        <v>42</v>
      </c>
      <c r="D1290" s="30" t="s">
        <v>42</v>
      </c>
      <c r="E1290" s="30" t="s">
        <v>42</v>
      </c>
      <c r="F1290" s="30" t="s">
        <v>42</v>
      </c>
      <c r="G1290" s="30" t="s">
        <v>42</v>
      </c>
      <c r="H1290" s="30" t="s">
        <v>42</v>
      </c>
      <c r="I1290" s="30" t="s">
        <v>42</v>
      </c>
      <c r="J1290" s="30" t="s">
        <v>42</v>
      </c>
      <c r="K1290" s="30" t="s">
        <v>42</v>
      </c>
    </row>
    <row r="1291" spans="2:11" ht="18" customHeight="1" x14ac:dyDescent="0.25">
      <c r="B1291" s="37" t="s">
        <v>15</v>
      </c>
      <c r="C1291" s="66"/>
      <c r="D1291" s="24"/>
      <c r="E1291"/>
      <c r="F1291"/>
      <c r="G1291"/>
      <c r="H1291"/>
      <c r="I1291"/>
      <c r="J1291"/>
      <c r="K1291"/>
    </row>
    <row r="1292" spans="2:11" ht="18" customHeight="1" x14ac:dyDescent="0.25">
      <c r="B1292" s="38" t="s">
        <v>17</v>
      </c>
      <c r="C1292" s="66" t="s">
        <v>67</v>
      </c>
      <c r="D1292" s="24" t="s">
        <v>67</v>
      </c>
      <c r="E1292" s="24" t="s">
        <v>67</v>
      </c>
      <c r="F1292" s="24" t="s">
        <v>67</v>
      </c>
      <c r="G1292" s="24" t="s">
        <v>67</v>
      </c>
      <c r="H1292" s="24" t="s">
        <v>67</v>
      </c>
      <c r="I1292" s="24" t="s">
        <v>67</v>
      </c>
      <c r="J1292" s="24" t="s">
        <v>67</v>
      </c>
      <c r="K1292" s="24" t="s">
        <v>67</v>
      </c>
    </row>
    <row r="1293" spans="2:11" ht="18" customHeight="1" x14ac:dyDescent="0.25">
      <c r="B1293" s="38" t="s">
        <v>18</v>
      </c>
      <c r="C1293" s="66" t="s">
        <v>48</v>
      </c>
      <c r="D1293" s="24" t="s">
        <v>48</v>
      </c>
      <c r="E1293" s="24" t="s">
        <v>48</v>
      </c>
      <c r="F1293" s="24" t="s">
        <v>48</v>
      </c>
      <c r="G1293" s="24" t="s">
        <v>48</v>
      </c>
      <c r="H1293" s="24" t="s">
        <v>48</v>
      </c>
      <c r="I1293" s="24" t="s">
        <v>48</v>
      </c>
      <c r="J1293" s="24" t="s">
        <v>48</v>
      </c>
      <c r="K1293" s="24" t="s">
        <v>48</v>
      </c>
    </row>
    <row r="1294" spans="2:11" ht="18" customHeight="1" x14ac:dyDescent="0.25">
      <c r="B1294" s="24"/>
      <c r="C1294" s="66"/>
      <c r="D1294" s="24"/>
      <c r="E1294" s="24"/>
      <c r="F1294" s="24"/>
      <c r="G1294" s="24"/>
      <c r="H1294" s="24"/>
      <c r="I1294" s="24"/>
      <c r="J1294"/>
      <c r="K1294" s="24"/>
    </row>
    <row r="1295" spans="2:11" ht="18" customHeight="1" x14ac:dyDescent="0.25">
      <c r="B1295" s="31" t="s">
        <v>19</v>
      </c>
      <c r="C1295" s="66">
        <v>2.5</v>
      </c>
      <c r="D1295" s="24">
        <v>2.5</v>
      </c>
      <c r="E1295" s="24">
        <v>2.5</v>
      </c>
      <c r="F1295" s="24">
        <v>2.5</v>
      </c>
      <c r="G1295" s="24">
        <v>2.5</v>
      </c>
      <c r="H1295" s="24">
        <v>2.5</v>
      </c>
      <c r="I1295" s="24">
        <v>2.5</v>
      </c>
      <c r="J1295" s="24">
        <v>2.5</v>
      </c>
      <c r="K1295" s="24">
        <v>2.5</v>
      </c>
    </row>
    <row r="1296" spans="2:11" ht="18" customHeight="1" x14ac:dyDescent="0.25">
      <c r="B1296" s="38" t="s">
        <v>20</v>
      </c>
      <c r="C1296" s="66">
        <v>0.35</v>
      </c>
      <c r="D1296" s="24">
        <v>0.35</v>
      </c>
      <c r="E1296" s="24">
        <v>0.35</v>
      </c>
      <c r="F1296" s="24">
        <v>0.35</v>
      </c>
      <c r="G1296" s="24">
        <v>0.35</v>
      </c>
      <c r="H1296" s="24">
        <v>0.35</v>
      </c>
      <c r="I1296" s="24">
        <v>0.35</v>
      </c>
      <c r="J1296" s="24">
        <v>0.35</v>
      </c>
      <c r="K1296" s="24">
        <v>0.35</v>
      </c>
    </row>
    <row r="1297" spans="2:11" ht="18" customHeight="1" x14ac:dyDescent="0.25">
      <c r="B1297" s="38" t="s">
        <v>21</v>
      </c>
      <c r="C1297" s="66">
        <v>2.5</v>
      </c>
      <c r="D1297" s="24">
        <v>2.5</v>
      </c>
      <c r="E1297" s="24">
        <v>2.5</v>
      </c>
      <c r="F1297" s="24">
        <v>2.5</v>
      </c>
      <c r="G1297" s="24">
        <v>2.5</v>
      </c>
      <c r="H1297" s="24">
        <v>2.5</v>
      </c>
      <c r="I1297" s="24">
        <v>2.5</v>
      </c>
      <c r="J1297" s="24">
        <v>2.5</v>
      </c>
      <c r="K1297" s="24">
        <v>2.5</v>
      </c>
    </row>
    <row r="1298" spans="2:11" ht="18" customHeight="1" x14ac:dyDescent="0.25">
      <c r="B1298" s="38" t="s">
        <v>22</v>
      </c>
      <c r="C1298" s="66">
        <v>0.6</v>
      </c>
      <c r="D1298" s="24">
        <v>0.6</v>
      </c>
      <c r="E1298" s="24">
        <v>0.5</v>
      </c>
      <c r="F1298" s="24">
        <v>0.5</v>
      </c>
      <c r="G1298" s="24">
        <v>0.5</v>
      </c>
      <c r="H1298" s="24">
        <v>0.5</v>
      </c>
      <c r="I1298" s="24">
        <v>0.5</v>
      </c>
      <c r="J1298" s="24">
        <v>0.5</v>
      </c>
      <c r="K1298" s="24">
        <v>0.5</v>
      </c>
    </row>
    <row r="1299" spans="2:11" ht="18" customHeight="1" x14ac:dyDescent="0.25">
      <c r="B1299" s="38" t="s">
        <v>23</v>
      </c>
      <c r="C1299" s="66"/>
      <c r="D1299"/>
      <c r="E1299"/>
      <c r="F1299"/>
      <c r="G1299"/>
      <c r="H1299"/>
      <c r="I1299"/>
      <c r="J1299"/>
      <c r="K1299"/>
    </row>
    <row r="1300" spans="2:11" ht="18" customHeight="1" x14ac:dyDescent="0.25">
      <c r="B1300" s="38" t="s">
        <v>24</v>
      </c>
      <c r="C1300" s="66"/>
      <c r="D1300"/>
      <c r="E1300"/>
      <c r="F1300"/>
      <c r="G1300"/>
      <c r="H1300"/>
      <c r="I1300"/>
      <c r="J1300"/>
      <c r="K1300"/>
    </row>
    <row r="1301" spans="2:11" ht="18" customHeight="1" x14ac:dyDescent="0.25">
      <c r="B1301" s="24"/>
      <c r="C1301" s="66"/>
      <c r="D1301"/>
      <c r="E1301"/>
      <c r="F1301"/>
      <c r="G1301"/>
      <c r="H1301"/>
      <c r="I1301"/>
      <c r="J1301"/>
      <c r="K1301"/>
    </row>
    <row r="1302" spans="2:11" ht="18" customHeight="1" x14ac:dyDescent="0.25">
      <c r="B1302" s="19" t="s">
        <v>33</v>
      </c>
      <c r="C1302" s="56"/>
      <c r="D1302"/>
      <c r="E1302"/>
      <c r="F1302"/>
      <c r="G1302"/>
      <c r="H1302"/>
      <c r="I1302"/>
      <c r="J1302"/>
      <c r="K1302"/>
    </row>
    <row r="1303" spans="2:11" ht="18" customHeight="1" x14ac:dyDescent="0.25">
      <c r="C1303" s="56"/>
      <c r="D1303"/>
      <c r="E1303"/>
      <c r="F1303"/>
      <c r="G1303"/>
      <c r="H1303"/>
      <c r="I1303"/>
      <c r="J1303"/>
      <c r="K1303"/>
    </row>
    <row r="1304" spans="2:11" ht="18" customHeight="1" x14ac:dyDescent="0.25">
      <c r="C1304" s="56"/>
      <c r="D1304"/>
      <c r="E1304"/>
      <c r="F1304"/>
      <c r="G1304"/>
      <c r="H1304"/>
      <c r="I1304"/>
      <c r="J1304"/>
      <c r="K1304"/>
    </row>
    <row r="1305" spans="2:11" ht="18" customHeight="1" x14ac:dyDescent="0.25">
      <c r="C1305" s="56"/>
      <c r="D1305"/>
      <c r="E1305"/>
      <c r="F1305"/>
      <c r="G1305"/>
      <c r="H1305"/>
      <c r="I1305"/>
      <c r="J1305"/>
      <c r="K1305"/>
    </row>
    <row r="1306" spans="2:11" ht="18" customHeight="1" x14ac:dyDescent="0.25">
      <c r="C1306" s="56"/>
      <c r="D1306"/>
      <c r="E1306"/>
      <c r="F1306"/>
      <c r="G1306"/>
      <c r="H1306"/>
      <c r="I1306"/>
      <c r="J1306"/>
      <c r="K1306"/>
    </row>
    <row r="1307" spans="2:11" ht="18" customHeight="1" x14ac:dyDescent="0.25">
      <c r="C1307" s="56"/>
      <c r="D1307"/>
      <c r="E1307"/>
      <c r="F1307"/>
      <c r="G1307"/>
      <c r="H1307"/>
      <c r="I1307"/>
      <c r="J1307"/>
      <c r="K1307"/>
    </row>
    <row r="1308" spans="2:11" ht="18" customHeight="1" x14ac:dyDescent="0.25">
      <c r="B1308" s="31" t="s">
        <v>0</v>
      </c>
      <c r="C1308" s="66" t="s">
        <v>248</v>
      </c>
      <c r="D1308"/>
      <c r="E1308"/>
      <c r="F1308"/>
      <c r="G1308"/>
      <c r="H1308"/>
      <c r="I1308"/>
      <c r="J1308"/>
      <c r="K1308"/>
    </row>
    <row r="1309" spans="2:11" ht="18" customHeight="1" x14ac:dyDescent="0.25">
      <c r="B1309" s="36" t="s">
        <v>3</v>
      </c>
      <c r="C1309" s="66">
        <v>1</v>
      </c>
      <c r="D1309"/>
      <c r="E1309"/>
      <c r="F1309"/>
      <c r="G1309"/>
      <c r="H1309"/>
      <c r="I1309"/>
      <c r="J1309"/>
      <c r="K1309"/>
    </row>
    <row r="1310" spans="2:11" ht="18" customHeight="1" x14ac:dyDescent="0.25">
      <c r="B1310" s="36"/>
      <c r="C1310" s="56"/>
      <c r="D1310"/>
      <c r="E1310"/>
      <c r="F1310"/>
      <c r="G1310"/>
      <c r="H1310"/>
      <c r="I1310"/>
      <c r="J1310"/>
      <c r="K1310"/>
    </row>
    <row r="1311" spans="2:11" ht="18" customHeight="1" x14ac:dyDescent="0.25">
      <c r="B1311" s="36" t="s">
        <v>6</v>
      </c>
      <c r="C1311" s="71">
        <v>40133</v>
      </c>
      <c r="D1311"/>
      <c r="E1311"/>
      <c r="F1311"/>
      <c r="G1311"/>
      <c r="H1311"/>
      <c r="I1311"/>
      <c r="J1311"/>
      <c r="K1311"/>
    </row>
    <row r="1312" spans="2:11" ht="18" customHeight="1" x14ac:dyDescent="0.25">
      <c r="B1312" s="37" t="s">
        <v>9</v>
      </c>
      <c r="C1312" s="65">
        <v>40337</v>
      </c>
      <c r="D1312" s="25">
        <v>40701</v>
      </c>
      <c r="E1312" s="25">
        <v>40925</v>
      </c>
      <c r="F1312" s="25">
        <v>41107</v>
      </c>
      <c r="G1312" s="25">
        <v>41597</v>
      </c>
      <c r="H1312" s="25">
        <v>41947</v>
      </c>
      <c r="I1312" s="25">
        <v>41390</v>
      </c>
      <c r="J1312" s="25">
        <v>42136</v>
      </c>
      <c r="K1312"/>
    </row>
    <row r="1313" spans="2:11" ht="18" customHeight="1" x14ac:dyDescent="0.25">
      <c r="B1313" s="37" t="s">
        <v>8</v>
      </c>
      <c r="C1313" s="66"/>
      <c r="D1313"/>
      <c r="E1313"/>
      <c r="F1313"/>
      <c r="G1313"/>
      <c r="H1313"/>
      <c r="I1313"/>
      <c r="J1313" s="4"/>
      <c r="K1313"/>
    </row>
    <row r="1314" spans="2:11" ht="18" customHeight="1" x14ac:dyDescent="0.25">
      <c r="B1314" s="38" t="s">
        <v>11</v>
      </c>
      <c r="C1314" s="66">
        <v>6.43</v>
      </c>
      <c r="D1314" s="4">
        <v>6.34</v>
      </c>
      <c r="E1314" s="4">
        <v>6.19</v>
      </c>
      <c r="F1314" s="4">
        <v>5.93</v>
      </c>
      <c r="G1314" s="4">
        <v>5.2</v>
      </c>
      <c r="H1314" s="4">
        <v>5.14</v>
      </c>
      <c r="I1314" s="4">
        <v>5.39</v>
      </c>
      <c r="J1314" s="4">
        <v>5.1100000000000003</v>
      </c>
      <c r="K1314"/>
    </row>
    <row r="1315" spans="2:11" ht="18" customHeight="1" x14ac:dyDescent="0.25">
      <c r="B1315" s="38" t="s">
        <v>12</v>
      </c>
      <c r="C1315" s="66"/>
      <c r="D1315"/>
      <c r="E1315"/>
      <c r="F1315"/>
      <c r="G1315"/>
      <c r="H1315"/>
      <c r="I1315"/>
      <c r="J1315" s="4"/>
      <c r="K1315"/>
    </row>
    <row r="1316" spans="2:11" ht="18" customHeight="1" x14ac:dyDescent="0.25">
      <c r="B1316" s="38" t="s">
        <v>13</v>
      </c>
      <c r="C1316" s="66" t="s">
        <v>249</v>
      </c>
      <c r="D1316" s="4" t="s">
        <v>250</v>
      </c>
      <c r="E1316" s="4" t="s">
        <v>251</v>
      </c>
      <c r="F1316" s="4" t="s">
        <v>252</v>
      </c>
      <c r="G1316" s="4" t="s">
        <v>253</v>
      </c>
      <c r="H1316" s="4" t="s">
        <v>254</v>
      </c>
      <c r="I1316" s="4" t="s">
        <v>255</v>
      </c>
      <c r="J1316" s="4" t="s">
        <v>256</v>
      </c>
      <c r="K1316"/>
    </row>
    <row r="1317" spans="2:11" ht="18" customHeight="1" x14ac:dyDescent="0.25">
      <c r="B1317" s="38" t="s">
        <v>14</v>
      </c>
      <c r="C1317" s="66"/>
      <c r="D1317"/>
      <c r="E1317"/>
      <c r="F1317"/>
      <c r="G1317"/>
      <c r="H1317"/>
      <c r="I1317"/>
      <c r="J1317" s="4"/>
      <c r="K1317"/>
    </row>
    <row r="1318" spans="2:11" ht="18" customHeight="1" x14ac:dyDescent="0.25">
      <c r="B1318" s="36" t="s">
        <v>41</v>
      </c>
      <c r="C1318" s="72" t="s">
        <v>42</v>
      </c>
      <c r="D1318" s="30" t="s">
        <v>42</v>
      </c>
      <c r="E1318" s="30" t="s">
        <v>42</v>
      </c>
      <c r="F1318" s="30" t="s">
        <v>42</v>
      </c>
      <c r="G1318" s="30" t="s">
        <v>42</v>
      </c>
      <c r="H1318" s="30" t="s">
        <v>42</v>
      </c>
      <c r="I1318" s="30" t="s">
        <v>42</v>
      </c>
      <c r="J1318" s="30" t="s">
        <v>42</v>
      </c>
      <c r="K1318"/>
    </row>
    <row r="1319" spans="2:11" ht="18" customHeight="1" x14ac:dyDescent="0.25">
      <c r="B1319" s="37" t="s">
        <v>15</v>
      </c>
      <c r="C1319" s="66"/>
      <c r="D1319"/>
      <c r="E1319"/>
      <c r="F1319"/>
      <c r="G1319"/>
      <c r="H1319"/>
      <c r="I1319" s="24"/>
      <c r="J1319" s="4"/>
      <c r="K1319"/>
    </row>
    <row r="1320" spans="2:11" ht="18" customHeight="1" x14ac:dyDescent="0.25">
      <c r="B1320" s="38" t="s">
        <v>17</v>
      </c>
      <c r="C1320" s="66" t="s">
        <v>105</v>
      </c>
      <c r="D1320" s="24" t="s">
        <v>105</v>
      </c>
      <c r="E1320" s="24" t="s">
        <v>105</v>
      </c>
      <c r="F1320" s="24" t="s">
        <v>47</v>
      </c>
      <c r="G1320" s="24" t="s">
        <v>47</v>
      </c>
      <c r="H1320" s="24" t="s">
        <v>47</v>
      </c>
      <c r="I1320" s="24" t="s">
        <v>47</v>
      </c>
      <c r="J1320" s="24" t="s">
        <v>47</v>
      </c>
      <c r="K1320"/>
    </row>
    <row r="1321" spans="2:11" ht="18" customHeight="1" x14ac:dyDescent="0.25">
      <c r="B1321" s="38" t="s">
        <v>18</v>
      </c>
      <c r="C1321" s="66" t="s">
        <v>197</v>
      </c>
      <c r="D1321" s="24" t="s">
        <v>197</v>
      </c>
      <c r="E1321" s="24" t="s">
        <v>197</v>
      </c>
      <c r="F1321" s="24" t="s">
        <v>197</v>
      </c>
      <c r="G1321" s="24" t="s">
        <v>197</v>
      </c>
      <c r="H1321" s="24" t="s">
        <v>197</v>
      </c>
      <c r="I1321" s="24" t="s">
        <v>197</v>
      </c>
      <c r="J1321" s="24" t="s">
        <v>197</v>
      </c>
      <c r="K1321"/>
    </row>
    <row r="1322" spans="2:11" ht="18" customHeight="1" x14ac:dyDescent="0.25">
      <c r="B1322" s="24"/>
      <c r="C1322" s="66"/>
      <c r="D1322" s="24"/>
      <c r="E1322" s="24"/>
      <c r="F1322" s="24"/>
      <c r="G1322" s="24"/>
      <c r="H1322" s="24"/>
      <c r="I1322" s="24"/>
      <c r="J1322"/>
      <c r="K1322"/>
    </row>
    <row r="1323" spans="2:11" ht="18" customHeight="1" x14ac:dyDescent="0.25">
      <c r="B1323" s="31" t="s">
        <v>19</v>
      </c>
      <c r="C1323" s="66"/>
      <c r="D1323" s="24"/>
      <c r="E1323" s="24"/>
      <c r="F1323" s="24"/>
      <c r="G1323" s="24"/>
      <c r="H1323" s="24"/>
      <c r="I1323" s="24"/>
      <c r="J1323"/>
      <c r="K1323"/>
    </row>
    <row r="1324" spans="2:11" ht="18" customHeight="1" x14ac:dyDescent="0.25">
      <c r="B1324" s="38" t="s">
        <v>20</v>
      </c>
      <c r="C1324" s="66"/>
      <c r="D1324" s="24"/>
      <c r="E1324" s="24"/>
      <c r="F1324" s="24"/>
      <c r="G1324" s="24"/>
      <c r="H1324" s="24"/>
      <c r="I1324" s="24"/>
      <c r="J1324"/>
      <c r="K1324"/>
    </row>
    <row r="1325" spans="2:11" ht="18" customHeight="1" x14ac:dyDescent="0.25">
      <c r="B1325" s="38" t="s">
        <v>21</v>
      </c>
      <c r="C1325" s="66">
        <v>2.5</v>
      </c>
      <c r="D1325" s="24">
        <v>2.5</v>
      </c>
      <c r="E1325" s="24">
        <v>2.5</v>
      </c>
      <c r="F1325" s="24">
        <v>2.5</v>
      </c>
      <c r="G1325" s="24">
        <v>2.5</v>
      </c>
      <c r="H1325" s="24">
        <v>2.5</v>
      </c>
      <c r="I1325" s="24">
        <v>2.5</v>
      </c>
      <c r="J1325" s="24">
        <v>2.5</v>
      </c>
      <c r="K1325"/>
    </row>
    <row r="1326" spans="2:11" ht="18" customHeight="1" x14ac:dyDescent="0.25">
      <c r="B1326" s="38" t="s">
        <v>22</v>
      </c>
      <c r="C1326" s="66">
        <v>0.5</v>
      </c>
      <c r="D1326" s="24">
        <v>0.5</v>
      </c>
      <c r="E1326" s="24">
        <v>0.5</v>
      </c>
      <c r="F1326" s="24">
        <v>0.5</v>
      </c>
      <c r="G1326" s="24">
        <v>0.5</v>
      </c>
      <c r="H1326" s="24">
        <v>0.5</v>
      </c>
      <c r="I1326" s="24">
        <v>0.5</v>
      </c>
      <c r="J1326" s="24">
        <v>0.5</v>
      </c>
      <c r="K1326"/>
    </row>
    <row r="1327" spans="2:11" ht="18" customHeight="1" x14ac:dyDescent="0.25">
      <c r="B1327" s="38" t="s">
        <v>23</v>
      </c>
      <c r="C1327" s="66"/>
      <c r="D1327"/>
      <c r="E1327"/>
      <c r="F1327"/>
      <c r="G1327"/>
      <c r="H1327"/>
      <c r="I1327"/>
      <c r="J1327"/>
      <c r="K1327"/>
    </row>
    <row r="1328" spans="2:11" ht="18" customHeight="1" x14ac:dyDescent="0.25">
      <c r="B1328" s="38" t="s">
        <v>24</v>
      </c>
      <c r="C1328" s="66"/>
      <c r="D1328"/>
      <c r="E1328"/>
      <c r="F1328"/>
      <c r="G1328"/>
      <c r="H1328"/>
      <c r="I1328"/>
      <c r="J1328"/>
      <c r="K1328"/>
    </row>
    <row r="1329" spans="2:11" ht="18" customHeight="1" x14ac:dyDescent="0.25">
      <c r="B1329" s="24"/>
      <c r="C1329" s="66"/>
      <c r="D1329"/>
      <c r="E1329"/>
      <c r="F1329"/>
      <c r="G1329"/>
      <c r="H1329"/>
      <c r="I1329"/>
      <c r="J1329"/>
      <c r="K1329"/>
    </row>
    <row r="1330" spans="2:11" ht="18" customHeight="1" x14ac:dyDescent="0.25">
      <c r="B1330" s="19" t="s">
        <v>33</v>
      </c>
      <c r="C1330" s="56"/>
      <c r="D1330"/>
      <c r="E1330"/>
      <c r="F1330"/>
      <c r="G1330"/>
      <c r="H1330"/>
      <c r="I1330"/>
      <c r="J1330"/>
      <c r="K1330"/>
    </row>
    <row r="1331" spans="2:11" ht="18" customHeight="1" x14ac:dyDescent="0.25">
      <c r="C1331" s="56"/>
      <c r="D1331"/>
      <c r="E1331"/>
      <c r="F1331"/>
      <c r="G1331"/>
      <c r="H1331"/>
      <c r="I1331"/>
      <c r="J1331"/>
      <c r="K1331"/>
    </row>
    <row r="1332" spans="2:11" ht="18" customHeight="1" x14ac:dyDescent="0.25">
      <c r="C1332" s="56"/>
      <c r="D1332"/>
      <c r="E1332"/>
      <c r="F1332"/>
      <c r="G1332"/>
      <c r="H1332"/>
      <c r="I1332"/>
      <c r="J1332"/>
      <c r="K1332"/>
    </row>
    <row r="1333" spans="2:11" ht="18" customHeight="1" x14ac:dyDescent="0.25">
      <c r="C1333" s="56"/>
      <c r="D1333"/>
      <c r="E1333"/>
      <c r="F1333"/>
      <c r="G1333"/>
      <c r="H1333"/>
      <c r="I1333"/>
      <c r="J1333"/>
      <c r="K1333"/>
    </row>
    <row r="1334" spans="2:11" ht="18" customHeight="1" x14ac:dyDescent="0.25">
      <c r="C1334" s="56"/>
      <c r="D1334"/>
      <c r="E1334"/>
      <c r="F1334"/>
      <c r="G1334"/>
      <c r="H1334"/>
      <c r="I1334"/>
      <c r="J1334"/>
      <c r="K1334"/>
    </row>
    <row r="1335" spans="2:11" ht="18" customHeight="1" x14ac:dyDescent="0.25">
      <c r="C1335" s="56"/>
      <c r="D1335"/>
      <c r="E1335"/>
      <c r="F1335"/>
      <c r="G1335"/>
      <c r="H1335"/>
      <c r="I1335"/>
      <c r="J1335"/>
      <c r="K1335"/>
    </row>
    <row r="1336" spans="2:11" ht="18" customHeight="1" x14ac:dyDescent="0.25">
      <c r="B1336" s="31" t="s">
        <v>0</v>
      </c>
      <c r="C1336" s="66" t="s">
        <v>257</v>
      </c>
      <c r="D1336"/>
      <c r="E1336"/>
      <c r="F1336"/>
      <c r="G1336"/>
      <c r="H1336"/>
      <c r="I1336"/>
      <c r="J1336"/>
      <c r="K1336"/>
    </row>
    <row r="1337" spans="2:11" ht="18" customHeight="1" x14ac:dyDescent="0.25">
      <c r="B1337" s="36" t="s">
        <v>3</v>
      </c>
      <c r="C1337" s="66">
        <v>2</v>
      </c>
      <c r="D1337"/>
      <c r="E1337"/>
      <c r="F1337"/>
      <c r="G1337"/>
      <c r="H1337"/>
      <c r="I1337"/>
      <c r="J1337"/>
      <c r="K1337"/>
    </row>
    <row r="1338" spans="2:11" ht="18" customHeight="1" x14ac:dyDescent="0.25">
      <c r="B1338" s="36"/>
      <c r="C1338" s="56"/>
      <c r="D1338"/>
      <c r="E1338"/>
      <c r="F1338"/>
      <c r="G1338"/>
      <c r="H1338"/>
      <c r="I1338"/>
      <c r="J1338"/>
      <c r="K1338"/>
    </row>
    <row r="1339" spans="2:11" ht="18" customHeight="1" x14ac:dyDescent="0.25">
      <c r="B1339" s="36" t="s">
        <v>6</v>
      </c>
      <c r="C1339" s="71">
        <v>39324</v>
      </c>
      <c r="D1339"/>
      <c r="E1339"/>
      <c r="F1339"/>
      <c r="G1339"/>
      <c r="H1339"/>
      <c r="I1339"/>
      <c r="J1339"/>
      <c r="K1339"/>
    </row>
    <row r="1340" spans="2:11" ht="18" customHeight="1" x14ac:dyDescent="0.25">
      <c r="B1340" s="37" t="s">
        <v>9</v>
      </c>
      <c r="C1340" s="65">
        <v>40071</v>
      </c>
      <c r="D1340" s="25">
        <v>40162</v>
      </c>
      <c r="E1340" s="25">
        <v>40253</v>
      </c>
      <c r="F1340" s="25">
        <v>40265</v>
      </c>
      <c r="G1340"/>
      <c r="H1340"/>
      <c r="I1340"/>
      <c r="J1340"/>
      <c r="K1340"/>
    </row>
    <row r="1341" spans="2:11" ht="18" customHeight="1" x14ac:dyDescent="0.25">
      <c r="B1341" s="37" t="s">
        <v>8</v>
      </c>
      <c r="C1341" s="66"/>
      <c r="D1341"/>
      <c r="E1341"/>
      <c r="F1341"/>
      <c r="G1341"/>
      <c r="H1341"/>
      <c r="I1341"/>
      <c r="J1341"/>
      <c r="K1341"/>
    </row>
    <row r="1342" spans="2:11" ht="18" customHeight="1" x14ac:dyDescent="0.25">
      <c r="B1342" s="38" t="s">
        <v>11</v>
      </c>
      <c r="C1342" s="66">
        <v>5.14</v>
      </c>
      <c r="D1342" s="4">
        <v>5.13</v>
      </c>
      <c r="E1342" s="4">
        <v>5.0999999999999996</v>
      </c>
      <c r="F1342" s="4">
        <v>5.0999999999999996</v>
      </c>
      <c r="G1342"/>
      <c r="H1342"/>
      <c r="I1342"/>
      <c r="J1342"/>
      <c r="K1342"/>
    </row>
    <row r="1343" spans="2:11" ht="18" customHeight="1" x14ac:dyDescent="0.25">
      <c r="B1343" s="38" t="s">
        <v>12</v>
      </c>
      <c r="C1343" s="66">
        <v>94</v>
      </c>
      <c r="D1343" s="4">
        <v>96</v>
      </c>
      <c r="E1343" s="4">
        <v>87</v>
      </c>
      <c r="F1343" s="4">
        <v>60</v>
      </c>
      <c r="G1343"/>
      <c r="H1343"/>
      <c r="I1343"/>
      <c r="J1343"/>
      <c r="K1343"/>
    </row>
    <row r="1344" spans="2:11" ht="18" customHeight="1" x14ac:dyDescent="0.25">
      <c r="B1344" s="38" t="s">
        <v>13</v>
      </c>
      <c r="C1344" s="66">
        <v>99</v>
      </c>
      <c r="D1344" s="4">
        <v>99</v>
      </c>
      <c r="E1344" s="4">
        <v>100</v>
      </c>
      <c r="F1344" s="4">
        <v>99</v>
      </c>
      <c r="G1344"/>
      <c r="H1344"/>
      <c r="I1344"/>
      <c r="J1344"/>
      <c r="K1344"/>
    </row>
    <row r="1345" spans="2:11" ht="18" customHeight="1" x14ac:dyDescent="0.25">
      <c r="B1345" s="38" t="s">
        <v>14</v>
      </c>
      <c r="C1345" s="66"/>
      <c r="D1345"/>
      <c r="E1345"/>
      <c r="F1345"/>
      <c r="G1345"/>
      <c r="H1345"/>
      <c r="I1345"/>
      <c r="J1345"/>
      <c r="K1345"/>
    </row>
    <row r="1346" spans="2:11" ht="18" customHeight="1" x14ac:dyDescent="0.25">
      <c r="B1346" s="36" t="s">
        <v>41</v>
      </c>
      <c r="C1346" s="72" t="s">
        <v>42</v>
      </c>
      <c r="D1346" s="30" t="s">
        <v>42</v>
      </c>
      <c r="E1346" s="4" t="s">
        <v>42</v>
      </c>
      <c r="F1346" s="4" t="s">
        <v>42</v>
      </c>
      <c r="G1346"/>
      <c r="H1346"/>
      <c r="I1346"/>
      <c r="J1346"/>
      <c r="K1346"/>
    </row>
    <row r="1347" spans="2:11" ht="18" customHeight="1" x14ac:dyDescent="0.25">
      <c r="B1347" s="37" t="s">
        <v>15</v>
      </c>
      <c r="C1347" s="66"/>
      <c r="D1347" s="24"/>
      <c r="E1347"/>
      <c r="F1347"/>
      <c r="G1347"/>
      <c r="H1347"/>
      <c r="I1347"/>
      <c r="J1347"/>
      <c r="K1347"/>
    </row>
    <row r="1348" spans="2:11" ht="18" customHeight="1" x14ac:dyDescent="0.25">
      <c r="B1348" s="38" t="s">
        <v>17</v>
      </c>
      <c r="C1348" s="66" t="s">
        <v>258</v>
      </c>
      <c r="D1348" s="24" t="s">
        <v>258</v>
      </c>
      <c r="E1348" s="24" t="s">
        <v>258</v>
      </c>
      <c r="F1348" s="24" t="s">
        <v>258</v>
      </c>
      <c r="G1348"/>
      <c r="H1348"/>
      <c r="I1348"/>
      <c r="J1348"/>
      <c r="K1348"/>
    </row>
    <row r="1349" spans="2:11" ht="18" customHeight="1" x14ac:dyDescent="0.25">
      <c r="B1349" s="38" t="s">
        <v>18</v>
      </c>
      <c r="C1349" s="66" t="s">
        <v>259</v>
      </c>
      <c r="D1349" s="24" t="s">
        <v>259</v>
      </c>
      <c r="E1349" s="24" t="s">
        <v>259</v>
      </c>
      <c r="F1349" s="24" t="s">
        <v>259</v>
      </c>
      <c r="G1349"/>
      <c r="H1349"/>
      <c r="I1349"/>
      <c r="J1349"/>
      <c r="K1349"/>
    </row>
    <row r="1350" spans="2:11" ht="18" customHeight="1" x14ac:dyDescent="0.25">
      <c r="B1350" s="24"/>
      <c r="C1350" s="66"/>
      <c r="D1350" s="24"/>
      <c r="E1350" s="24"/>
      <c r="F1350" s="24"/>
      <c r="G1350"/>
      <c r="H1350"/>
      <c r="I1350"/>
      <c r="J1350"/>
      <c r="K1350"/>
    </row>
    <row r="1351" spans="2:11" ht="18" customHeight="1" x14ac:dyDescent="0.25">
      <c r="B1351" s="31" t="s">
        <v>19</v>
      </c>
      <c r="C1351" s="66">
        <v>3.5</v>
      </c>
      <c r="D1351" s="24">
        <v>3.5</v>
      </c>
      <c r="E1351" s="24">
        <v>3.5</v>
      </c>
      <c r="F1351" s="24">
        <v>3.5</v>
      </c>
      <c r="G1351"/>
      <c r="H1351"/>
      <c r="I1351"/>
      <c r="J1351"/>
      <c r="K1351"/>
    </row>
    <row r="1352" spans="2:11" ht="18" customHeight="1" x14ac:dyDescent="0.25">
      <c r="B1352" s="38" t="s">
        <v>20</v>
      </c>
      <c r="C1352" s="66">
        <v>0.35</v>
      </c>
      <c r="D1352" s="24">
        <v>0.35</v>
      </c>
      <c r="E1352" s="24">
        <v>0.35</v>
      </c>
      <c r="F1352" s="24">
        <v>0.35</v>
      </c>
      <c r="G1352"/>
      <c r="H1352"/>
      <c r="I1352"/>
      <c r="J1352"/>
      <c r="K1352"/>
    </row>
    <row r="1353" spans="2:11" ht="18" customHeight="1" x14ac:dyDescent="0.25">
      <c r="B1353" s="38" t="s">
        <v>21</v>
      </c>
      <c r="C1353" s="66">
        <v>4.5</v>
      </c>
      <c r="D1353" s="24">
        <v>4.5</v>
      </c>
      <c r="E1353" s="24">
        <v>4.5</v>
      </c>
      <c r="F1353" s="24">
        <v>4.5</v>
      </c>
      <c r="G1353"/>
      <c r="H1353"/>
      <c r="I1353"/>
      <c r="J1353"/>
      <c r="K1353"/>
    </row>
    <row r="1354" spans="2:11" ht="18" customHeight="1" x14ac:dyDescent="0.25">
      <c r="B1354" s="38" t="s">
        <v>22</v>
      </c>
      <c r="C1354" s="66">
        <v>0.35</v>
      </c>
      <c r="D1354" s="24">
        <v>0.35</v>
      </c>
      <c r="E1354" s="24">
        <v>0.35</v>
      </c>
      <c r="F1354" s="24">
        <v>0.35</v>
      </c>
      <c r="G1354"/>
      <c r="H1354"/>
      <c r="I1354"/>
      <c r="J1354"/>
      <c r="K1354"/>
    </row>
    <row r="1355" spans="2:11" ht="18" customHeight="1" x14ac:dyDescent="0.25">
      <c r="B1355" s="38" t="s">
        <v>23</v>
      </c>
      <c r="C1355" s="66"/>
      <c r="D1355" s="24"/>
      <c r="E1355" s="24"/>
      <c r="F1355" s="24"/>
      <c r="G1355"/>
      <c r="H1355"/>
      <c r="I1355"/>
      <c r="J1355"/>
      <c r="K1355"/>
    </row>
    <row r="1356" spans="2:11" ht="18" customHeight="1" x14ac:dyDescent="0.25">
      <c r="B1356" s="38" t="s">
        <v>24</v>
      </c>
      <c r="C1356" s="66"/>
      <c r="D1356"/>
      <c r="E1356"/>
      <c r="F1356"/>
      <c r="G1356"/>
      <c r="H1356"/>
      <c r="I1356"/>
      <c r="J1356"/>
      <c r="K1356"/>
    </row>
    <row r="1357" spans="2:11" ht="18" customHeight="1" x14ac:dyDescent="0.25">
      <c r="B1357" s="24"/>
      <c r="C1357" s="66"/>
      <c r="D1357"/>
      <c r="E1357"/>
      <c r="F1357"/>
      <c r="G1357"/>
      <c r="H1357"/>
      <c r="I1357"/>
      <c r="J1357"/>
      <c r="K1357"/>
    </row>
    <row r="1358" spans="2:11" ht="18" customHeight="1" x14ac:dyDescent="0.25">
      <c r="B1358" s="19" t="s">
        <v>33</v>
      </c>
      <c r="C1358" s="56"/>
      <c r="D1358"/>
      <c r="E1358"/>
      <c r="F1358"/>
      <c r="G1358"/>
      <c r="H1358"/>
      <c r="I1358"/>
      <c r="J1358"/>
      <c r="K1358"/>
    </row>
    <row r="1359" spans="2:11" ht="18" customHeight="1" x14ac:dyDescent="0.25">
      <c r="C1359" s="56"/>
      <c r="D1359"/>
      <c r="E1359"/>
      <c r="F1359"/>
      <c r="G1359"/>
      <c r="H1359"/>
      <c r="I1359"/>
      <c r="J1359"/>
      <c r="K1359"/>
    </row>
    <row r="1360" spans="2:11" ht="18" customHeight="1" x14ac:dyDescent="0.25">
      <c r="C1360" s="56"/>
      <c r="D1360"/>
      <c r="E1360"/>
      <c r="F1360"/>
      <c r="G1360"/>
      <c r="H1360"/>
      <c r="I1360"/>
      <c r="J1360"/>
      <c r="K1360"/>
    </row>
    <row r="1361" spans="2:11" ht="18" customHeight="1" x14ac:dyDescent="0.25">
      <c r="C1361" s="56"/>
      <c r="D1361"/>
      <c r="E1361"/>
      <c r="F1361"/>
      <c r="G1361"/>
      <c r="H1361"/>
      <c r="I1361"/>
      <c r="J1361"/>
      <c r="K1361"/>
    </row>
    <row r="1362" spans="2:11" ht="18" customHeight="1" x14ac:dyDescent="0.25">
      <c r="B1362" s="31" t="s">
        <v>0</v>
      </c>
      <c r="C1362" s="66" t="s">
        <v>260</v>
      </c>
      <c r="D1362"/>
      <c r="E1362"/>
      <c r="F1362"/>
      <c r="G1362"/>
      <c r="H1362"/>
      <c r="I1362"/>
      <c r="J1362"/>
      <c r="K1362"/>
    </row>
    <row r="1363" spans="2:11" ht="18" customHeight="1" x14ac:dyDescent="0.25">
      <c r="B1363" s="36" t="s">
        <v>3</v>
      </c>
      <c r="C1363" s="66">
        <v>2</v>
      </c>
      <c r="D1363"/>
      <c r="E1363"/>
      <c r="F1363"/>
      <c r="G1363"/>
      <c r="H1363"/>
      <c r="I1363"/>
      <c r="J1363"/>
      <c r="K1363"/>
    </row>
    <row r="1364" spans="2:11" ht="18" customHeight="1" x14ac:dyDescent="0.25">
      <c r="B1364" s="36"/>
      <c r="C1364" s="56"/>
      <c r="D1364"/>
      <c r="E1364"/>
      <c r="F1364"/>
      <c r="G1364"/>
      <c r="H1364"/>
      <c r="I1364"/>
      <c r="J1364"/>
      <c r="K1364"/>
    </row>
    <row r="1365" spans="2:11" ht="18" customHeight="1" x14ac:dyDescent="0.25">
      <c r="B1365" s="36" t="s">
        <v>6</v>
      </c>
      <c r="C1365" s="71">
        <v>38769</v>
      </c>
      <c r="D1365"/>
      <c r="E1365"/>
      <c r="F1365"/>
      <c r="G1365"/>
      <c r="H1365"/>
      <c r="I1365"/>
      <c r="J1365"/>
      <c r="K1365"/>
    </row>
    <row r="1366" spans="2:11" ht="18" customHeight="1" x14ac:dyDescent="0.25">
      <c r="B1366" s="37" t="s">
        <v>9</v>
      </c>
      <c r="C1366" s="65">
        <v>40127</v>
      </c>
      <c r="D1366" s="25">
        <v>40309</v>
      </c>
      <c r="E1366"/>
      <c r="F1366"/>
      <c r="G1366"/>
      <c r="H1366"/>
      <c r="I1366"/>
      <c r="J1366"/>
      <c r="K1366"/>
    </row>
    <row r="1367" spans="2:11" ht="18" customHeight="1" x14ac:dyDescent="0.25">
      <c r="B1367" s="37" t="s">
        <v>8</v>
      </c>
      <c r="C1367" s="66"/>
      <c r="D1367"/>
      <c r="E1367"/>
      <c r="F1367"/>
      <c r="G1367"/>
      <c r="H1367"/>
      <c r="I1367"/>
      <c r="J1367"/>
      <c r="K1367"/>
    </row>
    <row r="1368" spans="2:11" ht="18" customHeight="1" x14ac:dyDescent="0.25">
      <c r="B1368" s="38" t="s">
        <v>11</v>
      </c>
      <c r="C1368" s="66">
        <v>5.91</v>
      </c>
      <c r="D1368" s="4">
        <v>5.68</v>
      </c>
      <c r="E1368"/>
      <c r="F1368"/>
      <c r="G1368"/>
      <c r="H1368"/>
      <c r="I1368"/>
      <c r="J1368"/>
      <c r="K1368"/>
    </row>
    <row r="1369" spans="2:11" ht="18" customHeight="1" x14ac:dyDescent="0.25">
      <c r="B1369" s="38" t="s">
        <v>12</v>
      </c>
      <c r="C1369" s="66">
        <v>9</v>
      </c>
      <c r="D1369" s="4">
        <v>18</v>
      </c>
      <c r="E1369"/>
      <c r="F1369"/>
      <c r="G1369"/>
      <c r="H1369"/>
      <c r="I1369"/>
      <c r="J1369"/>
      <c r="K1369"/>
    </row>
    <row r="1370" spans="2:11" ht="18" customHeight="1" x14ac:dyDescent="0.25">
      <c r="B1370" s="38" t="s">
        <v>13</v>
      </c>
      <c r="C1370" s="66">
        <v>2</v>
      </c>
      <c r="D1370" s="4">
        <v>1</v>
      </c>
      <c r="E1370"/>
      <c r="F1370"/>
      <c r="G1370"/>
      <c r="H1370"/>
      <c r="I1370"/>
      <c r="J1370"/>
      <c r="K1370"/>
    </row>
    <row r="1371" spans="2:11" ht="18" customHeight="1" x14ac:dyDescent="0.25">
      <c r="B1371" s="38" t="s">
        <v>14</v>
      </c>
      <c r="C1371" s="66"/>
      <c r="D1371"/>
      <c r="E1371"/>
      <c r="F1371"/>
      <c r="G1371"/>
      <c r="H1371"/>
      <c r="I1371"/>
      <c r="J1371"/>
      <c r="K1371"/>
    </row>
    <row r="1372" spans="2:11" ht="18" customHeight="1" x14ac:dyDescent="0.25">
      <c r="B1372" s="36" t="s">
        <v>41</v>
      </c>
      <c r="C1372" s="72" t="s">
        <v>129</v>
      </c>
      <c r="D1372" s="4" t="s">
        <v>261</v>
      </c>
      <c r="E1372"/>
      <c r="F1372"/>
      <c r="G1372"/>
      <c r="H1372"/>
      <c r="I1372"/>
      <c r="J1372"/>
      <c r="K1372"/>
    </row>
    <row r="1373" spans="2:11" ht="18" customHeight="1" x14ac:dyDescent="0.25">
      <c r="B1373" s="37" t="s">
        <v>15</v>
      </c>
      <c r="C1373" s="66"/>
      <c r="D1373"/>
      <c r="E1373"/>
      <c r="F1373"/>
      <c r="G1373"/>
      <c r="H1373"/>
      <c r="I1373"/>
      <c r="J1373"/>
      <c r="K1373"/>
    </row>
    <row r="1374" spans="2:11" ht="18" customHeight="1" x14ac:dyDescent="0.25">
      <c r="B1374" s="38" t="s">
        <v>17</v>
      </c>
      <c r="C1374" s="66" t="s">
        <v>110</v>
      </c>
      <c r="D1374" s="24" t="s">
        <v>110</v>
      </c>
      <c r="E1374"/>
      <c r="F1374"/>
      <c r="G1374"/>
      <c r="H1374"/>
      <c r="I1374"/>
      <c r="J1374"/>
      <c r="K1374"/>
    </row>
    <row r="1375" spans="2:11" ht="18" customHeight="1" x14ac:dyDescent="0.25">
      <c r="B1375" s="38" t="s">
        <v>18</v>
      </c>
      <c r="C1375" s="66" t="s">
        <v>262</v>
      </c>
      <c r="D1375" s="24" t="s">
        <v>262</v>
      </c>
      <c r="E1375"/>
      <c r="F1375"/>
      <c r="G1375"/>
      <c r="H1375"/>
      <c r="I1375"/>
      <c r="J1375"/>
      <c r="K1375"/>
    </row>
    <row r="1376" spans="2:11" ht="18" customHeight="1" x14ac:dyDescent="0.25">
      <c r="B1376" s="24"/>
      <c r="C1376" s="66"/>
      <c r="D1376" s="24"/>
      <c r="E1376"/>
      <c r="F1376"/>
      <c r="G1376"/>
      <c r="H1376"/>
      <c r="I1376"/>
      <c r="J1376"/>
      <c r="K1376"/>
    </row>
    <row r="1377" spans="2:11" ht="18" customHeight="1" x14ac:dyDescent="0.25">
      <c r="B1377" s="31" t="s">
        <v>19</v>
      </c>
      <c r="C1377" s="66">
        <v>2.5</v>
      </c>
      <c r="D1377" s="24">
        <v>2.5</v>
      </c>
      <c r="E1377"/>
      <c r="F1377"/>
      <c r="G1377"/>
      <c r="H1377"/>
      <c r="I1377"/>
      <c r="J1377"/>
      <c r="K1377"/>
    </row>
    <row r="1378" spans="2:11" ht="18" customHeight="1" x14ac:dyDescent="0.25">
      <c r="B1378" s="38" t="s">
        <v>20</v>
      </c>
      <c r="C1378" s="66">
        <v>0.35</v>
      </c>
      <c r="D1378" s="24">
        <v>0.35</v>
      </c>
      <c r="E1378"/>
      <c r="F1378"/>
      <c r="G1378"/>
      <c r="H1378"/>
      <c r="I1378"/>
      <c r="J1378"/>
      <c r="K1378"/>
    </row>
    <row r="1379" spans="2:11" ht="18" customHeight="1" x14ac:dyDescent="0.25">
      <c r="B1379" s="38" t="s">
        <v>21</v>
      </c>
      <c r="C1379" s="66">
        <v>2.5</v>
      </c>
      <c r="D1379" s="24">
        <v>2.5</v>
      </c>
      <c r="E1379"/>
      <c r="F1379"/>
      <c r="G1379"/>
      <c r="H1379"/>
      <c r="I1379"/>
      <c r="J1379"/>
      <c r="K1379"/>
    </row>
    <row r="1380" spans="2:11" ht="18" customHeight="1" x14ac:dyDescent="0.25">
      <c r="B1380" s="38" t="s">
        <v>22</v>
      </c>
      <c r="C1380" s="66">
        <v>0.35</v>
      </c>
      <c r="D1380" s="24">
        <v>0.35</v>
      </c>
      <c r="E1380"/>
      <c r="F1380"/>
      <c r="G1380"/>
      <c r="H1380"/>
      <c r="I1380"/>
      <c r="J1380"/>
      <c r="K1380"/>
    </row>
    <row r="1381" spans="2:11" ht="18" customHeight="1" x14ac:dyDescent="0.25">
      <c r="B1381" s="38" t="s">
        <v>23</v>
      </c>
      <c r="C1381" s="66"/>
      <c r="D1381" s="24"/>
      <c r="E1381"/>
      <c r="F1381"/>
      <c r="G1381"/>
      <c r="H1381"/>
      <c r="I1381"/>
      <c r="J1381"/>
      <c r="K1381"/>
    </row>
    <row r="1382" spans="2:11" ht="18" customHeight="1" x14ac:dyDescent="0.25">
      <c r="B1382" s="38" t="s">
        <v>24</v>
      </c>
      <c r="C1382" s="66"/>
      <c r="D1382"/>
      <c r="E1382"/>
      <c r="F1382"/>
      <c r="G1382"/>
      <c r="H1382"/>
      <c r="I1382"/>
      <c r="J1382"/>
      <c r="K1382"/>
    </row>
    <row r="1383" spans="2:11" ht="18" customHeight="1" x14ac:dyDescent="0.25">
      <c r="B1383" s="24"/>
      <c r="C1383" s="66"/>
      <c r="D1383"/>
      <c r="E1383"/>
      <c r="F1383"/>
      <c r="G1383"/>
      <c r="H1383"/>
      <c r="I1383"/>
      <c r="J1383"/>
      <c r="K1383"/>
    </row>
    <row r="1384" spans="2:11" ht="18" customHeight="1" x14ac:dyDescent="0.25">
      <c r="B1384" s="19" t="s">
        <v>33</v>
      </c>
      <c r="C1384" s="56"/>
      <c r="D1384"/>
      <c r="E1384"/>
      <c r="F1384"/>
      <c r="G1384"/>
      <c r="H1384"/>
      <c r="I1384"/>
      <c r="J1384"/>
      <c r="K1384"/>
    </row>
    <row r="1385" spans="2:11" ht="18" customHeight="1" x14ac:dyDescent="0.25">
      <c r="C1385" s="56"/>
      <c r="D1385"/>
      <c r="E1385"/>
      <c r="F1385"/>
      <c r="G1385"/>
      <c r="H1385"/>
      <c r="I1385"/>
      <c r="J1385"/>
      <c r="K1385"/>
    </row>
    <row r="1386" spans="2:11" ht="18" customHeight="1" x14ac:dyDescent="0.25">
      <c r="C1386" s="56"/>
      <c r="D1386"/>
      <c r="E1386"/>
      <c r="F1386"/>
      <c r="G1386"/>
      <c r="H1386"/>
      <c r="I1386"/>
      <c r="J1386"/>
      <c r="K1386"/>
    </row>
    <row r="1387" spans="2:11" ht="18" customHeight="1" x14ac:dyDescent="0.25">
      <c r="B1387" s="31" t="s">
        <v>0</v>
      </c>
      <c r="C1387" s="66" t="s">
        <v>263</v>
      </c>
      <c r="D1387"/>
      <c r="E1387"/>
      <c r="F1387"/>
      <c r="G1387"/>
      <c r="H1387"/>
      <c r="I1387"/>
      <c r="J1387"/>
      <c r="K1387"/>
    </row>
    <row r="1388" spans="2:11" ht="18" customHeight="1" x14ac:dyDescent="0.25">
      <c r="B1388" s="36" t="s">
        <v>3</v>
      </c>
      <c r="C1388" s="66">
        <v>2</v>
      </c>
      <c r="D1388"/>
      <c r="E1388"/>
      <c r="F1388"/>
      <c r="G1388"/>
      <c r="H1388"/>
      <c r="I1388"/>
      <c r="J1388"/>
      <c r="K1388"/>
    </row>
    <row r="1389" spans="2:11" ht="18" customHeight="1" x14ac:dyDescent="0.25">
      <c r="B1389" s="36"/>
      <c r="C1389" s="56"/>
      <c r="D1389"/>
      <c r="E1389"/>
      <c r="F1389"/>
      <c r="G1389"/>
      <c r="H1389"/>
      <c r="I1389"/>
      <c r="J1389"/>
      <c r="K1389"/>
    </row>
    <row r="1390" spans="2:11" ht="18" customHeight="1" x14ac:dyDescent="0.25">
      <c r="B1390" s="36" t="s">
        <v>6</v>
      </c>
      <c r="C1390" s="71">
        <v>38792</v>
      </c>
      <c r="D1390"/>
      <c r="E1390"/>
      <c r="F1390"/>
      <c r="G1390"/>
      <c r="H1390"/>
      <c r="I1390"/>
      <c r="J1390"/>
      <c r="K1390"/>
    </row>
    <row r="1391" spans="2:11" ht="18" customHeight="1" x14ac:dyDescent="0.25">
      <c r="B1391" s="37" t="s">
        <v>9</v>
      </c>
      <c r="C1391" s="65">
        <v>40134</v>
      </c>
      <c r="D1391" s="25">
        <v>40316</v>
      </c>
      <c r="E1391"/>
      <c r="F1391"/>
      <c r="G1391"/>
      <c r="H1391"/>
      <c r="I1391"/>
      <c r="J1391"/>
      <c r="K1391"/>
    </row>
    <row r="1392" spans="2:11" ht="18" customHeight="1" x14ac:dyDescent="0.25">
      <c r="B1392" s="37" t="s">
        <v>8</v>
      </c>
      <c r="C1392" s="66"/>
      <c r="D1392"/>
      <c r="E1392"/>
      <c r="F1392"/>
      <c r="G1392"/>
      <c r="H1392"/>
      <c r="I1392"/>
      <c r="J1392"/>
      <c r="K1392"/>
    </row>
    <row r="1393" spans="2:11" ht="18" customHeight="1" x14ac:dyDescent="0.25">
      <c r="B1393" s="38" t="s">
        <v>11</v>
      </c>
      <c r="C1393" s="66">
        <v>5.65</v>
      </c>
      <c r="D1393" s="4">
        <v>5.31</v>
      </c>
      <c r="E1393"/>
      <c r="F1393"/>
      <c r="G1393"/>
      <c r="H1393"/>
      <c r="I1393"/>
      <c r="J1393"/>
      <c r="K1393"/>
    </row>
    <row r="1394" spans="2:11" ht="18" customHeight="1" x14ac:dyDescent="0.25">
      <c r="B1394" s="38" t="s">
        <v>12</v>
      </c>
      <c r="C1394" s="66" t="s">
        <v>264</v>
      </c>
      <c r="D1394" s="4" t="s">
        <v>265</v>
      </c>
      <c r="E1394"/>
      <c r="F1394"/>
      <c r="G1394"/>
      <c r="H1394"/>
      <c r="I1394"/>
      <c r="J1394"/>
      <c r="K1394"/>
    </row>
    <row r="1395" spans="2:11" ht="18" customHeight="1" x14ac:dyDescent="0.25">
      <c r="B1395" s="38" t="s">
        <v>13</v>
      </c>
      <c r="C1395" s="66" t="s">
        <v>266</v>
      </c>
      <c r="D1395" s="4" t="s">
        <v>56</v>
      </c>
      <c r="E1395"/>
      <c r="F1395"/>
      <c r="G1395"/>
      <c r="H1395"/>
      <c r="I1395"/>
      <c r="J1395"/>
      <c r="K1395"/>
    </row>
    <row r="1396" spans="2:11" ht="18" customHeight="1" x14ac:dyDescent="0.25">
      <c r="B1396" s="38" t="s">
        <v>14</v>
      </c>
      <c r="C1396" s="66"/>
      <c r="D1396"/>
      <c r="E1396"/>
      <c r="F1396"/>
      <c r="G1396"/>
      <c r="H1396"/>
      <c r="I1396"/>
      <c r="J1396"/>
      <c r="K1396"/>
    </row>
    <row r="1397" spans="2:11" ht="18" customHeight="1" x14ac:dyDescent="0.25">
      <c r="B1397" s="36" t="s">
        <v>41</v>
      </c>
      <c r="C1397" s="72" t="s">
        <v>42</v>
      </c>
      <c r="D1397" s="4" t="s">
        <v>42</v>
      </c>
      <c r="E1397"/>
      <c r="F1397"/>
      <c r="G1397"/>
      <c r="H1397"/>
      <c r="I1397"/>
      <c r="J1397"/>
      <c r="K1397"/>
    </row>
    <row r="1398" spans="2:11" ht="18" customHeight="1" x14ac:dyDescent="0.25">
      <c r="B1398" s="37" t="s">
        <v>15</v>
      </c>
      <c r="C1398" s="66"/>
      <c r="D1398"/>
      <c r="E1398"/>
      <c r="F1398"/>
      <c r="G1398"/>
      <c r="H1398"/>
      <c r="I1398"/>
      <c r="J1398"/>
      <c r="K1398"/>
    </row>
    <row r="1399" spans="2:11" ht="18" customHeight="1" x14ac:dyDescent="0.25">
      <c r="B1399" s="38" t="s">
        <v>17</v>
      </c>
      <c r="C1399" s="66" t="s">
        <v>105</v>
      </c>
      <c r="D1399" s="24" t="s">
        <v>47</v>
      </c>
      <c r="E1399"/>
      <c r="F1399"/>
      <c r="G1399"/>
      <c r="H1399"/>
      <c r="I1399"/>
      <c r="J1399"/>
      <c r="K1399"/>
    </row>
    <row r="1400" spans="2:11" ht="18" customHeight="1" x14ac:dyDescent="0.25">
      <c r="B1400" s="38" t="s">
        <v>18</v>
      </c>
      <c r="C1400" s="66"/>
      <c r="D1400" s="24" t="s">
        <v>191</v>
      </c>
      <c r="E1400"/>
      <c r="F1400"/>
      <c r="G1400"/>
      <c r="H1400"/>
      <c r="I1400"/>
      <c r="J1400"/>
      <c r="K1400"/>
    </row>
    <row r="1401" spans="2:11" ht="18" customHeight="1" x14ac:dyDescent="0.25">
      <c r="B1401" s="24"/>
      <c r="C1401" s="66"/>
      <c r="D1401" s="24"/>
      <c r="E1401"/>
      <c r="F1401"/>
      <c r="G1401"/>
      <c r="H1401"/>
      <c r="I1401"/>
      <c r="J1401"/>
      <c r="K1401"/>
    </row>
    <row r="1402" spans="2:11" ht="18" customHeight="1" x14ac:dyDescent="0.25">
      <c r="B1402" s="31" t="s">
        <v>19</v>
      </c>
      <c r="C1402" s="66">
        <v>2.5</v>
      </c>
      <c r="D1402" s="24">
        <v>2.5</v>
      </c>
      <c r="E1402"/>
      <c r="F1402"/>
      <c r="G1402"/>
      <c r="H1402"/>
      <c r="I1402"/>
      <c r="J1402"/>
      <c r="K1402"/>
    </row>
    <row r="1403" spans="2:11" ht="18" customHeight="1" x14ac:dyDescent="0.25">
      <c r="B1403" s="38" t="s">
        <v>20</v>
      </c>
      <c r="C1403" s="66">
        <v>0.35</v>
      </c>
      <c r="D1403" s="24">
        <v>0.35</v>
      </c>
      <c r="E1403"/>
      <c r="F1403"/>
      <c r="G1403"/>
      <c r="H1403"/>
      <c r="I1403"/>
      <c r="J1403"/>
      <c r="K1403"/>
    </row>
    <row r="1404" spans="2:11" ht="18" customHeight="1" x14ac:dyDescent="0.25">
      <c r="B1404" s="38" t="s">
        <v>21</v>
      </c>
      <c r="C1404" s="66">
        <v>2.5</v>
      </c>
      <c r="D1404" s="24">
        <v>2.5</v>
      </c>
      <c r="E1404"/>
      <c r="F1404"/>
      <c r="G1404"/>
      <c r="H1404"/>
      <c r="I1404"/>
      <c r="J1404"/>
      <c r="K1404"/>
    </row>
    <row r="1405" spans="2:11" ht="18" customHeight="1" x14ac:dyDescent="0.25">
      <c r="B1405" s="38" t="s">
        <v>22</v>
      </c>
      <c r="C1405" s="66">
        <v>0.35</v>
      </c>
      <c r="D1405" s="24">
        <v>0.35</v>
      </c>
      <c r="E1405"/>
      <c r="F1405"/>
      <c r="G1405"/>
      <c r="H1405"/>
      <c r="I1405"/>
      <c r="J1405"/>
      <c r="K1405"/>
    </row>
    <row r="1406" spans="2:11" ht="18" customHeight="1" x14ac:dyDescent="0.25">
      <c r="B1406" s="38" t="s">
        <v>23</v>
      </c>
      <c r="C1406" s="66"/>
      <c r="D1406" s="24"/>
      <c r="E1406"/>
      <c r="F1406"/>
      <c r="G1406"/>
      <c r="H1406"/>
      <c r="I1406"/>
      <c r="J1406"/>
      <c r="K1406"/>
    </row>
    <row r="1407" spans="2:11" ht="18" customHeight="1" x14ac:dyDescent="0.25">
      <c r="B1407" s="38" t="s">
        <v>24</v>
      </c>
      <c r="C1407" s="66"/>
      <c r="D1407"/>
      <c r="E1407"/>
      <c r="F1407"/>
      <c r="G1407"/>
      <c r="H1407"/>
      <c r="I1407"/>
      <c r="J1407"/>
      <c r="K1407"/>
    </row>
    <row r="1408" spans="2:11" ht="18" customHeight="1" x14ac:dyDescent="0.25">
      <c r="B1408" s="24"/>
      <c r="C1408" s="66"/>
      <c r="D1408"/>
      <c r="E1408"/>
      <c r="F1408"/>
      <c r="G1408"/>
      <c r="H1408"/>
      <c r="I1408"/>
      <c r="J1408"/>
      <c r="K1408"/>
    </row>
    <row r="1409" spans="2:11" ht="18" customHeight="1" x14ac:dyDescent="0.25">
      <c r="B1409" s="19" t="s">
        <v>33</v>
      </c>
      <c r="C1409" s="56"/>
      <c r="D1409"/>
      <c r="E1409"/>
      <c r="F1409"/>
      <c r="G1409"/>
      <c r="H1409"/>
      <c r="I1409"/>
      <c r="J1409"/>
      <c r="K1409"/>
    </row>
    <row r="1410" spans="2:11" ht="18" customHeight="1" x14ac:dyDescent="0.25">
      <c r="C1410" s="56"/>
      <c r="D1410"/>
      <c r="E1410"/>
      <c r="F1410"/>
      <c r="G1410"/>
      <c r="H1410"/>
      <c r="I1410"/>
      <c r="J1410"/>
      <c r="K1410"/>
    </row>
    <row r="1411" spans="2:11" ht="18" customHeight="1" x14ac:dyDescent="0.25">
      <c r="C1411" s="56"/>
      <c r="D1411"/>
      <c r="E1411"/>
      <c r="F1411"/>
      <c r="G1411"/>
      <c r="H1411"/>
      <c r="I1411"/>
      <c r="J1411"/>
      <c r="K1411"/>
    </row>
    <row r="1412" spans="2:11" ht="18" customHeight="1" x14ac:dyDescent="0.25">
      <c r="C1412" s="56"/>
      <c r="D1412"/>
      <c r="E1412"/>
      <c r="F1412"/>
      <c r="G1412"/>
      <c r="H1412"/>
      <c r="I1412"/>
      <c r="J1412"/>
      <c r="K1412"/>
    </row>
    <row r="1413" spans="2:11" ht="18" customHeight="1" x14ac:dyDescent="0.25">
      <c r="B1413" s="31" t="s">
        <v>0</v>
      </c>
      <c r="C1413" s="66" t="s">
        <v>267</v>
      </c>
      <c r="D1413"/>
      <c r="E1413"/>
      <c r="F1413"/>
      <c r="G1413"/>
      <c r="H1413"/>
      <c r="I1413"/>
      <c r="J1413"/>
      <c r="K1413"/>
    </row>
    <row r="1414" spans="2:11" ht="18" customHeight="1" x14ac:dyDescent="0.25">
      <c r="B1414" s="36" t="s">
        <v>3</v>
      </c>
      <c r="C1414" s="66">
        <v>2</v>
      </c>
      <c r="D1414"/>
      <c r="E1414"/>
      <c r="F1414"/>
      <c r="G1414"/>
      <c r="H1414"/>
      <c r="I1414"/>
      <c r="J1414"/>
      <c r="K1414"/>
    </row>
    <row r="1415" spans="2:11" ht="18" customHeight="1" x14ac:dyDescent="0.25">
      <c r="B1415" s="36"/>
      <c r="C1415" s="56"/>
      <c r="D1415"/>
      <c r="E1415"/>
      <c r="F1415"/>
      <c r="G1415"/>
      <c r="H1415"/>
      <c r="I1415"/>
      <c r="J1415"/>
      <c r="K1415"/>
    </row>
    <row r="1416" spans="2:11" ht="18" customHeight="1" x14ac:dyDescent="0.25">
      <c r="B1416" s="36" t="s">
        <v>6</v>
      </c>
      <c r="C1416" s="71">
        <v>38903</v>
      </c>
      <c r="D1416"/>
      <c r="E1416"/>
      <c r="F1416"/>
      <c r="G1416"/>
      <c r="H1416"/>
      <c r="I1416"/>
      <c r="J1416"/>
      <c r="K1416"/>
    </row>
    <row r="1417" spans="2:11" ht="18" customHeight="1" x14ac:dyDescent="0.25">
      <c r="B1417" s="37" t="s">
        <v>9</v>
      </c>
      <c r="C1417" s="65">
        <v>40218</v>
      </c>
      <c r="D1417" s="25">
        <v>40659</v>
      </c>
      <c r="E1417" s="25">
        <v>40847</v>
      </c>
      <c r="F1417"/>
      <c r="G1417"/>
      <c r="H1417"/>
      <c r="I1417"/>
      <c r="J1417"/>
      <c r="K1417"/>
    </row>
    <row r="1418" spans="2:11" ht="18" customHeight="1" x14ac:dyDescent="0.25">
      <c r="B1418" s="37" t="s">
        <v>8</v>
      </c>
      <c r="C1418" s="66"/>
      <c r="D1418"/>
      <c r="E1418"/>
      <c r="F1418"/>
      <c r="G1418"/>
      <c r="H1418"/>
      <c r="I1418"/>
      <c r="J1418"/>
      <c r="K1418"/>
    </row>
    <row r="1419" spans="2:11" ht="18" customHeight="1" x14ac:dyDescent="0.25">
      <c r="B1419" s="38" t="s">
        <v>11</v>
      </c>
      <c r="C1419" s="66">
        <v>5.14</v>
      </c>
      <c r="D1419" s="4">
        <v>4.97</v>
      </c>
      <c r="E1419" s="4">
        <v>4.55</v>
      </c>
      <c r="F1419"/>
      <c r="G1419"/>
      <c r="H1419"/>
      <c r="I1419"/>
      <c r="J1419"/>
      <c r="K1419"/>
    </row>
    <row r="1420" spans="2:11" ht="18" customHeight="1" x14ac:dyDescent="0.25">
      <c r="B1420" s="38" t="s">
        <v>12</v>
      </c>
      <c r="C1420" s="66">
        <v>11</v>
      </c>
      <c r="D1420" s="4">
        <v>10</v>
      </c>
      <c r="E1420" s="4">
        <v>18</v>
      </c>
      <c r="F1420"/>
      <c r="G1420"/>
      <c r="H1420"/>
      <c r="I1420"/>
      <c r="J1420"/>
      <c r="K1420"/>
    </row>
    <row r="1421" spans="2:11" ht="18" customHeight="1" x14ac:dyDescent="0.25">
      <c r="B1421" s="38" t="s">
        <v>13</v>
      </c>
      <c r="C1421" s="66">
        <v>9</v>
      </c>
      <c r="D1421" s="4">
        <v>4</v>
      </c>
      <c r="E1421" s="4">
        <v>9</v>
      </c>
      <c r="F1421"/>
      <c r="G1421"/>
      <c r="H1421"/>
      <c r="I1421"/>
      <c r="J1421"/>
      <c r="K1421"/>
    </row>
    <row r="1422" spans="2:11" ht="18" customHeight="1" x14ac:dyDescent="0.25">
      <c r="B1422" s="38" t="s">
        <v>14</v>
      </c>
      <c r="C1422" s="66"/>
      <c r="D1422"/>
      <c r="E1422"/>
      <c r="F1422"/>
      <c r="G1422"/>
      <c r="H1422"/>
      <c r="I1422"/>
      <c r="J1422"/>
      <c r="K1422"/>
    </row>
    <row r="1423" spans="2:11" ht="18" customHeight="1" x14ac:dyDescent="0.25">
      <c r="B1423" s="36" t="s">
        <v>41</v>
      </c>
      <c r="C1423" s="72" t="s">
        <v>42</v>
      </c>
      <c r="D1423" s="4" t="s">
        <v>42</v>
      </c>
      <c r="E1423" s="4" t="s">
        <v>42</v>
      </c>
      <c r="F1423"/>
      <c r="G1423"/>
      <c r="H1423"/>
      <c r="I1423"/>
      <c r="J1423"/>
      <c r="K1423"/>
    </row>
    <row r="1424" spans="2:11" ht="18" customHeight="1" x14ac:dyDescent="0.25">
      <c r="B1424" s="37" t="s">
        <v>15</v>
      </c>
      <c r="C1424" s="66"/>
      <c r="D1424"/>
      <c r="E1424"/>
      <c r="F1424"/>
      <c r="G1424"/>
      <c r="H1424"/>
      <c r="I1424"/>
      <c r="J1424"/>
      <c r="K1424"/>
    </row>
    <row r="1425" spans="2:11" ht="18" customHeight="1" x14ac:dyDescent="0.25">
      <c r="B1425" s="38" t="s">
        <v>17</v>
      </c>
      <c r="C1425" s="66" t="s">
        <v>47</v>
      </c>
      <c r="D1425" s="24" t="s">
        <v>47</v>
      </c>
      <c r="E1425" s="24" t="s">
        <v>47</v>
      </c>
      <c r="F1425"/>
      <c r="G1425"/>
      <c r="H1425"/>
      <c r="I1425"/>
      <c r="J1425"/>
      <c r="K1425"/>
    </row>
    <row r="1426" spans="2:11" ht="18" customHeight="1" x14ac:dyDescent="0.25">
      <c r="B1426" s="38" t="s">
        <v>18</v>
      </c>
      <c r="C1426" s="66" t="s">
        <v>268</v>
      </c>
      <c r="D1426" s="24" t="s">
        <v>268</v>
      </c>
      <c r="E1426" s="24" t="s">
        <v>268</v>
      </c>
      <c r="F1426"/>
      <c r="G1426"/>
      <c r="H1426"/>
      <c r="I1426"/>
      <c r="J1426"/>
      <c r="K1426"/>
    </row>
    <row r="1427" spans="2:11" ht="18" customHeight="1" x14ac:dyDescent="0.25">
      <c r="B1427" s="24"/>
      <c r="C1427" s="66"/>
      <c r="D1427" s="24"/>
      <c r="E1427" s="24"/>
      <c r="F1427"/>
      <c r="G1427"/>
      <c r="H1427"/>
      <c r="I1427"/>
      <c r="J1427"/>
      <c r="K1427"/>
    </row>
    <row r="1428" spans="2:11" ht="18" customHeight="1" x14ac:dyDescent="0.25">
      <c r="B1428" s="31" t="s">
        <v>19</v>
      </c>
      <c r="C1428" s="66">
        <v>2.5</v>
      </c>
      <c r="D1428" s="24">
        <v>2.5</v>
      </c>
      <c r="E1428" s="24">
        <v>2.5</v>
      </c>
      <c r="F1428"/>
      <c r="G1428"/>
      <c r="H1428"/>
      <c r="I1428"/>
      <c r="J1428"/>
      <c r="K1428"/>
    </row>
    <row r="1429" spans="2:11" ht="18" customHeight="1" x14ac:dyDescent="0.25">
      <c r="B1429" s="38" t="s">
        <v>20</v>
      </c>
      <c r="C1429" s="66">
        <v>0.35</v>
      </c>
      <c r="D1429" s="24">
        <v>0.35</v>
      </c>
      <c r="E1429" s="24">
        <v>0.35</v>
      </c>
      <c r="F1429"/>
      <c r="G1429"/>
      <c r="H1429"/>
      <c r="I1429"/>
      <c r="J1429"/>
      <c r="K1429"/>
    </row>
    <row r="1430" spans="2:11" ht="18" customHeight="1" x14ac:dyDescent="0.25">
      <c r="B1430" s="38" t="s">
        <v>21</v>
      </c>
      <c r="C1430" s="66">
        <v>2.5</v>
      </c>
      <c r="D1430" s="24">
        <v>2.5</v>
      </c>
      <c r="E1430" s="24">
        <v>2.5</v>
      </c>
      <c r="F1430"/>
      <c r="G1430"/>
      <c r="H1430"/>
      <c r="I1430"/>
      <c r="J1430"/>
      <c r="K1430"/>
    </row>
    <row r="1431" spans="2:11" ht="18" customHeight="1" x14ac:dyDescent="0.25">
      <c r="B1431" s="38" t="s">
        <v>22</v>
      </c>
      <c r="C1431" s="66">
        <v>0.35</v>
      </c>
      <c r="D1431" s="24">
        <v>0.35</v>
      </c>
      <c r="E1431" s="24">
        <v>0.35</v>
      </c>
      <c r="F1431"/>
      <c r="G1431"/>
      <c r="H1431"/>
      <c r="I1431"/>
      <c r="J1431"/>
      <c r="K1431"/>
    </row>
    <row r="1432" spans="2:11" ht="18" customHeight="1" x14ac:dyDescent="0.25">
      <c r="B1432" s="38" t="s">
        <v>23</v>
      </c>
      <c r="C1432" s="66"/>
      <c r="D1432" s="24"/>
      <c r="E1432"/>
      <c r="F1432"/>
      <c r="G1432"/>
      <c r="H1432"/>
      <c r="I1432"/>
      <c r="J1432"/>
      <c r="K1432"/>
    </row>
    <row r="1433" spans="2:11" ht="18" customHeight="1" x14ac:dyDescent="0.25">
      <c r="B1433" s="38" t="s">
        <v>24</v>
      </c>
      <c r="C1433" s="66"/>
      <c r="D1433"/>
      <c r="E1433"/>
      <c r="F1433"/>
      <c r="G1433"/>
      <c r="H1433"/>
      <c r="I1433"/>
      <c r="J1433"/>
      <c r="K1433"/>
    </row>
    <row r="1434" spans="2:11" ht="18" customHeight="1" x14ac:dyDescent="0.25">
      <c r="B1434" s="24"/>
      <c r="C1434" s="66"/>
      <c r="D1434"/>
      <c r="E1434"/>
      <c r="F1434"/>
      <c r="G1434"/>
      <c r="H1434"/>
      <c r="I1434"/>
      <c r="J1434"/>
      <c r="K1434"/>
    </row>
    <row r="1435" spans="2:11" ht="18" customHeight="1" x14ac:dyDescent="0.25">
      <c r="B1435" s="19" t="s">
        <v>33</v>
      </c>
      <c r="C1435" s="56"/>
      <c r="D1435"/>
      <c r="E1435"/>
      <c r="F1435"/>
      <c r="G1435"/>
      <c r="H1435"/>
      <c r="I1435"/>
      <c r="J1435"/>
      <c r="K1435"/>
    </row>
    <row r="1436" spans="2:11" ht="18" customHeight="1" x14ac:dyDescent="0.25">
      <c r="C1436" s="56"/>
      <c r="D1436"/>
      <c r="E1436"/>
      <c r="F1436"/>
      <c r="G1436"/>
      <c r="H1436"/>
      <c r="I1436"/>
      <c r="J1436"/>
      <c r="K1436"/>
    </row>
    <row r="1437" spans="2:11" ht="18" customHeight="1" x14ac:dyDescent="0.25">
      <c r="C1437" s="56"/>
      <c r="D1437"/>
      <c r="E1437"/>
      <c r="F1437"/>
      <c r="G1437"/>
      <c r="H1437"/>
      <c r="I1437"/>
      <c r="J1437"/>
      <c r="K1437"/>
    </row>
    <row r="1438" spans="2:11" ht="18" customHeight="1" x14ac:dyDescent="0.25">
      <c r="C1438" s="56"/>
      <c r="D1438"/>
      <c r="E1438"/>
      <c r="F1438"/>
      <c r="G1438"/>
      <c r="H1438"/>
      <c r="I1438"/>
      <c r="J1438"/>
      <c r="K1438"/>
    </row>
    <row r="1439" spans="2:11" ht="18" customHeight="1" x14ac:dyDescent="0.25">
      <c r="C1439" s="56"/>
      <c r="D1439"/>
      <c r="E1439"/>
      <c r="F1439"/>
      <c r="G1439"/>
      <c r="H1439"/>
      <c r="I1439"/>
      <c r="J1439"/>
      <c r="K1439"/>
    </row>
    <row r="1440" spans="2:11" ht="18" customHeight="1" x14ac:dyDescent="0.25">
      <c r="B1440" s="31" t="s">
        <v>0</v>
      </c>
      <c r="C1440" s="66" t="s">
        <v>49</v>
      </c>
      <c r="D1440"/>
      <c r="E1440"/>
      <c r="F1440"/>
      <c r="G1440"/>
      <c r="H1440"/>
      <c r="I1440"/>
      <c r="J1440"/>
      <c r="K1440"/>
    </row>
    <row r="1441" spans="2:11" ht="18" customHeight="1" x14ac:dyDescent="0.25">
      <c r="B1441" s="36" t="s">
        <v>3</v>
      </c>
      <c r="C1441" s="66">
        <v>2</v>
      </c>
      <c r="D1441"/>
      <c r="E1441"/>
      <c r="F1441"/>
      <c r="G1441"/>
      <c r="H1441"/>
      <c r="I1441"/>
      <c r="J1441"/>
      <c r="K1441"/>
    </row>
    <row r="1442" spans="2:11" ht="18" customHeight="1" x14ac:dyDescent="0.25">
      <c r="B1442" s="36"/>
      <c r="C1442" s="56"/>
      <c r="D1442"/>
      <c r="E1442"/>
      <c r="F1442"/>
      <c r="G1442"/>
      <c r="H1442"/>
      <c r="I1442"/>
      <c r="J1442"/>
      <c r="K1442"/>
    </row>
    <row r="1443" spans="2:11" ht="18" customHeight="1" x14ac:dyDescent="0.25">
      <c r="B1443" s="36" t="s">
        <v>6</v>
      </c>
      <c r="C1443" s="71">
        <v>39630</v>
      </c>
      <c r="D1443"/>
      <c r="E1443"/>
      <c r="F1443"/>
      <c r="G1443"/>
      <c r="H1443"/>
      <c r="I1443"/>
      <c r="J1443"/>
      <c r="K1443"/>
    </row>
    <row r="1444" spans="2:11" ht="18" customHeight="1" x14ac:dyDescent="0.25">
      <c r="B1444" s="37" t="s">
        <v>9</v>
      </c>
      <c r="C1444" s="65">
        <v>40106</v>
      </c>
      <c r="D1444" s="25">
        <v>40288</v>
      </c>
      <c r="E1444" s="25">
        <v>40484</v>
      </c>
      <c r="F1444" s="25">
        <v>41486</v>
      </c>
      <c r="G1444" s="25">
        <v>42135</v>
      </c>
      <c r="H1444"/>
      <c r="I1444"/>
      <c r="J1444"/>
      <c r="K1444"/>
    </row>
    <row r="1445" spans="2:11" ht="18" customHeight="1" x14ac:dyDescent="0.25">
      <c r="B1445" s="37" t="s">
        <v>8</v>
      </c>
      <c r="C1445" s="66"/>
      <c r="D1445"/>
      <c r="E1445"/>
      <c r="F1445"/>
      <c r="G1445"/>
      <c r="H1445"/>
      <c r="I1445"/>
      <c r="J1445"/>
      <c r="K1445"/>
    </row>
    <row r="1446" spans="2:11" ht="18" customHeight="1" x14ac:dyDescent="0.25">
      <c r="B1446" s="38" t="s">
        <v>11</v>
      </c>
      <c r="C1446" s="66">
        <v>6.4</v>
      </c>
      <c r="D1446" s="4">
        <v>6.36</v>
      </c>
      <c r="E1446" s="4">
        <v>6.26</v>
      </c>
      <c r="F1446" s="4">
        <v>5.17</v>
      </c>
      <c r="G1446" s="4">
        <v>5.07</v>
      </c>
      <c r="H1446"/>
      <c r="I1446"/>
      <c r="J1446"/>
      <c r="K1446"/>
    </row>
    <row r="1447" spans="2:11" ht="18" customHeight="1" x14ac:dyDescent="0.25">
      <c r="B1447" s="38" t="s">
        <v>12</v>
      </c>
      <c r="C1447" s="66">
        <v>0</v>
      </c>
      <c r="D1447" s="4">
        <v>0</v>
      </c>
      <c r="E1447" s="24">
        <v>0</v>
      </c>
      <c r="F1447" s="4">
        <v>3</v>
      </c>
      <c r="G1447" s="4">
        <v>1</v>
      </c>
      <c r="H1447"/>
      <c r="I1447"/>
      <c r="J1447"/>
      <c r="K1447"/>
    </row>
    <row r="1448" spans="2:11" ht="18" customHeight="1" x14ac:dyDescent="0.25">
      <c r="B1448" s="38" t="s">
        <v>13</v>
      </c>
      <c r="C1448" s="66">
        <v>0</v>
      </c>
      <c r="D1448" s="4">
        <v>0</v>
      </c>
      <c r="E1448" s="24">
        <v>0</v>
      </c>
      <c r="F1448" s="4">
        <v>0</v>
      </c>
      <c r="G1448" s="4">
        <v>0</v>
      </c>
      <c r="H1448"/>
      <c r="I1448"/>
      <c r="J1448"/>
      <c r="K1448"/>
    </row>
    <row r="1449" spans="2:11" ht="18" customHeight="1" x14ac:dyDescent="0.25">
      <c r="B1449" s="38" t="s">
        <v>14</v>
      </c>
      <c r="C1449" s="66"/>
      <c r="D1449"/>
      <c r="E1449" s="24"/>
      <c r="F1449"/>
      <c r="G1449"/>
      <c r="H1449"/>
      <c r="I1449"/>
      <c r="J1449"/>
      <c r="K1449"/>
    </row>
    <row r="1450" spans="2:11" ht="18" customHeight="1" x14ac:dyDescent="0.25">
      <c r="B1450" s="36" t="s">
        <v>41</v>
      </c>
      <c r="C1450" s="72" t="s">
        <v>42</v>
      </c>
      <c r="D1450" s="4" t="s">
        <v>46</v>
      </c>
      <c r="E1450" s="30" t="s">
        <v>42</v>
      </c>
      <c r="F1450" s="4" t="s">
        <v>46</v>
      </c>
      <c r="G1450" s="4" t="s">
        <v>42</v>
      </c>
      <c r="H1450"/>
      <c r="I1450"/>
      <c r="J1450"/>
      <c r="K1450"/>
    </row>
    <row r="1451" spans="2:11" ht="18" customHeight="1" x14ac:dyDescent="0.25">
      <c r="B1451" s="37" t="s">
        <v>15</v>
      </c>
      <c r="C1451" s="66"/>
      <c r="D1451"/>
      <c r="E1451"/>
      <c r="F1451"/>
      <c r="G1451"/>
      <c r="H1451"/>
      <c r="I1451"/>
      <c r="J1451"/>
      <c r="K1451"/>
    </row>
    <row r="1452" spans="2:11" ht="18" customHeight="1" x14ac:dyDescent="0.25">
      <c r="B1452" s="38" t="s">
        <v>17</v>
      </c>
      <c r="C1452" s="66" t="s">
        <v>47</v>
      </c>
      <c r="D1452" s="24" t="s">
        <v>47</v>
      </c>
      <c r="E1452" s="24" t="s">
        <v>47</v>
      </c>
      <c r="F1452" s="24" t="s">
        <v>47</v>
      </c>
      <c r="G1452" s="24" t="s">
        <v>47</v>
      </c>
      <c r="H1452"/>
      <c r="I1452"/>
      <c r="J1452"/>
      <c r="K1452"/>
    </row>
    <row r="1453" spans="2:11" ht="18" customHeight="1" x14ac:dyDescent="0.25">
      <c r="B1453" s="38" t="s">
        <v>18</v>
      </c>
      <c r="C1453" s="66" t="s">
        <v>268</v>
      </c>
      <c r="D1453" s="24" t="s">
        <v>268</v>
      </c>
      <c r="E1453" s="24" t="s">
        <v>268</v>
      </c>
      <c r="F1453" s="24" t="s">
        <v>268</v>
      </c>
      <c r="G1453" s="24" t="s">
        <v>268</v>
      </c>
      <c r="H1453"/>
      <c r="I1453"/>
      <c r="J1453"/>
      <c r="K1453"/>
    </row>
    <row r="1454" spans="2:11" ht="18" customHeight="1" x14ac:dyDescent="0.25">
      <c r="B1454" s="24"/>
      <c r="C1454" s="66"/>
      <c r="D1454" s="24"/>
      <c r="E1454"/>
      <c r="F1454"/>
      <c r="G1454"/>
      <c r="H1454"/>
      <c r="I1454"/>
      <c r="J1454"/>
      <c r="K1454"/>
    </row>
    <row r="1455" spans="2:11" ht="18" customHeight="1" x14ac:dyDescent="0.25">
      <c r="B1455" s="31" t="s">
        <v>19</v>
      </c>
      <c r="C1455" s="66">
        <v>3.5</v>
      </c>
      <c r="D1455" s="24">
        <v>2</v>
      </c>
      <c r="E1455" s="24">
        <v>2</v>
      </c>
      <c r="F1455" s="24">
        <v>2</v>
      </c>
      <c r="G1455" s="24">
        <v>2</v>
      </c>
      <c r="H1455"/>
      <c r="I1455"/>
      <c r="J1455"/>
      <c r="K1455"/>
    </row>
    <row r="1456" spans="2:11" ht="18" customHeight="1" x14ac:dyDescent="0.25">
      <c r="B1456" s="38" t="s">
        <v>20</v>
      </c>
      <c r="C1456" s="66">
        <v>0.35</v>
      </c>
      <c r="D1456" s="24">
        <v>0.35</v>
      </c>
      <c r="E1456" s="24">
        <v>0.35</v>
      </c>
      <c r="F1456" s="24">
        <v>0.35</v>
      </c>
      <c r="G1456" s="24">
        <v>0.35</v>
      </c>
      <c r="H1456"/>
      <c r="I1456"/>
      <c r="J1456"/>
      <c r="K1456"/>
    </row>
    <row r="1457" spans="2:11" ht="18" customHeight="1" x14ac:dyDescent="0.25">
      <c r="B1457" s="38" t="s">
        <v>21</v>
      </c>
      <c r="C1457" s="66">
        <v>3.5</v>
      </c>
      <c r="D1457" s="24">
        <v>3</v>
      </c>
      <c r="E1457" s="24">
        <v>3</v>
      </c>
      <c r="F1457" s="24">
        <v>2.5</v>
      </c>
      <c r="G1457" s="24">
        <v>2.5</v>
      </c>
      <c r="H1457"/>
      <c r="I1457"/>
      <c r="J1457"/>
      <c r="K1457"/>
    </row>
    <row r="1458" spans="2:11" ht="18" customHeight="1" x14ac:dyDescent="0.25">
      <c r="B1458" s="38" t="s">
        <v>22</v>
      </c>
      <c r="C1458" s="66">
        <v>0.35</v>
      </c>
      <c r="D1458" s="24">
        <v>0.35</v>
      </c>
      <c r="E1458" s="24">
        <v>0.35</v>
      </c>
      <c r="F1458" s="24">
        <v>0.35</v>
      </c>
      <c r="G1458" s="24">
        <v>0.35</v>
      </c>
      <c r="H1458"/>
      <c r="I1458"/>
      <c r="J1458"/>
      <c r="K1458"/>
    </row>
    <row r="1459" spans="2:11" ht="18" customHeight="1" x14ac:dyDescent="0.25">
      <c r="B1459" s="38" t="s">
        <v>23</v>
      </c>
      <c r="C1459" s="66"/>
      <c r="D1459" s="24"/>
      <c r="E1459"/>
      <c r="F1459"/>
      <c r="G1459"/>
      <c r="H1459"/>
      <c r="I1459"/>
      <c r="J1459"/>
      <c r="K1459"/>
    </row>
    <row r="1460" spans="2:11" ht="18" customHeight="1" x14ac:dyDescent="0.25">
      <c r="B1460" s="38" t="s">
        <v>24</v>
      </c>
      <c r="C1460" s="66"/>
      <c r="D1460"/>
      <c r="E1460"/>
      <c r="F1460"/>
      <c r="G1460"/>
      <c r="H1460"/>
      <c r="I1460"/>
      <c r="J1460"/>
      <c r="K1460"/>
    </row>
    <row r="1461" spans="2:11" ht="18" customHeight="1" x14ac:dyDescent="0.25">
      <c r="B1461" s="24"/>
      <c r="C1461" s="66"/>
      <c r="D1461"/>
      <c r="E1461"/>
      <c r="F1461"/>
      <c r="G1461"/>
      <c r="H1461"/>
      <c r="I1461"/>
      <c r="J1461"/>
      <c r="K1461"/>
    </row>
    <row r="1462" spans="2:11" ht="18" customHeight="1" x14ac:dyDescent="0.25">
      <c r="B1462" s="19" t="s">
        <v>33</v>
      </c>
      <c r="C1462" s="56"/>
      <c r="D1462"/>
      <c r="E1462"/>
      <c r="F1462"/>
      <c r="G1462"/>
      <c r="H1462"/>
      <c r="I1462"/>
      <c r="J1462"/>
      <c r="K1462"/>
    </row>
    <row r="1463" spans="2:11" ht="18" customHeight="1" x14ac:dyDescent="0.25">
      <c r="C1463" s="56"/>
      <c r="D1463"/>
      <c r="E1463"/>
      <c r="F1463"/>
      <c r="G1463"/>
      <c r="H1463"/>
      <c r="I1463"/>
      <c r="J1463"/>
      <c r="K1463"/>
    </row>
    <row r="1464" spans="2:11" ht="18" customHeight="1" x14ac:dyDescent="0.25">
      <c r="C1464" s="56"/>
      <c r="D1464"/>
      <c r="E1464"/>
      <c r="F1464"/>
      <c r="G1464"/>
      <c r="H1464"/>
      <c r="I1464"/>
      <c r="J1464"/>
      <c r="K1464"/>
    </row>
    <row r="1465" spans="2:11" ht="18" customHeight="1" x14ac:dyDescent="0.25">
      <c r="C1465" s="56"/>
      <c r="D1465"/>
      <c r="E1465"/>
      <c r="F1465"/>
      <c r="G1465"/>
      <c r="H1465"/>
      <c r="I1465"/>
      <c r="J1465"/>
      <c r="K1465"/>
    </row>
    <row r="1466" spans="2:11" ht="18" customHeight="1" x14ac:dyDescent="0.25">
      <c r="B1466" s="31" t="s">
        <v>0</v>
      </c>
      <c r="C1466" s="66" t="s">
        <v>269</v>
      </c>
      <c r="D1466"/>
      <c r="E1466"/>
      <c r="F1466"/>
      <c r="G1466"/>
      <c r="H1466"/>
      <c r="I1466"/>
      <c r="J1466"/>
      <c r="K1466"/>
    </row>
    <row r="1467" spans="2:11" ht="18" customHeight="1" x14ac:dyDescent="0.25">
      <c r="B1467" s="36" t="s">
        <v>3</v>
      </c>
      <c r="C1467" s="66">
        <v>2</v>
      </c>
      <c r="D1467"/>
      <c r="E1467"/>
      <c r="F1467"/>
      <c r="G1467"/>
      <c r="H1467"/>
      <c r="I1467"/>
      <c r="J1467"/>
      <c r="K1467"/>
    </row>
    <row r="1468" spans="2:11" ht="18" customHeight="1" x14ac:dyDescent="0.25">
      <c r="B1468" s="36"/>
      <c r="C1468" s="56"/>
      <c r="D1468"/>
      <c r="E1468"/>
      <c r="F1468"/>
      <c r="G1468"/>
      <c r="H1468"/>
      <c r="I1468"/>
      <c r="J1468"/>
      <c r="K1468"/>
    </row>
    <row r="1469" spans="2:11" ht="18" customHeight="1" x14ac:dyDescent="0.25">
      <c r="B1469" s="36" t="s">
        <v>6</v>
      </c>
      <c r="C1469" s="71">
        <v>39833</v>
      </c>
      <c r="D1469"/>
      <c r="E1469"/>
      <c r="F1469"/>
      <c r="G1469"/>
      <c r="H1469"/>
      <c r="I1469"/>
      <c r="J1469"/>
      <c r="K1469"/>
    </row>
    <row r="1470" spans="2:11" ht="18" customHeight="1" x14ac:dyDescent="0.25">
      <c r="B1470" s="37" t="s">
        <v>9</v>
      </c>
      <c r="C1470" s="65">
        <v>40075</v>
      </c>
      <c r="D1470" s="25">
        <v>40077</v>
      </c>
      <c r="E1470" s="25">
        <v>40092</v>
      </c>
      <c r="F1470" s="25">
        <v>40274</v>
      </c>
      <c r="G1470" s="25">
        <v>40309</v>
      </c>
      <c r="H1470" s="25">
        <v>40659</v>
      </c>
      <c r="I1470" s="25">
        <v>42046</v>
      </c>
      <c r="J1470"/>
      <c r="K1470"/>
    </row>
    <row r="1471" spans="2:11" ht="18" customHeight="1" x14ac:dyDescent="0.25">
      <c r="B1471" s="37" t="s">
        <v>8</v>
      </c>
      <c r="C1471" s="66"/>
      <c r="D1471"/>
      <c r="E1471"/>
      <c r="F1471"/>
      <c r="G1471"/>
      <c r="H1471"/>
      <c r="I1471"/>
      <c r="J1471"/>
      <c r="K1471"/>
    </row>
    <row r="1472" spans="2:11" ht="18" customHeight="1" x14ac:dyDescent="0.25">
      <c r="B1472" s="38" t="s">
        <v>11</v>
      </c>
      <c r="C1472" s="66">
        <v>6.44</v>
      </c>
      <c r="D1472" s="4">
        <v>6.44</v>
      </c>
      <c r="E1472" s="4">
        <v>6.44</v>
      </c>
      <c r="F1472" s="4">
        <v>6.4</v>
      </c>
      <c r="G1472" s="4">
        <v>6.37</v>
      </c>
      <c r="H1472" s="4">
        <v>6.04</v>
      </c>
      <c r="I1472" s="4">
        <v>4.5</v>
      </c>
      <c r="J1472"/>
      <c r="K1472"/>
    </row>
    <row r="1473" spans="2:11" ht="18" customHeight="1" x14ac:dyDescent="0.25">
      <c r="B1473" s="38" t="s">
        <v>12</v>
      </c>
      <c r="C1473" s="66" t="s">
        <v>270</v>
      </c>
      <c r="D1473" s="4" t="s">
        <v>271</v>
      </c>
      <c r="E1473" s="4" t="s">
        <v>272</v>
      </c>
      <c r="F1473" s="4" t="s">
        <v>273</v>
      </c>
      <c r="G1473" s="4" t="s">
        <v>274</v>
      </c>
      <c r="H1473" s="4" t="s">
        <v>55</v>
      </c>
      <c r="I1473" s="4" t="s">
        <v>275</v>
      </c>
      <c r="J1473"/>
      <c r="K1473"/>
    </row>
    <row r="1474" spans="2:11" ht="18" customHeight="1" x14ac:dyDescent="0.25">
      <c r="B1474" s="38" t="s">
        <v>13</v>
      </c>
      <c r="C1474" s="66" t="s">
        <v>276</v>
      </c>
      <c r="D1474" s="4" t="s">
        <v>277</v>
      </c>
      <c r="E1474" s="4" t="s">
        <v>278</v>
      </c>
      <c r="F1474" s="4" t="s">
        <v>279</v>
      </c>
      <c r="G1474" s="4" t="s">
        <v>280</v>
      </c>
      <c r="H1474" s="4" t="s">
        <v>61</v>
      </c>
      <c r="I1474" s="4" t="s">
        <v>53</v>
      </c>
      <c r="J1474"/>
      <c r="K1474"/>
    </row>
    <row r="1475" spans="2:11" ht="18" customHeight="1" x14ac:dyDescent="0.25">
      <c r="B1475" s="38" t="s">
        <v>14</v>
      </c>
      <c r="C1475" s="66"/>
      <c r="D1475"/>
      <c r="E1475"/>
      <c r="F1475"/>
      <c r="G1475"/>
      <c r="H1475"/>
      <c r="I1475"/>
      <c r="J1475"/>
      <c r="K1475"/>
    </row>
    <row r="1476" spans="2:11" ht="18" customHeight="1" x14ac:dyDescent="0.25">
      <c r="B1476" s="36" t="s">
        <v>41</v>
      </c>
      <c r="C1476" s="72" t="s">
        <v>281</v>
      </c>
      <c r="D1476" s="4" t="s">
        <v>281</v>
      </c>
      <c r="E1476" s="4" t="s">
        <v>46</v>
      </c>
      <c r="F1476" s="4" t="s">
        <v>282</v>
      </c>
      <c r="G1476" s="4" t="s">
        <v>283</v>
      </c>
      <c r="H1476" s="4" t="s">
        <v>42</v>
      </c>
      <c r="I1476" s="4" t="s">
        <v>42</v>
      </c>
      <c r="J1476"/>
      <c r="K1476"/>
    </row>
    <row r="1477" spans="2:11" ht="18" customHeight="1" x14ac:dyDescent="0.25">
      <c r="B1477" s="37" t="s">
        <v>15</v>
      </c>
      <c r="C1477" s="66"/>
      <c r="D1477"/>
      <c r="E1477"/>
      <c r="F1477"/>
      <c r="G1477"/>
      <c r="H1477"/>
      <c r="I1477"/>
      <c r="J1477"/>
      <c r="K1477"/>
    </row>
    <row r="1478" spans="2:11" ht="18" customHeight="1" x14ac:dyDescent="0.25">
      <c r="B1478" s="38" t="s">
        <v>17</v>
      </c>
      <c r="C1478" s="66" t="s">
        <v>63</v>
      </c>
      <c r="D1478" s="24" t="s">
        <v>63</v>
      </c>
      <c r="E1478" s="24" t="s">
        <v>63</v>
      </c>
      <c r="F1478" s="24" t="s">
        <v>63</v>
      </c>
      <c r="G1478" s="24" t="s">
        <v>63</v>
      </c>
      <c r="H1478" s="24" t="s">
        <v>63</v>
      </c>
      <c r="I1478" s="4" t="s">
        <v>63</v>
      </c>
      <c r="J1478"/>
      <c r="K1478"/>
    </row>
    <row r="1479" spans="2:11" ht="18" customHeight="1" x14ac:dyDescent="0.25">
      <c r="B1479" s="38" t="s">
        <v>18</v>
      </c>
      <c r="C1479" s="66" t="s">
        <v>284</v>
      </c>
      <c r="D1479" s="24" t="s">
        <v>284</v>
      </c>
      <c r="E1479" s="24" t="s">
        <v>284</v>
      </c>
      <c r="F1479" s="24" t="s">
        <v>284</v>
      </c>
      <c r="G1479" s="24" t="s">
        <v>284</v>
      </c>
      <c r="H1479" s="24" t="s">
        <v>284</v>
      </c>
      <c r="I1479" s="24" t="s">
        <v>284</v>
      </c>
      <c r="J1479"/>
      <c r="K1479"/>
    </row>
    <row r="1480" spans="2:11" ht="18" customHeight="1" x14ac:dyDescent="0.25">
      <c r="B1480" s="24"/>
      <c r="C1480" s="66"/>
      <c r="D1480" s="24"/>
      <c r="E1480" s="24"/>
      <c r="F1480" s="24"/>
      <c r="G1480" s="24"/>
      <c r="H1480" s="24"/>
      <c r="I1480" s="24"/>
      <c r="J1480"/>
      <c r="K1480"/>
    </row>
    <row r="1481" spans="2:11" ht="18" customHeight="1" x14ac:dyDescent="0.25">
      <c r="B1481" s="31" t="s">
        <v>19</v>
      </c>
      <c r="C1481" s="66">
        <v>2.5</v>
      </c>
      <c r="D1481" s="24">
        <v>2.5</v>
      </c>
      <c r="E1481" s="24">
        <v>2.5</v>
      </c>
      <c r="F1481" s="24">
        <v>2.5</v>
      </c>
      <c r="G1481" s="24">
        <v>2.5</v>
      </c>
      <c r="H1481" s="24">
        <v>2.5</v>
      </c>
      <c r="I1481" s="24">
        <v>2</v>
      </c>
      <c r="J1481"/>
      <c r="K1481"/>
    </row>
    <row r="1482" spans="2:11" ht="18" customHeight="1" x14ac:dyDescent="0.25">
      <c r="B1482" s="38" t="s">
        <v>20</v>
      </c>
      <c r="C1482" s="66">
        <v>0.35</v>
      </c>
      <c r="D1482" s="24">
        <v>0.35</v>
      </c>
      <c r="E1482" s="24">
        <v>0.35</v>
      </c>
      <c r="F1482" s="24">
        <v>0.35</v>
      </c>
      <c r="G1482" s="24">
        <v>0.35</v>
      </c>
      <c r="H1482" s="24">
        <v>0.35</v>
      </c>
      <c r="I1482" s="24">
        <v>0.35</v>
      </c>
      <c r="J1482"/>
      <c r="K1482"/>
    </row>
    <row r="1483" spans="2:11" ht="18" customHeight="1" x14ac:dyDescent="0.25">
      <c r="B1483" s="38" t="s">
        <v>21</v>
      </c>
      <c r="C1483" s="66">
        <v>3.5</v>
      </c>
      <c r="D1483" s="24">
        <v>3.5</v>
      </c>
      <c r="E1483" s="24">
        <v>3.5</v>
      </c>
      <c r="F1483" s="24">
        <v>3.5</v>
      </c>
      <c r="G1483" s="24">
        <v>3.5</v>
      </c>
      <c r="H1483" s="24">
        <v>3.5</v>
      </c>
      <c r="I1483" s="24">
        <v>3</v>
      </c>
      <c r="J1483"/>
      <c r="K1483"/>
    </row>
    <row r="1484" spans="2:11" ht="18" customHeight="1" x14ac:dyDescent="0.25">
      <c r="B1484" s="38" t="s">
        <v>22</v>
      </c>
      <c r="C1484" s="66">
        <v>0.5</v>
      </c>
      <c r="D1484" s="24">
        <v>0.5</v>
      </c>
      <c r="E1484" s="24">
        <v>0.5</v>
      </c>
      <c r="F1484" s="24">
        <v>0.5</v>
      </c>
      <c r="G1484" s="24">
        <v>0.5</v>
      </c>
      <c r="H1484" s="24">
        <v>0.5</v>
      </c>
      <c r="I1484" s="24">
        <v>0.5</v>
      </c>
      <c r="J1484"/>
      <c r="K1484"/>
    </row>
    <row r="1485" spans="2:11" ht="18" customHeight="1" x14ac:dyDescent="0.25">
      <c r="B1485" s="38" t="s">
        <v>23</v>
      </c>
      <c r="C1485" s="66"/>
      <c r="D1485" s="24"/>
      <c r="E1485" s="24"/>
      <c r="F1485" s="24"/>
      <c r="G1485" s="24"/>
      <c r="H1485" s="24"/>
      <c r="I1485"/>
      <c r="J1485"/>
      <c r="K1485"/>
    </row>
    <row r="1486" spans="2:11" ht="18" customHeight="1" x14ac:dyDescent="0.25">
      <c r="B1486" s="38" t="s">
        <v>24</v>
      </c>
      <c r="C1486" s="66"/>
      <c r="D1486"/>
      <c r="E1486"/>
      <c r="F1486"/>
      <c r="G1486"/>
      <c r="H1486"/>
      <c r="I1486"/>
      <c r="J1486"/>
      <c r="K1486"/>
    </row>
    <row r="1487" spans="2:11" ht="18" customHeight="1" x14ac:dyDescent="0.25">
      <c r="B1487" s="24"/>
      <c r="C1487" s="66"/>
      <c r="D1487"/>
      <c r="E1487"/>
      <c r="F1487"/>
      <c r="G1487"/>
      <c r="H1487"/>
      <c r="I1487"/>
      <c r="J1487"/>
      <c r="K1487"/>
    </row>
    <row r="1488" spans="2:11" ht="18" customHeight="1" x14ac:dyDescent="0.25">
      <c r="B1488" s="19" t="s">
        <v>33</v>
      </c>
      <c r="C1488" s="56"/>
      <c r="D1488"/>
      <c r="E1488"/>
      <c r="F1488"/>
      <c r="G1488"/>
      <c r="H1488"/>
      <c r="I1488"/>
      <c r="J1488"/>
      <c r="K1488"/>
    </row>
    <row r="1489" spans="2:11" ht="18" customHeight="1" x14ac:dyDescent="0.25">
      <c r="C1489" s="56"/>
      <c r="D1489"/>
      <c r="E1489"/>
      <c r="F1489"/>
      <c r="G1489"/>
      <c r="H1489"/>
      <c r="I1489"/>
      <c r="J1489"/>
      <c r="K1489"/>
    </row>
    <row r="1490" spans="2:11" ht="18" customHeight="1" x14ac:dyDescent="0.25">
      <c r="C1490" s="56"/>
      <c r="D1490"/>
      <c r="E1490"/>
      <c r="F1490"/>
      <c r="G1490"/>
      <c r="H1490"/>
      <c r="I1490"/>
      <c r="J1490"/>
      <c r="K1490"/>
    </row>
    <row r="1491" spans="2:11" ht="18" customHeight="1" x14ac:dyDescent="0.25">
      <c r="B1491" s="31" t="s">
        <v>0</v>
      </c>
      <c r="C1491" s="66" t="s">
        <v>66</v>
      </c>
      <c r="D1491"/>
      <c r="E1491"/>
      <c r="F1491"/>
      <c r="G1491"/>
      <c r="H1491"/>
      <c r="I1491"/>
      <c r="J1491"/>
      <c r="K1491"/>
    </row>
    <row r="1492" spans="2:11" ht="18" customHeight="1" x14ac:dyDescent="0.25">
      <c r="B1492" s="36" t="s">
        <v>3</v>
      </c>
      <c r="C1492" s="66">
        <v>2</v>
      </c>
      <c r="D1492"/>
      <c r="E1492"/>
      <c r="F1492"/>
      <c r="G1492"/>
      <c r="H1492"/>
      <c r="I1492"/>
      <c r="J1492"/>
      <c r="K1492"/>
    </row>
    <row r="1493" spans="2:11" ht="18" customHeight="1" x14ac:dyDescent="0.25">
      <c r="B1493" s="36"/>
      <c r="C1493" s="56"/>
      <c r="D1493"/>
      <c r="E1493"/>
      <c r="F1493"/>
      <c r="G1493"/>
      <c r="H1493"/>
      <c r="I1493"/>
      <c r="J1493"/>
      <c r="K1493"/>
    </row>
    <row r="1494" spans="2:11" ht="18" customHeight="1" x14ac:dyDescent="0.25">
      <c r="B1494" s="36" t="s">
        <v>6</v>
      </c>
      <c r="C1494" s="71">
        <v>39575</v>
      </c>
      <c r="D1494"/>
      <c r="E1494"/>
      <c r="F1494"/>
      <c r="G1494"/>
      <c r="H1494"/>
      <c r="I1494"/>
      <c r="J1494"/>
      <c r="K1494"/>
    </row>
    <row r="1495" spans="2:11" ht="18" customHeight="1" x14ac:dyDescent="0.25">
      <c r="B1495" s="37" t="s">
        <v>9</v>
      </c>
      <c r="C1495" s="65">
        <v>40218</v>
      </c>
      <c r="D1495" s="25">
        <v>40988</v>
      </c>
      <c r="E1495"/>
      <c r="F1495"/>
      <c r="G1495"/>
      <c r="H1495"/>
      <c r="I1495"/>
      <c r="J1495"/>
      <c r="K1495"/>
    </row>
    <row r="1496" spans="2:11" ht="18" customHeight="1" x14ac:dyDescent="0.25">
      <c r="B1496" s="37" t="s">
        <v>8</v>
      </c>
      <c r="C1496" s="66"/>
      <c r="D1496"/>
      <c r="E1496"/>
      <c r="F1496"/>
      <c r="G1496"/>
      <c r="H1496"/>
      <c r="I1496"/>
      <c r="J1496"/>
      <c r="K1496"/>
    </row>
    <row r="1497" spans="2:11" ht="18" customHeight="1" x14ac:dyDescent="0.25">
      <c r="B1497" s="38" t="s">
        <v>11</v>
      </c>
      <c r="C1497" s="66">
        <v>6.36</v>
      </c>
      <c r="D1497" s="4">
        <v>5.32</v>
      </c>
      <c r="E1497"/>
      <c r="F1497"/>
      <c r="G1497"/>
      <c r="H1497"/>
      <c r="I1497"/>
      <c r="J1497"/>
      <c r="K1497"/>
    </row>
    <row r="1498" spans="2:11" ht="18" customHeight="1" x14ac:dyDescent="0.25">
      <c r="B1498" s="38" t="s">
        <v>12</v>
      </c>
      <c r="C1498" s="66">
        <v>0</v>
      </c>
      <c r="D1498" s="4">
        <v>0</v>
      </c>
      <c r="E1498"/>
      <c r="F1498"/>
      <c r="G1498"/>
      <c r="H1498"/>
      <c r="I1498"/>
      <c r="J1498"/>
      <c r="K1498"/>
    </row>
    <row r="1499" spans="2:11" ht="18" customHeight="1" x14ac:dyDescent="0.25">
      <c r="B1499" s="38" t="s">
        <v>13</v>
      </c>
      <c r="C1499" s="66">
        <v>0</v>
      </c>
      <c r="D1499" s="4">
        <v>0</v>
      </c>
      <c r="E1499"/>
      <c r="F1499"/>
      <c r="G1499"/>
      <c r="H1499"/>
      <c r="I1499"/>
      <c r="J1499"/>
      <c r="K1499"/>
    </row>
    <row r="1500" spans="2:11" ht="18" customHeight="1" x14ac:dyDescent="0.25">
      <c r="B1500" s="38" t="s">
        <v>14</v>
      </c>
      <c r="C1500" s="66"/>
      <c r="D1500"/>
      <c r="E1500"/>
      <c r="F1500"/>
      <c r="G1500"/>
      <c r="H1500"/>
      <c r="I1500"/>
      <c r="J1500"/>
      <c r="K1500"/>
    </row>
    <row r="1501" spans="2:11" ht="18" customHeight="1" x14ac:dyDescent="0.25">
      <c r="B1501" s="36" t="s">
        <v>41</v>
      </c>
      <c r="C1501" s="72" t="s">
        <v>42</v>
      </c>
      <c r="D1501" s="4" t="s">
        <v>42</v>
      </c>
      <c r="E1501"/>
      <c r="F1501"/>
      <c r="G1501"/>
      <c r="H1501"/>
      <c r="I1501"/>
      <c r="J1501"/>
      <c r="K1501"/>
    </row>
    <row r="1502" spans="2:11" ht="18" customHeight="1" x14ac:dyDescent="0.25">
      <c r="B1502" s="37" t="s">
        <v>15</v>
      </c>
      <c r="C1502" s="66"/>
      <c r="D1502"/>
      <c r="E1502"/>
      <c r="F1502"/>
      <c r="G1502"/>
      <c r="H1502"/>
      <c r="I1502"/>
      <c r="J1502"/>
      <c r="K1502"/>
    </row>
    <row r="1503" spans="2:11" ht="18" customHeight="1" x14ac:dyDescent="0.25">
      <c r="B1503" s="38" t="s">
        <v>17</v>
      </c>
      <c r="C1503" s="66" t="s">
        <v>47</v>
      </c>
      <c r="D1503" s="24" t="s">
        <v>47</v>
      </c>
      <c r="E1503"/>
      <c r="F1503"/>
      <c r="G1503"/>
      <c r="H1503"/>
      <c r="I1503"/>
      <c r="J1503"/>
      <c r="K1503"/>
    </row>
    <row r="1504" spans="2:11" ht="18" customHeight="1" x14ac:dyDescent="0.25">
      <c r="B1504" s="38" t="s">
        <v>18</v>
      </c>
      <c r="C1504" s="66" t="s">
        <v>285</v>
      </c>
      <c r="D1504" s="24" t="s">
        <v>285</v>
      </c>
      <c r="E1504"/>
      <c r="F1504"/>
      <c r="G1504"/>
      <c r="H1504"/>
      <c r="I1504"/>
      <c r="J1504"/>
      <c r="K1504"/>
    </row>
    <row r="1505" spans="2:11" ht="18" customHeight="1" x14ac:dyDescent="0.25">
      <c r="B1505" s="24"/>
      <c r="C1505" s="66"/>
      <c r="D1505" s="24"/>
      <c r="E1505"/>
      <c r="F1505"/>
      <c r="G1505"/>
      <c r="H1505"/>
      <c r="I1505"/>
      <c r="J1505"/>
      <c r="K1505"/>
    </row>
    <row r="1506" spans="2:11" ht="18" customHeight="1" x14ac:dyDescent="0.25">
      <c r="B1506" s="31" t="s">
        <v>19</v>
      </c>
      <c r="C1506" s="66">
        <v>2</v>
      </c>
      <c r="D1506" s="24">
        <v>2</v>
      </c>
      <c r="E1506"/>
      <c r="F1506"/>
      <c r="G1506"/>
      <c r="H1506"/>
      <c r="I1506"/>
      <c r="J1506"/>
      <c r="K1506"/>
    </row>
    <row r="1507" spans="2:11" ht="18" customHeight="1" x14ac:dyDescent="0.25">
      <c r="B1507" s="38" t="s">
        <v>20</v>
      </c>
      <c r="C1507" s="66">
        <v>0.35</v>
      </c>
      <c r="D1507" s="24">
        <v>0.35</v>
      </c>
      <c r="E1507"/>
      <c r="F1507"/>
      <c r="G1507"/>
      <c r="H1507"/>
      <c r="I1507"/>
      <c r="J1507"/>
      <c r="K1507"/>
    </row>
    <row r="1508" spans="2:11" ht="18" customHeight="1" x14ac:dyDescent="0.25">
      <c r="B1508" s="38" t="s">
        <v>21</v>
      </c>
      <c r="C1508" s="66">
        <v>3.5</v>
      </c>
      <c r="D1508" s="24">
        <v>3.5</v>
      </c>
      <c r="E1508"/>
      <c r="F1508"/>
      <c r="G1508"/>
      <c r="H1508"/>
      <c r="I1508"/>
      <c r="J1508"/>
      <c r="K1508"/>
    </row>
    <row r="1509" spans="2:11" ht="18" customHeight="1" x14ac:dyDescent="0.25">
      <c r="B1509" s="38" t="s">
        <v>22</v>
      </c>
      <c r="C1509" s="66">
        <v>0.35</v>
      </c>
      <c r="D1509" s="24">
        <v>0.35</v>
      </c>
      <c r="E1509"/>
      <c r="F1509"/>
      <c r="G1509"/>
      <c r="H1509"/>
      <c r="I1509"/>
      <c r="J1509"/>
      <c r="K1509"/>
    </row>
    <row r="1510" spans="2:11" ht="18" customHeight="1" x14ac:dyDescent="0.25">
      <c r="B1510" s="38" t="s">
        <v>23</v>
      </c>
      <c r="C1510" s="66"/>
      <c r="D1510" s="24"/>
      <c r="E1510"/>
      <c r="F1510"/>
      <c r="G1510"/>
      <c r="H1510"/>
      <c r="I1510"/>
      <c r="J1510"/>
      <c r="K1510"/>
    </row>
    <row r="1511" spans="2:11" ht="18" customHeight="1" x14ac:dyDescent="0.25">
      <c r="B1511" s="38" t="s">
        <v>24</v>
      </c>
      <c r="C1511" s="66"/>
      <c r="D1511"/>
      <c r="E1511"/>
      <c r="F1511"/>
      <c r="G1511"/>
      <c r="H1511"/>
      <c r="I1511"/>
      <c r="J1511"/>
      <c r="K1511"/>
    </row>
    <row r="1512" spans="2:11" ht="18" customHeight="1" x14ac:dyDescent="0.25">
      <c r="B1512" s="24"/>
      <c r="C1512" s="66"/>
      <c r="D1512"/>
      <c r="E1512"/>
      <c r="F1512"/>
      <c r="G1512"/>
      <c r="H1512"/>
      <c r="I1512"/>
      <c r="J1512"/>
      <c r="K1512"/>
    </row>
    <row r="1513" spans="2:11" ht="18" customHeight="1" x14ac:dyDescent="0.25">
      <c r="B1513" s="19" t="s">
        <v>33</v>
      </c>
      <c r="C1513" s="56"/>
      <c r="D1513"/>
      <c r="E1513"/>
      <c r="F1513"/>
      <c r="G1513"/>
      <c r="H1513"/>
      <c r="I1513"/>
      <c r="J1513"/>
      <c r="K1513"/>
    </row>
    <row r="1514" spans="2:11" ht="18" customHeight="1" x14ac:dyDescent="0.25">
      <c r="C1514" s="56"/>
      <c r="D1514"/>
      <c r="E1514"/>
      <c r="F1514"/>
      <c r="G1514"/>
      <c r="H1514"/>
      <c r="I1514"/>
      <c r="J1514"/>
      <c r="K1514"/>
    </row>
    <row r="1515" spans="2:11" ht="18" customHeight="1" x14ac:dyDescent="0.25">
      <c r="C1515" s="56"/>
      <c r="D1515"/>
      <c r="E1515"/>
      <c r="F1515"/>
      <c r="G1515"/>
      <c r="H1515"/>
      <c r="I1515"/>
      <c r="J1515"/>
      <c r="K1515"/>
    </row>
    <row r="1516" spans="2:11" ht="18" customHeight="1" x14ac:dyDescent="0.25">
      <c r="B1516" s="31" t="s">
        <v>0</v>
      </c>
      <c r="C1516" s="66" t="s">
        <v>70</v>
      </c>
      <c r="D1516"/>
      <c r="E1516"/>
      <c r="F1516"/>
      <c r="G1516"/>
      <c r="H1516"/>
      <c r="I1516"/>
      <c r="J1516"/>
      <c r="K1516"/>
    </row>
    <row r="1517" spans="2:11" ht="18" customHeight="1" x14ac:dyDescent="0.25">
      <c r="B1517" s="36" t="s">
        <v>3</v>
      </c>
      <c r="C1517" s="66">
        <v>2</v>
      </c>
      <c r="D1517"/>
      <c r="E1517"/>
      <c r="F1517"/>
      <c r="G1517"/>
      <c r="H1517"/>
      <c r="I1517"/>
      <c r="J1517"/>
      <c r="K1517"/>
    </row>
    <row r="1518" spans="2:11" ht="18" customHeight="1" x14ac:dyDescent="0.25">
      <c r="B1518" s="36"/>
      <c r="C1518" s="56"/>
      <c r="D1518"/>
      <c r="E1518"/>
      <c r="F1518"/>
      <c r="G1518"/>
      <c r="H1518"/>
      <c r="I1518"/>
      <c r="J1518"/>
      <c r="K1518"/>
    </row>
    <row r="1519" spans="2:11" ht="18" customHeight="1" x14ac:dyDescent="0.25">
      <c r="B1519" s="36" t="s">
        <v>6</v>
      </c>
      <c r="C1519" s="71">
        <v>39682</v>
      </c>
      <c r="D1519"/>
      <c r="E1519"/>
      <c r="F1519"/>
      <c r="G1519"/>
      <c r="H1519"/>
      <c r="I1519"/>
      <c r="J1519"/>
      <c r="K1519"/>
    </row>
    <row r="1520" spans="2:11" ht="18" customHeight="1" x14ac:dyDescent="0.25">
      <c r="B1520" s="37" t="s">
        <v>9</v>
      </c>
      <c r="C1520" s="65">
        <v>40085</v>
      </c>
      <c r="D1520" s="25">
        <v>40108</v>
      </c>
      <c r="E1520" s="25">
        <v>40274</v>
      </c>
      <c r="F1520" s="25">
        <v>40652</v>
      </c>
      <c r="G1520"/>
      <c r="H1520"/>
      <c r="I1520"/>
      <c r="J1520"/>
      <c r="K1520"/>
    </row>
    <row r="1521" spans="2:11" ht="18" customHeight="1" x14ac:dyDescent="0.25">
      <c r="B1521" s="37" t="s">
        <v>8</v>
      </c>
      <c r="C1521" s="66"/>
      <c r="D1521"/>
      <c r="E1521"/>
      <c r="F1521"/>
      <c r="G1521"/>
      <c r="H1521"/>
      <c r="I1521"/>
      <c r="J1521"/>
      <c r="K1521"/>
    </row>
    <row r="1522" spans="2:11" ht="18" customHeight="1" x14ac:dyDescent="0.25">
      <c r="B1522" s="38" t="s">
        <v>11</v>
      </c>
      <c r="C1522" s="66">
        <v>6.4</v>
      </c>
      <c r="D1522" s="4">
        <v>6.33</v>
      </c>
      <c r="E1522" s="4">
        <v>6.31</v>
      </c>
      <c r="F1522" s="4">
        <v>5.84</v>
      </c>
      <c r="G1522"/>
      <c r="H1522"/>
      <c r="I1522"/>
      <c r="J1522"/>
      <c r="K1522"/>
    </row>
    <row r="1523" spans="2:11" ht="18" customHeight="1" x14ac:dyDescent="0.25">
      <c r="B1523" s="38" t="s">
        <v>12</v>
      </c>
      <c r="C1523" s="66">
        <v>64</v>
      </c>
      <c r="D1523" s="4">
        <v>80</v>
      </c>
      <c r="E1523" s="4">
        <v>74</v>
      </c>
      <c r="F1523" s="4">
        <v>83</v>
      </c>
      <c r="G1523"/>
      <c r="H1523"/>
      <c r="I1523"/>
      <c r="J1523"/>
      <c r="K1523"/>
    </row>
    <row r="1524" spans="2:11" ht="18" customHeight="1" x14ac:dyDescent="0.25">
      <c r="B1524" s="38" t="s">
        <v>13</v>
      </c>
      <c r="C1524" s="66">
        <v>0</v>
      </c>
      <c r="D1524" s="4">
        <v>0</v>
      </c>
      <c r="E1524" s="4">
        <v>0</v>
      </c>
      <c r="F1524" s="4">
        <v>0</v>
      </c>
      <c r="G1524"/>
      <c r="H1524"/>
      <c r="I1524"/>
      <c r="J1524"/>
      <c r="K1524"/>
    </row>
    <row r="1525" spans="2:11" ht="18" customHeight="1" x14ac:dyDescent="0.25">
      <c r="B1525" s="38" t="s">
        <v>14</v>
      </c>
      <c r="C1525" s="66"/>
      <c r="D1525"/>
      <c r="E1525"/>
      <c r="F1525"/>
      <c r="G1525"/>
      <c r="H1525"/>
      <c r="I1525"/>
      <c r="J1525"/>
      <c r="K1525"/>
    </row>
    <row r="1526" spans="2:11" ht="18" customHeight="1" x14ac:dyDescent="0.25">
      <c r="B1526" s="36" t="s">
        <v>41</v>
      </c>
      <c r="C1526" s="72" t="s">
        <v>42</v>
      </c>
      <c r="D1526" s="4" t="s">
        <v>42</v>
      </c>
      <c r="E1526" s="4" t="s">
        <v>42</v>
      </c>
      <c r="F1526" s="4" t="s">
        <v>42</v>
      </c>
      <c r="G1526"/>
      <c r="H1526"/>
      <c r="I1526"/>
      <c r="J1526"/>
      <c r="K1526"/>
    </row>
    <row r="1527" spans="2:11" ht="18" customHeight="1" x14ac:dyDescent="0.25">
      <c r="B1527" s="37" t="s">
        <v>15</v>
      </c>
      <c r="C1527" s="66"/>
      <c r="D1527"/>
      <c r="E1527"/>
      <c r="F1527"/>
      <c r="G1527"/>
      <c r="H1527"/>
      <c r="I1527"/>
      <c r="J1527"/>
      <c r="K1527"/>
    </row>
    <row r="1528" spans="2:11" ht="18" customHeight="1" x14ac:dyDescent="0.25">
      <c r="B1528" s="38" t="s">
        <v>17</v>
      </c>
      <c r="C1528" s="66" t="s">
        <v>47</v>
      </c>
      <c r="D1528" s="24" t="s">
        <v>47</v>
      </c>
      <c r="E1528" s="24" t="s">
        <v>47</v>
      </c>
      <c r="F1528" s="24" t="s">
        <v>47</v>
      </c>
      <c r="G1528"/>
      <c r="H1528"/>
      <c r="I1528"/>
      <c r="J1528"/>
      <c r="K1528"/>
    </row>
    <row r="1529" spans="2:11" ht="18" customHeight="1" x14ac:dyDescent="0.25">
      <c r="B1529" s="38" t="s">
        <v>18</v>
      </c>
      <c r="C1529" s="66" t="s">
        <v>285</v>
      </c>
      <c r="D1529" s="24" t="s">
        <v>285</v>
      </c>
      <c r="E1529" s="24" t="s">
        <v>285</v>
      </c>
      <c r="F1529" s="24" t="s">
        <v>285</v>
      </c>
      <c r="G1529"/>
      <c r="H1529"/>
      <c r="I1529"/>
      <c r="J1529"/>
      <c r="K1529"/>
    </row>
    <row r="1530" spans="2:11" ht="18" customHeight="1" x14ac:dyDescent="0.25">
      <c r="B1530" s="24"/>
      <c r="C1530" s="66"/>
      <c r="D1530" s="24"/>
      <c r="E1530" s="24"/>
      <c r="F1530" s="24"/>
      <c r="G1530"/>
      <c r="H1530"/>
      <c r="I1530"/>
      <c r="J1530"/>
      <c r="K1530"/>
    </row>
    <row r="1531" spans="2:11" ht="18" customHeight="1" x14ac:dyDescent="0.25">
      <c r="B1531" s="31" t="s">
        <v>19</v>
      </c>
      <c r="C1531" s="66">
        <v>2</v>
      </c>
      <c r="D1531" s="24">
        <v>2</v>
      </c>
      <c r="E1531" s="24">
        <v>2</v>
      </c>
      <c r="F1531" s="24">
        <v>2</v>
      </c>
      <c r="G1531"/>
      <c r="H1531"/>
      <c r="I1531"/>
      <c r="J1531"/>
      <c r="K1531"/>
    </row>
    <row r="1532" spans="2:11" ht="18" customHeight="1" x14ac:dyDescent="0.25">
      <c r="B1532" s="38" t="s">
        <v>20</v>
      </c>
      <c r="C1532" s="66">
        <v>0.35</v>
      </c>
      <c r="D1532" s="24">
        <v>0.35</v>
      </c>
      <c r="E1532" s="24">
        <v>0.35</v>
      </c>
      <c r="F1532" s="24">
        <v>0.35</v>
      </c>
      <c r="G1532"/>
      <c r="H1532"/>
      <c r="I1532"/>
      <c r="J1532"/>
      <c r="K1532"/>
    </row>
    <row r="1533" spans="2:11" ht="18" customHeight="1" x14ac:dyDescent="0.25">
      <c r="B1533" s="38" t="s">
        <v>21</v>
      </c>
      <c r="C1533" s="66">
        <v>3</v>
      </c>
      <c r="D1533" s="24">
        <v>3</v>
      </c>
      <c r="E1533" s="24">
        <v>3</v>
      </c>
      <c r="F1533" s="24">
        <v>3</v>
      </c>
      <c r="G1533"/>
      <c r="H1533"/>
      <c r="I1533"/>
      <c r="J1533"/>
      <c r="K1533"/>
    </row>
    <row r="1534" spans="2:11" ht="18" customHeight="1" x14ac:dyDescent="0.25">
      <c r="B1534" s="38" t="s">
        <v>22</v>
      </c>
      <c r="C1534" s="66">
        <v>0.35</v>
      </c>
      <c r="D1534" s="24">
        <v>0.35</v>
      </c>
      <c r="E1534" s="24">
        <v>0.35</v>
      </c>
      <c r="F1534" s="24">
        <v>0.35</v>
      </c>
      <c r="G1534"/>
      <c r="H1534"/>
      <c r="I1534"/>
      <c r="J1534"/>
      <c r="K1534"/>
    </row>
    <row r="1535" spans="2:11" ht="18" customHeight="1" x14ac:dyDescent="0.25">
      <c r="B1535" s="38" t="s">
        <v>23</v>
      </c>
      <c r="C1535" s="66"/>
      <c r="D1535" s="24"/>
      <c r="E1535"/>
      <c r="F1535"/>
      <c r="G1535"/>
      <c r="H1535"/>
      <c r="I1535"/>
      <c r="J1535"/>
      <c r="K1535"/>
    </row>
    <row r="1536" spans="2:11" ht="18" customHeight="1" x14ac:dyDescent="0.25">
      <c r="B1536" s="38" t="s">
        <v>24</v>
      </c>
      <c r="C1536" s="66"/>
      <c r="D1536"/>
      <c r="E1536"/>
      <c r="F1536"/>
      <c r="G1536"/>
      <c r="H1536"/>
      <c r="I1536"/>
      <c r="J1536"/>
      <c r="K1536"/>
    </row>
    <row r="1537" spans="2:11" ht="18" customHeight="1" x14ac:dyDescent="0.25">
      <c r="B1537" s="24"/>
      <c r="C1537" s="66"/>
      <c r="D1537"/>
      <c r="E1537"/>
      <c r="F1537"/>
      <c r="G1537"/>
      <c r="H1537"/>
      <c r="I1537"/>
      <c r="J1537"/>
      <c r="K1537"/>
    </row>
    <row r="1538" spans="2:11" ht="18" customHeight="1" x14ac:dyDescent="0.25">
      <c r="B1538" s="19" t="s">
        <v>33</v>
      </c>
      <c r="C1538" s="56"/>
      <c r="D1538"/>
      <c r="E1538"/>
      <c r="F1538"/>
      <c r="G1538"/>
      <c r="H1538"/>
      <c r="I1538"/>
      <c r="J1538"/>
      <c r="K1538"/>
    </row>
    <row r="1539" spans="2:11" ht="18" customHeight="1" x14ac:dyDescent="0.25">
      <c r="C1539" s="56"/>
      <c r="D1539"/>
      <c r="E1539"/>
      <c r="F1539"/>
      <c r="G1539"/>
      <c r="H1539"/>
      <c r="I1539"/>
      <c r="J1539"/>
      <c r="K1539"/>
    </row>
    <row r="1540" spans="2:11" ht="18" customHeight="1" x14ac:dyDescent="0.25">
      <c r="C1540" s="56"/>
      <c r="D1540"/>
      <c r="E1540"/>
      <c r="F1540"/>
      <c r="G1540"/>
      <c r="H1540"/>
      <c r="I1540"/>
      <c r="J1540"/>
      <c r="K1540"/>
    </row>
    <row r="1541" spans="2:11" ht="18" customHeight="1" x14ac:dyDescent="0.25">
      <c r="B1541" s="31" t="s">
        <v>0</v>
      </c>
      <c r="C1541" s="66" t="s">
        <v>71</v>
      </c>
      <c r="D1541"/>
      <c r="E1541"/>
      <c r="F1541"/>
      <c r="G1541"/>
      <c r="H1541"/>
      <c r="I1541"/>
      <c r="J1541"/>
      <c r="K1541"/>
    </row>
    <row r="1542" spans="2:11" ht="18" customHeight="1" x14ac:dyDescent="0.25">
      <c r="B1542" s="36" t="s">
        <v>3</v>
      </c>
      <c r="C1542" s="66">
        <v>2</v>
      </c>
      <c r="D1542"/>
      <c r="E1542"/>
      <c r="F1542"/>
      <c r="G1542"/>
      <c r="H1542"/>
      <c r="I1542"/>
      <c r="J1542"/>
      <c r="K1542"/>
    </row>
    <row r="1543" spans="2:11" ht="18" customHeight="1" x14ac:dyDescent="0.25">
      <c r="B1543" s="36"/>
      <c r="C1543" s="56"/>
      <c r="D1543"/>
      <c r="E1543"/>
      <c r="F1543"/>
      <c r="G1543"/>
      <c r="H1543"/>
      <c r="I1543"/>
      <c r="J1543"/>
      <c r="K1543"/>
    </row>
    <row r="1544" spans="2:11" ht="18" customHeight="1" x14ac:dyDescent="0.25">
      <c r="B1544" s="36" t="s">
        <v>6</v>
      </c>
      <c r="C1544" s="71">
        <v>39909</v>
      </c>
      <c r="D1544"/>
      <c r="E1544"/>
      <c r="F1544"/>
      <c r="G1544"/>
      <c r="H1544"/>
      <c r="I1544"/>
      <c r="J1544"/>
      <c r="K1544"/>
    </row>
    <row r="1545" spans="2:11" ht="18" customHeight="1" x14ac:dyDescent="0.25">
      <c r="B1545" s="37" t="s">
        <v>9</v>
      </c>
      <c r="C1545" s="65">
        <v>40253</v>
      </c>
      <c r="D1545" s="25">
        <v>40603</v>
      </c>
      <c r="E1545"/>
      <c r="F1545"/>
      <c r="G1545"/>
      <c r="H1545"/>
      <c r="I1545"/>
      <c r="J1545"/>
      <c r="K1545"/>
    </row>
    <row r="1546" spans="2:11" ht="18" customHeight="1" x14ac:dyDescent="0.25">
      <c r="B1546" s="37" t="s">
        <v>8</v>
      </c>
      <c r="C1546" s="66"/>
      <c r="D1546"/>
      <c r="E1546"/>
      <c r="F1546"/>
      <c r="G1546"/>
      <c r="H1546"/>
      <c r="I1546"/>
      <c r="J1546"/>
      <c r="K1546"/>
    </row>
    <row r="1547" spans="2:11" ht="18" customHeight="1" x14ac:dyDescent="0.25">
      <c r="B1547" s="38" t="s">
        <v>11</v>
      </c>
      <c r="C1547" s="66">
        <v>6.46</v>
      </c>
      <c r="D1547" s="4">
        <v>6.41</v>
      </c>
      <c r="E1547"/>
      <c r="F1547"/>
      <c r="G1547"/>
      <c r="H1547"/>
      <c r="I1547"/>
      <c r="J1547"/>
      <c r="K1547"/>
    </row>
    <row r="1548" spans="2:11" ht="18" customHeight="1" x14ac:dyDescent="0.25">
      <c r="B1548" s="38" t="s">
        <v>12</v>
      </c>
      <c r="C1548" s="66">
        <v>2</v>
      </c>
      <c r="D1548" s="4">
        <v>1</v>
      </c>
      <c r="E1548"/>
      <c r="F1548"/>
      <c r="G1548"/>
      <c r="H1548"/>
      <c r="I1548"/>
      <c r="J1548"/>
      <c r="K1548"/>
    </row>
    <row r="1549" spans="2:11" ht="18" customHeight="1" x14ac:dyDescent="0.25">
      <c r="B1549" s="38" t="s">
        <v>13</v>
      </c>
      <c r="C1549" s="66">
        <v>0</v>
      </c>
      <c r="D1549" s="4">
        <v>0</v>
      </c>
      <c r="E1549"/>
      <c r="F1549"/>
      <c r="G1549"/>
      <c r="H1549"/>
      <c r="I1549"/>
      <c r="J1549"/>
      <c r="K1549"/>
    </row>
    <row r="1550" spans="2:11" ht="18" customHeight="1" x14ac:dyDescent="0.25">
      <c r="B1550" s="38" t="s">
        <v>14</v>
      </c>
      <c r="C1550" s="66"/>
      <c r="D1550"/>
      <c r="E1550"/>
      <c r="F1550"/>
      <c r="G1550"/>
      <c r="H1550"/>
      <c r="I1550"/>
      <c r="J1550"/>
      <c r="K1550"/>
    </row>
    <row r="1551" spans="2:11" ht="18" customHeight="1" x14ac:dyDescent="0.25">
      <c r="B1551" s="36" t="s">
        <v>41</v>
      </c>
      <c r="C1551" s="72" t="s">
        <v>46</v>
      </c>
      <c r="D1551" s="4" t="s">
        <v>286</v>
      </c>
      <c r="E1551"/>
      <c r="F1551"/>
      <c r="G1551"/>
      <c r="H1551"/>
      <c r="I1551"/>
      <c r="J1551"/>
      <c r="K1551"/>
    </row>
    <row r="1552" spans="2:11" ht="18" customHeight="1" x14ac:dyDescent="0.25">
      <c r="B1552" s="37" t="s">
        <v>15</v>
      </c>
      <c r="C1552" s="66"/>
      <c r="D1552"/>
      <c r="E1552"/>
      <c r="F1552"/>
      <c r="G1552"/>
      <c r="H1552"/>
      <c r="I1552"/>
      <c r="J1552"/>
      <c r="K1552"/>
    </row>
    <row r="1553" spans="2:11" ht="18" customHeight="1" x14ac:dyDescent="0.25">
      <c r="B1553" s="38" t="s">
        <v>17</v>
      </c>
      <c r="C1553" s="66" t="s">
        <v>67</v>
      </c>
      <c r="D1553" s="24" t="s">
        <v>67</v>
      </c>
      <c r="E1553"/>
      <c r="F1553"/>
      <c r="G1553"/>
      <c r="H1553"/>
      <c r="I1553"/>
      <c r="J1553"/>
      <c r="K1553"/>
    </row>
    <row r="1554" spans="2:11" ht="18" customHeight="1" x14ac:dyDescent="0.25">
      <c r="B1554" s="38" t="s">
        <v>18</v>
      </c>
      <c r="C1554" s="66" t="s">
        <v>285</v>
      </c>
      <c r="D1554" s="24" t="s">
        <v>285</v>
      </c>
      <c r="E1554"/>
      <c r="F1554"/>
      <c r="G1554"/>
      <c r="H1554"/>
      <c r="I1554"/>
      <c r="J1554"/>
      <c r="K1554"/>
    </row>
    <row r="1555" spans="2:11" ht="18" customHeight="1" x14ac:dyDescent="0.25">
      <c r="B1555" s="24"/>
      <c r="C1555" s="66"/>
      <c r="D1555" s="24"/>
      <c r="E1555"/>
      <c r="F1555"/>
      <c r="G1555"/>
      <c r="H1555"/>
      <c r="I1555"/>
      <c r="J1555"/>
      <c r="K1555"/>
    </row>
    <row r="1556" spans="2:11" ht="18" customHeight="1" x14ac:dyDescent="0.25">
      <c r="B1556" s="31" t="s">
        <v>19</v>
      </c>
      <c r="C1556" s="66">
        <v>2.5</v>
      </c>
      <c r="D1556" s="24">
        <v>2.5</v>
      </c>
      <c r="E1556"/>
      <c r="F1556"/>
      <c r="G1556"/>
      <c r="H1556"/>
      <c r="I1556"/>
      <c r="J1556"/>
      <c r="K1556"/>
    </row>
    <row r="1557" spans="2:11" ht="18" customHeight="1" x14ac:dyDescent="0.25">
      <c r="B1557" s="38" t="s">
        <v>20</v>
      </c>
      <c r="C1557" s="66">
        <v>0.35</v>
      </c>
      <c r="D1557" s="24">
        <v>0.35</v>
      </c>
      <c r="E1557"/>
      <c r="F1557"/>
      <c r="G1557"/>
      <c r="H1557"/>
      <c r="I1557"/>
      <c r="J1557"/>
      <c r="K1557"/>
    </row>
    <row r="1558" spans="2:11" ht="18" customHeight="1" x14ac:dyDescent="0.25">
      <c r="B1558" s="38" t="s">
        <v>21</v>
      </c>
      <c r="C1558" s="66">
        <v>2.5</v>
      </c>
      <c r="D1558" s="24">
        <v>2.5</v>
      </c>
      <c r="E1558"/>
      <c r="F1558"/>
      <c r="G1558"/>
      <c r="H1558"/>
      <c r="I1558"/>
      <c r="J1558"/>
      <c r="K1558"/>
    </row>
    <row r="1559" spans="2:11" ht="18" customHeight="1" x14ac:dyDescent="0.25">
      <c r="B1559" s="38" t="s">
        <v>22</v>
      </c>
      <c r="C1559" s="66">
        <v>0.35</v>
      </c>
      <c r="D1559" s="24">
        <v>0.35</v>
      </c>
      <c r="E1559"/>
      <c r="F1559"/>
      <c r="G1559"/>
      <c r="H1559"/>
      <c r="I1559"/>
      <c r="J1559"/>
      <c r="K1559"/>
    </row>
    <row r="1560" spans="2:11" ht="18" customHeight="1" x14ac:dyDescent="0.25">
      <c r="B1560" s="38" t="s">
        <v>23</v>
      </c>
      <c r="C1560" s="66"/>
      <c r="D1560"/>
      <c r="E1560"/>
      <c r="F1560"/>
      <c r="G1560"/>
      <c r="H1560"/>
      <c r="I1560"/>
      <c r="J1560"/>
      <c r="K1560"/>
    </row>
    <row r="1561" spans="2:11" ht="18" customHeight="1" x14ac:dyDescent="0.25">
      <c r="B1561" s="38" t="s">
        <v>24</v>
      </c>
      <c r="C1561" s="66"/>
      <c r="D1561"/>
      <c r="E1561"/>
      <c r="F1561"/>
      <c r="G1561"/>
      <c r="H1561"/>
      <c r="I1561"/>
      <c r="J1561"/>
      <c r="K1561"/>
    </row>
    <row r="1562" spans="2:11" ht="18" customHeight="1" x14ac:dyDescent="0.25">
      <c r="B1562" s="24"/>
      <c r="C1562" s="66"/>
      <c r="D1562"/>
      <c r="E1562"/>
      <c r="F1562"/>
      <c r="G1562"/>
      <c r="H1562"/>
      <c r="I1562"/>
      <c r="J1562"/>
      <c r="K1562"/>
    </row>
    <row r="1563" spans="2:11" ht="18" customHeight="1" x14ac:dyDescent="0.25">
      <c r="B1563" s="19" t="s">
        <v>33</v>
      </c>
      <c r="C1563" s="56"/>
      <c r="D1563"/>
      <c r="E1563"/>
      <c r="F1563"/>
      <c r="G1563"/>
      <c r="H1563"/>
      <c r="I1563"/>
      <c r="J1563"/>
      <c r="K1563"/>
    </row>
    <row r="1564" spans="2:11" ht="18" customHeight="1" x14ac:dyDescent="0.25">
      <c r="C1564" s="56"/>
      <c r="D1564"/>
      <c r="E1564"/>
      <c r="F1564"/>
      <c r="G1564"/>
      <c r="H1564"/>
      <c r="I1564"/>
      <c r="J1564"/>
      <c r="K1564"/>
    </row>
    <row r="1565" spans="2:11" ht="18" customHeight="1" x14ac:dyDescent="0.25">
      <c r="C1565" s="56"/>
      <c r="D1565"/>
      <c r="E1565"/>
      <c r="F1565"/>
      <c r="G1565"/>
      <c r="H1565"/>
      <c r="I1565"/>
      <c r="J1565"/>
      <c r="K1565"/>
    </row>
    <row r="1566" spans="2:11" ht="18" customHeight="1" x14ac:dyDescent="0.25">
      <c r="B1566" s="31" t="s">
        <v>0</v>
      </c>
      <c r="C1566" s="66" t="s">
        <v>75</v>
      </c>
      <c r="D1566"/>
      <c r="E1566"/>
      <c r="F1566"/>
      <c r="G1566"/>
      <c r="H1566"/>
      <c r="I1566"/>
      <c r="J1566"/>
      <c r="K1566"/>
    </row>
    <row r="1567" spans="2:11" ht="18" customHeight="1" x14ac:dyDescent="0.25">
      <c r="B1567" s="36" t="s">
        <v>3</v>
      </c>
      <c r="C1567" s="66">
        <v>2</v>
      </c>
      <c r="D1567"/>
      <c r="E1567"/>
      <c r="F1567"/>
      <c r="G1567"/>
      <c r="H1567"/>
      <c r="I1567"/>
      <c r="J1567"/>
      <c r="K1567"/>
    </row>
    <row r="1568" spans="2:11" ht="18" customHeight="1" x14ac:dyDescent="0.25">
      <c r="B1568" s="36"/>
      <c r="C1568" s="56"/>
      <c r="D1568"/>
      <c r="E1568"/>
      <c r="F1568"/>
      <c r="G1568"/>
      <c r="H1568"/>
      <c r="I1568"/>
      <c r="J1568"/>
      <c r="K1568"/>
    </row>
    <row r="1569" spans="2:11" ht="18" customHeight="1" x14ac:dyDescent="0.25">
      <c r="B1569" s="36" t="s">
        <v>6</v>
      </c>
      <c r="C1569" s="71">
        <v>39231</v>
      </c>
      <c r="D1569"/>
      <c r="E1569"/>
      <c r="F1569"/>
      <c r="G1569"/>
      <c r="H1569"/>
      <c r="I1569"/>
      <c r="J1569"/>
      <c r="K1569"/>
    </row>
    <row r="1570" spans="2:11" ht="18" customHeight="1" x14ac:dyDescent="0.25">
      <c r="B1570" s="37" t="s">
        <v>9</v>
      </c>
      <c r="C1570" s="65">
        <v>40134</v>
      </c>
      <c r="D1570" s="25">
        <v>40316</v>
      </c>
      <c r="E1570"/>
      <c r="F1570"/>
      <c r="G1570"/>
      <c r="H1570"/>
      <c r="I1570"/>
      <c r="J1570"/>
      <c r="K1570"/>
    </row>
    <row r="1571" spans="2:11" ht="18" customHeight="1" x14ac:dyDescent="0.25">
      <c r="B1571" s="37" t="s">
        <v>8</v>
      </c>
      <c r="C1571" s="66"/>
      <c r="D1571"/>
      <c r="E1571"/>
      <c r="F1571"/>
      <c r="G1571"/>
      <c r="H1571"/>
      <c r="I1571"/>
      <c r="J1571"/>
      <c r="K1571"/>
    </row>
    <row r="1572" spans="2:11" ht="18" customHeight="1" x14ac:dyDescent="0.25">
      <c r="B1572" s="38" t="s">
        <v>11</v>
      </c>
      <c r="C1572" s="66">
        <v>6.05</v>
      </c>
      <c r="D1572" s="4">
        <v>5.91</v>
      </c>
      <c r="E1572"/>
      <c r="F1572"/>
      <c r="G1572"/>
      <c r="H1572"/>
      <c r="I1572"/>
      <c r="J1572"/>
      <c r="K1572"/>
    </row>
    <row r="1573" spans="2:11" ht="18" customHeight="1" x14ac:dyDescent="0.25">
      <c r="B1573" s="38" t="s">
        <v>12</v>
      </c>
      <c r="C1573" s="66">
        <v>8</v>
      </c>
      <c r="D1573" s="4">
        <v>5</v>
      </c>
      <c r="E1573"/>
      <c r="F1573"/>
      <c r="G1573"/>
      <c r="H1573"/>
      <c r="I1573"/>
      <c r="J1573"/>
      <c r="K1573"/>
    </row>
    <row r="1574" spans="2:11" ht="18" customHeight="1" x14ac:dyDescent="0.25">
      <c r="B1574" s="38" t="s">
        <v>13</v>
      </c>
      <c r="C1574" s="66">
        <v>0</v>
      </c>
      <c r="D1574" s="4">
        <v>0</v>
      </c>
      <c r="E1574"/>
      <c r="F1574"/>
      <c r="G1574"/>
      <c r="H1574"/>
      <c r="I1574"/>
      <c r="J1574"/>
      <c r="K1574"/>
    </row>
    <row r="1575" spans="2:11" ht="18" customHeight="1" x14ac:dyDescent="0.25">
      <c r="B1575" s="38" t="s">
        <v>14</v>
      </c>
      <c r="C1575" s="66"/>
      <c r="D1575"/>
      <c r="E1575"/>
      <c r="F1575"/>
      <c r="G1575"/>
      <c r="H1575"/>
      <c r="I1575"/>
      <c r="J1575"/>
      <c r="K1575"/>
    </row>
    <row r="1576" spans="2:11" ht="18" customHeight="1" x14ac:dyDescent="0.25">
      <c r="B1576" s="36" t="s">
        <v>41</v>
      </c>
      <c r="C1576" s="72" t="s">
        <v>45</v>
      </c>
      <c r="D1576" s="4" t="s">
        <v>42</v>
      </c>
      <c r="E1576"/>
      <c r="F1576"/>
      <c r="G1576"/>
      <c r="H1576"/>
      <c r="I1576"/>
      <c r="J1576"/>
      <c r="K1576"/>
    </row>
    <row r="1577" spans="2:11" ht="18" customHeight="1" x14ac:dyDescent="0.25">
      <c r="B1577" s="37" t="s">
        <v>15</v>
      </c>
      <c r="C1577" s="66"/>
      <c r="D1577"/>
      <c r="E1577"/>
      <c r="F1577"/>
      <c r="G1577"/>
      <c r="H1577"/>
      <c r="I1577"/>
      <c r="J1577"/>
      <c r="K1577"/>
    </row>
    <row r="1578" spans="2:11" ht="18" customHeight="1" x14ac:dyDescent="0.25">
      <c r="B1578" s="38" t="s">
        <v>17</v>
      </c>
      <c r="C1578" s="66" t="s">
        <v>47</v>
      </c>
      <c r="D1578" s="24" t="s">
        <v>47</v>
      </c>
      <c r="E1578"/>
      <c r="F1578"/>
      <c r="G1578"/>
      <c r="H1578"/>
      <c r="I1578"/>
      <c r="J1578"/>
      <c r="K1578"/>
    </row>
    <row r="1579" spans="2:11" ht="18" customHeight="1" x14ac:dyDescent="0.25">
      <c r="B1579" s="38" t="s">
        <v>18</v>
      </c>
      <c r="C1579" s="66" t="s">
        <v>285</v>
      </c>
      <c r="D1579" s="24" t="s">
        <v>285</v>
      </c>
      <c r="E1579"/>
      <c r="F1579"/>
      <c r="G1579"/>
      <c r="H1579"/>
      <c r="I1579"/>
      <c r="J1579"/>
      <c r="K1579"/>
    </row>
    <row r="1580" spans="2:11" ht="18" customHeight="1" x14ac:dyDescent="0.25">
      <c r="B1580" s="24"/>
      <c r="C1580" s="66"/>
      <c r="D1580" s="24"/>
      <c r="E1580"/>
      <c r="F1580"/>
      <c r="G1580"/>
      <c r="H1580"/>
      <c r="I1580"/>
      <c r="J1580"/>
      <c r="K1580"/>
    </row>
    <row r="1581" spans="2:11" ht="18" customHeight="1" x14ac:dyDescent="0.25">
      <c r="B1581" s="31" t="s">
        <v>19</v>
      </c>
      <c r="C1581" s="66">
        <v>2</v>
      </c>
      <c r="D1581" s="24">
        <v>2</v>
      </c>
      <c r="E1581"/>
      <c r="F1581"/>
      <c r="G1581"/>
      <c r="H1581"/>
      <c r="I1581"/>
      <c r="J1581"/>
      <c r="K1581"/>
    </row>
    <row r="1582" spans="2:11" ht="18" customHeight="1" x14ac:dyDescent="0.25">
      <c r="B1582" s="38" t="s">
        <v>20</v>
      </c>
      <c r="C1582" s="66">
        <v>0.35</v>
      </c>
      <c r="D1582" s="24">
        <v>0.35</v>
      </c>
      <c r="E1582"/>
      <c r="F1582"/>
      <c r="G1582"/>
      <c r="H1582"/>
      <c r="I1582"/>
      <c r="J1582"/>
      <c r="K1582"/>
    </row>
    <row r="1583" spans="2:11" ht="18" customHeight="1" x14ac:dyDescent="0.25">
      <c r="B1583" s="38" t="s">
        <v>21</v>
      </c>
      <c r="C1583" s="66">
        <v>2.5</v>
      </c>
      <c r="D1583" s="24">
        <v>2.5</v>
      </c>
      <c r="E1583"/>
      <c r="F1583"/>
      <c r="G1583"/>
      <c r="H1583"/>
      <c r="I1583"/>
      <c r="J1583"/>
      <c r="K1583"/>
    </row>
    <row r="1584" spans="2:11" ht="18" customHeight="1" x14ac:dyDescent="0.25">
      <c r="B1584" s="38" t="s">
        <v>22</v>
      </c>
      <c r="C1584" s="66">
        <v>0.35</v>
      </c>
      <c r="D1584" s="24">
        <v>0.35</v>
      </c>
      <c r="E1584"/>
      <c r="F1584"/>
      <c r="G1584"/>
      <c r="H1584"/>
      <c r="I1584"/>
      <c r="J1584"/>
      <c r="K1584"/>
    </row>
    <row r="1585" spans="2:11" ht="18" customHeight="1" x14ac:dyDescent="0.25">
      <c r="B1585" s="38" t="s">
        <v>23</v>
      </c>
      <c r="C1585" s="66"/>
      <c r="D1585"/>
      <c r="E1585"/>
      <c r="F1585"/>
      <c r="G1585"/>
      <c r="H1585"/>
      <c r="I1585"/>
      <c r="J1585"/>
      <c r="K1585"/>
    </row>
    <row r="1586" spans="2:11" ht="18" customHeight="1" x14ac:dyDescent="0.25">
      <c r="B1586" s="38" t="s">
        <v>24</v>
      </c>
      <c r="C1586" s="66"/>
      <c r="D1586"/>
      <c r="E1586"/>
      <c r="F1586"/>
      <c r="G1586"/>
      <c r="H1586"/>
      <c r="I1586"/>
      <c r="J1586"/>
      <c r="K1586"/>
    </row>
    <row r="1587" spans="2:11" ht="18" customHeight="1" x14ac:dyDescent="0.25">
      <c r="B1587" s="24"/>
      <c r="C1587" s="66"/>
      <c r="D1587"/>
      <c r="E1587"/>
      <c r="F1587"/>
      <c r="G1587"/>
      <c r="H1587"/>
      <c r="I1587"/>
      <c r="J1587"/>
      <c r="K1587"/>
    </row>
    <row r="1588" spans="2:11" ht="18" customHeight="1" x14ac:dyDescent="0.25">
      <c r="B1588" s="19" t="s">
        <v>33</v>
      </c>
      <c r="C1588" s="56"/>
      <c r="D1588"/>
      <c r="E1588"/>
      <c r="F1588"/>
      <c r="G1588"/>
      <c r="H1588"/>
      <c r="I1588"/>
      <c r="J1588"/>
      <c r="K1588"/>
    </row>
    <row r="1589" spans="2:11" ht="18" customHeight="1" x14ac:dyDescent="0.25">
      <c r="C1589" s="56"/>
      <c r="D1589"/>
      <c r="E1589"/>
      <c r="F1589"/>
      <c r="G1589"/>
      <c r="H1589"/>
      <c r="I1589"/>
      <c r="J1589"/>
      <c r="K1589"/>
    </row>
    <row r="1590" spans="2:11" ht="18" customHeight="1" x14ac:dyDescent="0.25">
      <c r="C1590" s="56"/>
      <c r="D1590"/>
      <c r="E1590"/>
      <c r="F1590"/>
      <c r="G1590"/>
      <c r="H1590"/>
      <c r="I1590"/>
      <c r="J1590"/>
      <c r="K1590"/>
    </row>
    <row r="1591" spans="2:11" ht="18" customHeight="1" x14ac:dyDescent="0.25">
      <c r="C1591" s="56"/>
      <c r="D1591"/>
      <c r="E1591"/>
      <c r="F1591"/>
      <c r="G1591"/>
      <c r="H1591"/>
      <c r="I1591"/>
      <c r="J1591"/>
      <c r="K1591"/>
    </row>
    <row r="1592" spans="2:11" ht="18" customHeight="1" x14ac:dyDescent="0.25">
      <c r="B1592" s="31" t="s">
        <v>0</v>
      </c>
      <c r="C1592" s="66" t="s">
        <v>287</v>
      </c>
      <c r="D1592"/>
      <c r="E1592"/>
      <c r="F1592"/>
      <c r="G1592"/>
      <c r="H1592"/>
      <c r="I1592"/>
      <c r="J1592"/>
      <c r="K1592"/>
    </row>
    <row r="1593" spans="2:11" ht="18" customHeight="1" x14ac:dyDescent="0.25">
      <c r="B1593" s="36" t="s">
        <v>3</v>
      </c>
      <c r="C1593" s="66">
        <v>2</v>
      </c>
      <c r="D1593"/>
      <c r="E1593"/>
      <c r="F1593"/>
      <c r="G1593"/>
      <c r="H1593"/>
      <c r="I1593"/>
      <c r="J1593"/>
      <c r="K1593"/>
    </row>
    <row r="1594" spans="2:11" ht="18" customHeight="1" x14ac:dyDescent="0.25">
      <c r="B1594" s="36"/>
      <c r="C1594" s="56"/>
      <c r="D1594"/>
      <c r="E1594"/>
      <c r="F1594"/>
      <c r="G1594"/>
      <c r="H1594"/>
      <c r="I1594"/>
      <c r="J1594"/>
      <c r="K1594"/>
    </row>
    <row r="1595" spans="2:11" ht="18" customHeight="1" x14ac:dyDescent="0.25">
      <c r="B1595" s="36" t="s">
        <v>6</v>
      </c>
      <c r="C1595" s="71">
        <v>38730</v>
      </c>
      <c r="D1595"/>
      <c r="E1595"/>
      <c r="F1595"/>
      <c r="G1595"/>
      <c r="H1595"/>
      <c r="I1595"/>
      <c r="J1595"/>
      <c r="K1595"/>
    </row>
    <row r="1596" spans="2:11" ht="18" customHeight="1" x14ac:dyDescent="0.25">
      <c r="B1596" s="37" t="s">
        <v>9</v>
      </c>
      <c r="C1596" s="65">
        <v>40113</v>
      </c>
      <c r="D1596" s="25">
        <v>40295</v>
      </c>
      <c r="E1596" s="25">
        <v>40638</v>
      </c>
      <c r="F1596" s="25">
        <v>40736</v>
      </c>
      <c r="G1596" s="25">
        <v>40742</v>
      </c>
      <c r="H1596"/>
      <c r="I1596"/>
      <c r="J1596"/>
      <c r="K1596"/>
    </row>
    <row r="1597" spans="2:11" ht="18" customHeight="1" x14ac:dyDescent="0.25">
      <c r="B1597" s="37" t="s">
        <v>8</v>
      </c>
      <c r="C1597" s="66"/>
      <c r="D1597"/>
      <c r="E1597"/>
      <c r="F1597"/>
      <c r="G1597"/>
      <c r="H1597"/>
      <c r="I1597"/>
      <c r="J1597"/>
      <c r="K1597"/>
    </row>
    <row r="1598" spans="2:11" ht="18" customHeight="1" x14ac:dyDescent="0.25">
      <c r="B1598" s="38" t="s">
        <v>11</v>
      </c>
      <c r="C1598" s="66">
        <v>5.27</v>
      </c>
      <c r="D1598" s="4">
        <v>5.18</v>
      </c>
      <c r="E1598" s="4">
        <v>4.95</v>
      </c>
      <c r="F1598" s="4">
        <v>4.58</v>
      </c>
      <c r="G1598" s="4">
        <v>4.51</v>
      </c>
      <c r="H1598"/>
      <c r="I1598"/>
      <c r="J1598"/>
      <c r="K1598"/>
    </row>
    <row r="1599" spans="2:11" ht="18" customHeight="1" x14ac:dyDescent="0.25">
      <c r="B1599" s="38" t="s">
        <v>12</v>
      </c>
      <c r="C1599" s="66">
        <v>0</v>
      </c>
      <c r="D1599"/>
      <c r="E1599"/>
      <c r="F1599"/>
      <c r="G1599"/>
      <c r="H1599"/>
      <c r="I1599"/>
      <c r="J1599"/>
      <c r="K1599"/>
    </row>
    <row r="1600" spans="2:11" ht="18" customHeight="1" x14ac:dyDescent="0.25">
      <c r="B1600" s="38" t="s">
        <v>13</v>
      </c>
      <c r="C1600" s="66">
        <v>46</v>
      </c>
      <c r="D1600" s="4">
        <v>13</v>
      </c>
      <c r="E1600" s="4">
        <v>90</v>
      </c>
      <c r="F1600" s="4">
        <v>81</v>
      </c>
      <c r="G1600" s="4">
        <v>70</v>
      </c>
      <c r="H1600"/>
      <c r="I1600"/>
      <c r="J1600"/>
      <c r="K1600"/>
    </row>
    <row r="1601" spans="2:11" ht="18" customHeight="1" x14ac:dyDescent="0.25">
      <c r="B1601" s="38" t="s">
        <v>14</v>
      </c>
      <c r="C1601" s="66"/>
      <c r="D1601"/>
      <c r="E1601"/>
      <c r="F1601"/>
      <c r="G1601"/>
      <c r="H1601"/>
      <c r="I1601"/>
      <c r="J1601"/>
      <c r="K1601"/>
    </row>
    <row r="1602" spans="2:11" ht="18" customHeight="1" x14ac:dyDescent="0.25">
      <c r="B1602" s="36" t="s">
        <v>41</v>
      </c>
      <c r="C1602" s="72" t="s">
        <v>46</v>
      </c>
      <c r="D1602" s="44" t="s">
        <v>288</v>
      </c>
      <c r="E1602" s="29" t="s">
        <v>289</v>
      </c>
      <c r="F1602" s="4" t="s">
        <v>77</v>
      </c>
      <c r="G1602" s="4" t="s">
        <v>261</v>
      </c>
      <c r="H1602"/>
      <c r="I1602"/>
      <c r="J1602"/>
      <c r="K1602"/>
    </row>
    <row r="1603" spans="2:11" ht="18" customHeight="1" x14ac:dyDescent="0.25">
      <c r="B1603" s="37" t="s">
        <v>15</v>
      </c>
      <c r="C1603" s="66"/>
      <c r="D1603"/>
      <c r="E1603"/>
      <c r="F1603"/>
      <c r="G1603"/>
      <c r="H1603"/>
      <c r="I1603"/>
      <c r="J1603"/>
      <c r="K1603"/>
    </row>
    <row r="1604" spans="2:11" ht="18" customHeight="1" x14ac:dyDescent="0.25">
      <c r="B1604" s="38" t="s">
        <v>17</v>
      </c>
      <c r="C1604" s="66" t="s">
        <v>47</v>
      </c>
      <c r="D1604" s="24" t="s">
        <v>47</v>
      </c>
      <c r="E1604" s="4">
        <v>60</v>
      </c>
      <c r="F1604" s="4">
        <v>60</v>
      </c>
      <c r="G1604" s="4">
        <v>60</v>
      </c>
      <c r="H1604"/>
      <c r="I1604"/>
      <c r="J1604"/>
      <c r="K1604"/>
    </row>
    <row r="1605" spans="2:11" ht="18" customHeight="1" x14ac:dyDescent="0.25">
      <c r="B1605" s="38" t="s">
        <v>18</v>
      </c>
      <c r="C1605" s="66" t="s">
        <v>290</v>
      </c>
      <c r="D1605" s="24" t="s">
        <v>291</v>
      </c>
      <c r="E1605" s="4" t="s">
        <v>292</v>
      </c>
      <c r="F1605" s="4" t="s">
        <v>292</v>
      </c>
      <c r="G1605" s="4" t="s">
        <v>292</v>
      </c>
      <c r="H1605"/>
      <c r="I1605"/>
      <c r="J1605"/>
      <c r="K1605"/>
    </row>
    <row r="1606" spans="2:11" ht="18" customHeight="1" x14ac:dyDescent="0.25">
      <c r="B1606" s="24"/>
      <c r="C1606" s="66"/>
      <c r="D1606" s="24"/>
      <c r="E1606"/>
      <c r="F1606"/>
      <c r="G1606"/>
      <c r="H1606"/>
      <c r="I1606"/>
      <c r="J1606"/>
      <c r="K1606"/>
    </row>
    <row r="1607" spans="2:11" ht="18" customHeight="1" x14ac:dyDescent="0.25">
      <c r="B1607" s="31" t="s">
        <v>19</v>
      </c>
      <c r="C1607" s="66">
        <v>2</v>
      </c>
      <c r="D1607" s="24"/>
      <c r="E1607"/>
      <c r="F1607"/>
      <c r="G1607"/>
      <c r="H1607"/>
      <c r="I1607"/>
      <c r="J1607"/>
      <c r="K1607"/>
    </row>
    <row r="1608" spans="2:11" ht="18" customHeight="1" x14ac:dyDescent="0.25">
      <c r="B1608" s="38" t="s">
        <v>20</v>
      </c>
      <c r="C1608" s="66">
        <v>0.35</v>
      </c>
      <c r="D1608" s="24"/>
      <c r="E1608"/>
      <c r="F1608"/>
      <c r="G1608"/>
      <c r="H1608"/>
      <c r="I1608"/>
      <c r="J1608"/>
      <c r="K1608"/>
    </row>
    <row r="1609" spans="2:11" ht="18" customHeight="1" x14ac:dyDescent="0.25">
      <c r="B1609" s="38" t="s">
        <v>21</v>
      </c>
      <c r="C1609" s="66">
        <v>4</v>
      </c>
      <c r="D1609" s="24">
        <v>4</v>
      </c>
      <c r="E1609" s="4">
        <v>4.5</v>
      </c>
      <c r="F1609" s="4">
        <v>4.5</v>
      </c>
      <c r="G1609" s="4">
        <v>4.5</v>
      </c>
      <c r="H1609"/>
      <c r="I1609"/>
      <c r="J1609"/>
      <c r="K1609"/>
    </row>
    <row r="1610" spans="2:11" ht="18" customHeight="1" x14ac:dyDescent="0.25">
      <c r="B1610" s="38" t="s">
        <v>22</v>
      </c>
      <c r="C1610" s="66">
        <v>0.5</v>
      </c>
      <c r="D1610" s="24">
        <v>0.5</v>
      </c>
      <c r="E1610" s="4">
        <v>0.35</v>
      </c>
      <c r="F1610" s="4">
        <v>0.35</v>
      </c>
      <c r="G1610" s="4">
        <v>0.35</v>
      </c>
      <c r="H1610"/>
      <c r="I1610"/>
      <c r="J1610"/>
      <c r="K1610"/>
    </row>
    <row r="1611" spans="2:11" ht="18" customHeight="1" x14ac:dyDescent="0.25">
      <c r="B1611" s="38" t="s">
        <v>23</v>
      </c>
      <c r="C1611" s="66"/>
      <c r="D1611"/>
      <c r="E1611"/>
      <c r="F1611"/>
      <c r="G1611"/>
      <c r="H1611"/>
      <c r="I1611"/>
      <c r="J1611"/>
      <c r="K1611"/>
    </row>
    <row r="1612" spans="2:11" ht="18" customHeight="1" x14ac:dyDescent="0.25">
      <c r="B1612" s="38" t="s">
        <v>24</v>
      </c>
      <c r="C1612" s="66"/>
      <c r="D1612"/>
      <c r="E1612"/>
      <c r="F1612"/>
      <c r="G1612"/>
      <c r="H1612"/>
      <c r="I1612"/>
      <c r="J1612"/>
      <c r="K1612"/>
    </row>
    <row r="1613" spans="2:11" ht="18" customHeight="1" x14ac:dyDescent="0.25">
      <c r="B1613" s="24"/>
      <c r="C1613" s="66"/>
      <c r="D1613"/>
      <c r="E1613"/>
      <c r="F1613"/>
      <c r="G1613"/>
      <c r="H1613"/>
      <c r="I1613"/>
      <c r="J1613"/>
      <c r="K1613"/>
    </row>
    <row r="1614" spans="2:11" ht="18" customHeight="1" x14ac:dyDescent="0.25">
      <c r="B1614" s="19" t="s">
        <v>33</v>
      </c>
      <c r="C1614" s="56"/>
      <c r="D1614"/>
      <c r="E1614"/>
      <c r="F1614"/>
      <c r="G1614"/>
      <c r="H1614"/>
      <c r="I1614"/>
      <c r="J1614"/>
      <c r="K1614"/>
    </row>
    <row r="1615" spans="2:11" ht="18" customHeight="1" x14ac:dyDescent="0.25">
      <c r="C1615" s="56"/>
      <c r="D1615"/>
      <c r="E1615"/>
      <c r="F1615"/>
      <c r="G1615"/>
      <c r="H1615"/>
      <c r="I1615"/>
      <c r="J1615"/>
      <c r="K1615"/>
    </row>
    <row r="1616" spans="2:11" ht="18" customHeight="1" x14ac:dyDescent="0.25">
      <c r="C1616" s="56"/>
      <c r="D1616"/>
      <c r="E1616"/>
      <c r="F1616"/>
      <c r="G1616"/>
      <c r="H1616"/>
      <c r="I1616"/>
      <c r="J1616"/>
      <c r="K1616"/>
    </row>
    <row r="1617" spans="2:11" ht="18" customHeight="1" x14ac:dyDescent="0.25">
      <c r="B1617" s="31" t="s">
        <v>0</v>
      </c>
      <c r="C1617" s="66" t="s">
        <v>76</v>
      </c>
      <c r="D1617"/>
      <c r="E1617"/>
      <c r="F1617"/>
      <c r="G1617"/>
      <c r="H1617"/>
      <c r="I1617"/>
      <c r="J1617"/>
      <c r="K1617"/>
    </row>
    <row r="1618" spans="2:11" ht="18" customHeight="1" x14ac:dyDescent="0.25">
      <c r="B1618" s="36" t="s">
        <v>3</v>
      </c>
      <c r="C1618" s="66">
        <v>2</v>
      </c>
      <c r="D1618"/>
      <c r="E1618"/>
      <c r="F1618"/>
      <c r="G1618"/>
      <c r="H1618"/>
      <c r="I1618"/>
      <c r="J1618"/>
      <c r="K1618"/>
    </row>
    <row r="1619" spans="2:11" ht="18" customHeight="1" x14ac:dyDescent="0.25">
      <c r="B1619" s="36"/>
      <c r="C1619" s="56"/>
      <c r="D1619"/>
      <c r="E1619"/>
      <c r="F1619"/>
      <c r="G1619"/>
      <c r="H1619"/>
      <c r="I1619"/>
      <c r="J1619"/>
      <c r="K1619"/>
    </row>
    <row r="1620" spans="2:11" ht="18" customHeight="1" x14ac:dyDescent="0.25">
      <c r="B1620" s="36" t="s">
        <v>6</v>
      </c>
      <c r="C1620" s="71">
        <v>38790</v>
      </c>
      <c r="D1620"/>
      <c r="E1620"/>
      <c r="F1620"/>
      <c r="G1620"/>
      <c r="H1620"/>
      <c r="I1620"/>
      <c r="J1620"/>
      <c r="K1620"/>
    </row>
    <row r="1621" spans="2:11" ht="18" customHeight="1" x14ac:dyDescent="0.25">
      <c r="B1621" s="37" t="s">
        <v>9</v>
      </c>
      <c r="C1621" s="65">
        <v>40113</v>
      </c>
      <c r="D1621" s="25">
        <v>40295</v>
      </c>
      <c r="E1621" s="25">
        <v>40487</v>
      </c>
      <c r="F1621" s="25">
        <v>40494</v>
      </c>
      <c r="G1621" s="25">
        <v>40710</v>
      </c>
      <c r="H1621" s="25">
        <v>41074</v>
      </c>
      <c r="I1621" s="25">
        <v>41272</v>
      </c>
      <c r="J1621" s="27">
        <v>41437</v>
      </c>
      <c r="K1621"/>
    </row>
    <row r="1622" spans="2:11" ht="18" customHeight="1" x14ac:dyDescent="0.25">
      <c r="B1622" s="37" t="s">
        <v>8</v>
      </c>
      <c r="C1622" s="66"/>
      <c r="D1622"/>
      <c r="E1622"/>
      <c r="F1622"/>
      <c r="G1622"/>
      <c r="H1622"/>
      <c r="I1622"/>
      <c r="J1622"/>
      <c r="K1622"/>
    </row>
    <row r="1623" spans="2:11" ht="18" customHeight="1" x14ac:dyDescent="0.25">
      <c r="B1623" s="38" t="s">
        <v>11</v>
      </c>
      <c r="C1623" s="66">
        <v>5.9</v>
      </c>
      <c r="D1623" s="4">
        <v>5.8</v>
      </c>
      <c r="E1623" s="4">
        <v>5.27</v>
      </c>
      <c r="F1623" s="4">
        <v>5.24</v>
      </c>
      <c r="G1623" s="4">
        <v>5.17</v>
      </c>
      <c r="H1623" s="4">
        <v>5.14</v>
      </c>
      <c r="I1623" s="4">
        <v>5.08</v>
      </c>
      <c r="J1623" s="24">
        <v>4.76</v>
      </c>
      <c r="K1623"/>
    </row>
    <row r="1624" spans="2:11" ht="18" customHeight="1" x14ac:dyDescent="0.25">
      <c r="B1624" s="38" t="s">
        <v>12</v>
      </c>
      <c r="C1624" s="66">
        <v>0</v>
      </c>
      <c r="D1624"/>
      <c r="E1624"/>
      <c r="F1624"/>
      <c r="G1624"/>
      <c r="H1624"/>
      <c r="I1624"/>
      <c r="J1624"/>
      <c r="K1624"/>
    </row>
    <row r="1625" spans="2:11" ht="18" customHeight="1" x14ac:dyDescent="0.25">
      <c r="B1625" s="38" t="s">
        <v>13</v>
      </c>
      <c r="C1625" s="66">
        <v>0</v>
      </c>
      <c r="D1625"/>
      <c r="E1625"/>
      <c r="F1625"/>
      <c r="G1625"/>
      <c r="H1625"/>
      <c r="I1625"/>
      <c r="J1625"/>
      <c r="K1625"/>
    </row>
    <row r="1626" spans="2:11" ht="18" customHeight="1" x14ac:dyDescent="0.25">
      <c r="B1626" s="38" t="s">
        <v>14</v>
      </c>
      <c r="C1626" s="66"/>
      <c r="D1626"/>
      <c r="E1626"/>
      <c r="F1626"/>
      <c r="G1626"/>
      <c r="H1626"/>
      <c r="I1626"/>
      <c r="J1626"/>
      <c r="K1626"/>
    </row>
    <row r="1627" spans="2:11" ht="18" customHeight="1" x14ac:dyDescent="0.25">
      <c r="B1627" s="36" t="s">
        <v>41</v>
      </c>
      <c r="C1627" s="72" t="s">
        <v>42</v>
      </c>
      <c r="D1627" s="30" t="s">
        <v>42</v>
      </c>
      <c r="E1627" s="29" t="s">
        <v>293</v>
      </c>
      <c r="F1627" s="4" t="s">
        <v>42</v>
      </c>
      <c r="G1627" s="44" t="s">
        <v>294</v>
      </c>
      <c r="H1627" s="29" t="s">
        <v>295</v>
      </c>
      <c r="I1627" s="29" t="s">
        <v>296</v>
      </c>
      <c r="J1627" s="24" t="s">
        <v>42</v>
      </c>
      <c r="K1627"/>
    </row>
    <row r="1628" spans="2:11" ht="18" customHeight="1" x14ac:dyDescent="0.25">
      <c r="B1628" s="37" t="s">
        <v>15</v>
      </c>
      <c r="C1628" s="66"/>
      <c r="D1628"/>
      <c r="E1628"/>
      <c r="F1628"/>
      <c r="G1628"/>
      <c r="H1628"/>
      <c r="I1628"/>
      <c r="J1628"/>
      <c r="K1628"/>
    </row>
    <row r="1629" spans="2:11" ht="18" customHeight="1" x14ac:dyDescent="0.25">
      <c r="B1629" s="38" t="s">
        <v>17</v>
      </c>
      <c r="C1629" s="66" t="s">
        <v>67</v>
      </c>
      <c r="D1629" s="24" t="s">
        <v>67</v>
      </c>
      <c r="E1629" s="24" t="s">
        <v>67</v>
      </c>
      <c r="F1629" s="24" t="s">
        <v>67</v>
      </c>
      <c r="G1629" s="24" t="s">
        <v>67</v>
      </c>
      <c r="H1629" s="24" t="s">
        <v>47</v>
      </c>
      <c r="I1629" s="24" t="s">
        <v>81</v>
      </c>
      <c r="J1629" s="24" t="s">
        <v>81</v>
      </c>
      <c r="K1629"/>
    </row>
    <row r="1630" spans="2:11" ht="18" customHeight="1" x14ac:dyDescent="0.25">
      <c r="B1630" s="38" t="s">
        <v>18</v>
      </c>
      <c r="C1630" s="66" t="s">
        <v>285</v>
      </c>
      <c r="D1630" s="24" t="s">
        <v>285</v>
      </c>
      <c r="E1630" s="24" t="s">
        <v>285</v>
      </c>
      <c r="F1630" s="24" t="s">
        <v>285</v>
      </c>
      <c r="G1630" s="24" t="s">
        <v>285</v>
      </c>
      <c r="H1630" s="24" t="s">
        <v>285</v>
      </c>
      <c r="I1630" s="24" t="s">
        <v>285</v>
      </c>
      <c r="J1630" s="24" t="s">
        <v>285</v>
      </c>
      <c r="K1630"/>
    </row>
    <row r="1631" spans="2:11" ht="18" customHeight="1" x14ac:dyDescent="0.25">
      <c r="B1631" s="24"/>
      <c r="C1631" s="66"/>
      <c r="D1631" s="24"/>
      <c r="E1631" s="24"/>
      <c r="F1631" s="24"/>
      <c r="G1631" s="24"/>
      <c r="H1631" s="24"/>
      <c r="I1631" s="24"/>
      <c r="J1631"/>
      <c r="K1631"/>
    </row>
    <row r="1632" spans="2:11" ht="18" customHeight="1" x14ac:dyDescent="0.25">
      <c r="B1632" s="31" t="s">
        <v>19</v>
      </c>
      <c r="C1632" s="66">
        <v>2.5</v>
      </c>
      <c r="D1632" s="24">
        <v>2.5</v>
      </c>
      <c r="E1632" s="24">
        <v>2.5</v>
      </c>
      <c r="F1632" s="24">
        <v>2.5</v>
      </c>
      <c r="G1632" s="24">
        <v>2.5</v>
      </c>
      <c r="H1632" s="24">
        <v>2.5</v>
      </c>
      <c r="I1632" s="24">
        <v>2.5</v>
      </c>
      <c r="J1632" s="24">
        <v>2.5</v>
      </c>
      <c r="K1632"/>
    </row>
    <row r="1633" spans="2:11" ht="18" customHeight="1" x14ac:dyDescent="0.25">
      <c r="B1633" s="38" t="s">
        <v>20</v>
      </c>
      <c r="C1633" s="66">
        <v>0.5</v>
      </c>
      <c r="D1633" s="24">
        <v>0.5</v>
      </c>
      <c r="E1633" s="24">
        <v>0.5</v>
      </c>
      <c r="F1633" s="24">
        <v>0.5</v>
      </c>
      <c r="G1633" s="24">
        <v>0.5</v>
      </c>
      <c r="H1633" s="24">
        <v>0.5</v>
      </c>
      <c r="I1633" s="24">
        <v>0.5</v>
      </c>
      <c r="J1633" s="24">
        <v>0.5</v>
      </c>
      <c r="K1633"/>
    </row>
    <row r="1634" spans="2:11" ht="18" customHeight="1" x14ac:dyDescent="0.25">
      <c r="B1634" s="38" t="s">
        <v>21</v>
      </c>
      <c r="C1634" s="66">
        <v>2.5</v>
      </c>
      <c r="D1634" s="24">
        <v>2.5</v>
      </c>
      <c r="E1634" s="24">
        <v>2.5</v>
      </c>
      <c r="F1634" s="24">
        <v>2.5</v>
      </c>
      <c r="G1634" s="24">
        <v>2.5</v>
      </c>
      <c r="H1634" s="24">
        <v>2.5</v>
      </c>
      <c r="I1634" s="24">
        <v>2.5</v>
      </c>
      <c r="J1634" s="24">
        <v>2.5</v>
      </c>
      <c r="K1634"/>
    </row>
    <row r="1635" spans="2:11" ht="18" customHeight="1" x14ac:dyDescent="0.25">
      <c r="B1635" s="38" t="s">
        <v>22</v>
      </c>
      <c r="C1635" s="66">
        <v>0.5</v>
      </c>
      <c r="D1635" s="24">
        <v>0.5</v>
      </c>
      <c r="E1635" s="24">
        <v>0.5</v>
      </c>
      <c r="F1635" s="24">
        <v>0.5</v>
      </c>
      <c r="G1635" s="24">
        <v>0.5</v>
      </c>
      <c r="H1635" s="24">
        <v>0.5</v>
      </c>
      <c r="I1635" s="24">
        <v>0.5</v>
      </c>
      <c r="J1635" s="24">
        <v>0.5</v>
      </c>
      <c r="K1635"/>
    </row>
    <row r="1636" spans="2:11" ht="18" customHeight="1" x14ac:dyDescent="0.25">
      <c r="B1636" s="38" t="s">
        <v>23</v>
      </c>
      <c r="C1636" s="66"/>
      <c r="D1636"/>
      <c r="E1636"/>
      <c r="F1636"/>
      <c r="G1636"/>
      <c r="H1636"/>
      <c r="I1636"/>
      <c r="J1636"/>
      <c r="K1636"/>
    </row>
    <row r="1637" spans="2:11" ht="18" customHeight="1" x14ac:dyDescent="0.25">
      <c r="B1637" s="38" t="s">
        <v>24</v>
      </c>
      <c r="C1637" s="66"/>
      <c r="D1637"/>
      <c r="E1637"/>
      <c r="F1637"/>
      <c r="G1637"/>
      <c r="H1637"/>
      <c r="I1637"/>
      <c r="J1637"/>
      <c r="K1637"/>
    </row>
    <row r="1638" spans="2:11" ht="18" customHeight="1" x14ac:dyDescent="0.25">
      <c r="B1638" s="24"/>
      <c r="C1638" s="66"/>
      <c r="D1638"/>
      <c r="E1638"/>
      <c r="F1638"/>
      <c r="G1638"/>
      <c r="H1638"/>
      <c r="I1638"/>
      <c r="J1638"/>
      <c r="K1638"/>
    </row>
    <row r="1639" spans="2:11" ht="18" customHeight="1" x14ac:dyDescent="0.25">
      <c r="B1639" s="19" t="s">
        <v>33</v>
      </c>
      <c r="C1639" s="56"/>
      <c r="D1639"/>
      <c r="E1639"/>
      <c r="F1639"/>
      <c r="G1639"/>
      <c r="H1639"/>
      <c r="I1639"/>
      <c r="J1639"/>
      <c r="K1639"/>
    </row>
    <row r="1640" spans="2:11" ht="18" customHeight="1" x14ac:dyDescent="0.25">
      <c r="C1640" s="56"/>
      <c r="D1640"/>
      <c r="E1640"/>
      <c r="F1640"/>
      <c r="G1640"/>
      <c r="H1640"/>
      <c r="I1640"/>
      <c r="J1640"/>
      <c r="K1640"/>
    </row>
    <row r="1641" spans="2:11" ht="18" customHeight="1" x14ac:dyDescent="0.25">
      <c r="C1641" s="56"/>
      <c r="D1641"/>
      <c r="E1641"/>
      <c r="F1641"/>
      <c r="G1641"/>
      <c r="H1641"/>
      <c r="I1641"/>
      <c r="J1641"/>
      <c r="K1641"/>
    </row>
    <row r="1642" spans="2:11" ht="18" customHeight="1" x14ac:dyDescent="0.25">
      <c r="B1642" s="31" t="s">
        <v>0</v>
      </c>
      <c r="C1642" s="66" t="s">
        <v>297</v>
      </c>
      <c r="D1642"/>
      <c r="E1642"/>
      <c r="F1642"/>
      <c r="G1642"/>
      <c r="H1642"/>
      <c r="I1642"/>
      <c r="J1642"/>
      <c r="K1642"/>
    </row>
    <row r="1643" spans="2:11" ht="18" customHeight="1" x14ac:dyDescent="0.25">
      <c r="B1643" s="36" t="s">
        <v>3</v>
      </c>
      <c r="C1643" s="66">
        <v>2</v>
      </c>
      <c r="D1643"/>
      <c r="E1643"/>
      <c r="F1643"/>
      <c r="G1643"/>
      <c r="H1643"/>
      <c r="I1643"/>
      <c r="J1643"/>
      <c r="K1643"/>
    </row>
    <row r="1644" spans="2:11" ht="18" customHeight="1" x14ac:dyDescent="0.25">
      <c r="B1644" s="36"/>
      <c r="C1644" s="56"/>
      <c r="D1644"/>
      <c r="E1644"/>
      <c r="F1644"/>
      <c r="G1644"/>
      <c r="H1644"/>
      <c r="I1644"/>
      <c r="J1644"/>
      <c r="K1644"/>
    </row>
    <row r="1645" spans="2:11" ht="18" customHeight="1" x14ac:dyDescent="0.25">
      <c r="B1645" s="36" t="s">
        <v>6</v>
      </c>
      <c r="C1645" s="71">
        <v>39735</v>
      </c>
      <c r="D1645"/>
      <c r="E1645"/>
      <c r="F1645"/>
      <c r="G1645"/>
      <c r="H1645"/>
      <c r="I1645"/>
      <c r="J1645"/>
      <c r="K1645"/>
    </row>
    <row r="1646" spans="2:11" ht="18" customHeight="1" x14ac:dyDescent="0.25">
      <c r="B1646" s="37" t="s">
        <v>9</v>
      </c>
      <c r="C1646" s="65">
        <v>40204</v>
      </c>
      <c r="D1646" s="25">
        <v>40806</v>
      </c>
      <c r="E1646" s="25">
        <v>42129</v>
      </c>
      <c r="F1646" s="25">
        <v>42131</v>
      </c>
      <c r="G1646"/>
      <c r="H1646"/>
      <c r="I1646"/>
      <c r="J1646"/>
      <c r="K1646"/>
    </row>
    <row r="1647" spans="2:11" ht="18" customHeight="1" x14ac:dyDescent="0.25">
      <c r="B1647" s="37" t="s">
        <v>8</v>
      </c>
      <c r="C1647" s="66"/>
      <c r="D1647"/>
      <c r="E1647"/>
      <c r="F1647"/>
      <c r="G1647"/>
      <c r="H1647"/>
      <c r="I1647"/>
      <c r="J1647"/>
      <c r="K1647"/>
    </row>
    <row r="1648" spans="2:11" ht="18" customHeight="1" x14ac:dyDescent="0.25">
      <c r="B1648" s="38" t="s">
        <v>11</v>
      </c>
      <c r="C1648" s="66">
        <v>6.41</v>
      </c>
      <c r="D1648" s="4">
        <v>5.99</v>
      </c>
      <c r="E1648" s="4">
        <v>4.97</v>
      </c>
      <c r="F1648" s="4">
        <v>4.83</v>
      </c>
      <c r="G1648"/>
      <c r="H1648"/>
      <c r="I1648"/>
      <c r="J1648"/>
      <c r="K1648"/>
    </row>
    <row r="1649" spans="2:11" ht="18" customHeight="1" x14ac:dyDescent="0.25">
      <c r="B1649" s="38" t="s">
        <v>12</v>
      </c>
      <c r="C1649" s="66" t="s">
        <v>298</v>
      </c>
      <c r="D1649" s="4" t="s">
        <v>299</v>
      </c>
      <c r="E1649" s="4" t="s">
        <v>89</v>
      </c>
      <c r="F1649" s="4" t="s">
        <v>300</v>
      </c>
      <c r="G1649"/>
      <c r="H1649"/>
      <c r="I1649"/>
      <c r="J1649"/>
      <c r="K1649"/>
    </row>
    <row r="1650" spans="2:11" ht="18" customHeight="1" x14ac:dyDescent="0.25">
      <c r="B1650" s="38" t="s">
        <v>13</v>
      </c>
      <c r="C1650" s="66" t="s">
        <v>123</v>
      </c>
      <c r="D1650" s="4" t="s">
        <v>216</v>
      </c>
      <c r="E1650" s="4" t="s">
        <v>301</v>
      </c>
      <c r="F1650" s="4" t="s">
        <v>95</v>
      </c>
      <c r="G1650"/>
      <c r="H1650"/>
      <c r="I1650"/>
      <c r="J1650"/>
      <c r="K1650"/>
    </row>
    <row r="1651" spans="2:11" ht="18" customHeight="1" x14ac:dyDescent="0.25">
      <c r="B1651" s="38" t="s">
        <v>14</v>
      </c>
      <c r="C1651" s="66"/>
      <c r="D1651"/>
      <c r="E1651"/>
      <c r="F1651"/>
      <c r="G1651"/>
      <c r="H1651"/>
      <c r="I1651"/>
      <c r="J1651"/>
      <c r="K1651"/>
    </row>
    <row r="1652" spans="2:11" ht="18" customHeight="1" x14ac:dyDescent="0.25">
      <c r="B1652" s="36" t="s">
        <v>41</v>
      </c>
      <c r="C1652" s="72" t="s">
        <v>42</v>
      </c>
      <c r="D1652" s="30" t="s">
        <v>42</v>
      </c>
      <c r="E1652" s="30" t="s">
        <v>42</v>
      </c>
      <c r="F1652" s="30" t="s">
        <v>42</v>
      </c>
      <c r="G1652"/>
      <c r="H1652"/>
      <c r="I1652"/>
      <c r="J1652"/>
      <c r="K1652"/>
    </row>
    <row r="1653" spans="2:11" ht="18" customHeight="1" x14ac:dyDescent="0.25">
      <c r="B1653" s="37" t="s">
        <v>15</v>
      </c>
      <c r="C1653" s="66"/>
      <c r="D1653"/>
      <c r="E1653"/>
      <c r="F1653"/>
      <c r="G1653"/>
      <c r="H1653"/>
      <c r="I1653"/>
      <c r="J1653"/>
      <c r="K1653"/>
    </row>
    <row r="1654" spans="2:11" ht="18" customHeight="1" x14ac:dyDescent="0.25">
      <c r="B1654" s="38" t="s">
        <v>17</v>
      </c>
      <c r="C1654" s="66" t="s">
        <v>67</v>
      </c>
      <c r="D1654" s="24" t="s">
        <v>67</v>
      </c>
      <c r="E1654" s="4" t="s">
        <v>47</v>
      </c>
      <c r="F1654" s="4" t="s">
        <v>47</v>
      </c>
      <c r="G1654"/>
      <c r="H1654"/>
      <c r="I1654"/>
      <c r="J1654"/>
      <c r="K1654"/>
    </row>
    <row r="1655" spans="2:11" ht="18" customHeight="1" x14ac:dyDescent="0.25">
      <c r="B1655" s="38" t="s">
        <v>18</v>
      </c>
      <c r="C1655" s="66" t="s">
        <v>302</v>
      </c>
      <c r="D1655" s="24" t="s">
        <v>302</v>
      </c>
      <c r="E1655" s="4" t="s">
        <v>69</v>
      </c>
      <c r="F1655" s="4" t="s">
        <v>69</v>
      </c>
      <c r="G1655"/>
      <c r="H1655"/>
      <c r="I1655"/>
      <c r="J1655"/>
      <c r="K1655"/>
    </row>
    <row r="1656" spans="2:11" ht="18" customHeight="1" x14ac:dyDescent="0.25">
      <c r="B1656" s="24"/>
      <c r="C1656" s="66"/>
      <c r="D1656" s="24"/>
      <c r="E1656"/>
      <c r="F1656"/>
      <c r="G1656"/>
      <c r="H1656"/>
      <c r="I1656"/>
      <c r="J1656"/>
      <c r="K1656"/>
    </row>
    <row r="1657" spans="2:11" ht="18" customHeight="1" x14ac:dyDescent="0.25">
      <c r="B1657" s="31" t="s">
        <v>19</v>
      </c>
      <c r="C1657" s="66">
        <v>2.5</v>
      </c>
      <c r="D1657" s="24">
        <v>2.5</v>
      </c>
      <c r="E1657" s="4">
        <v>2</v>
      </c>
      <c r="F1657" s="4">
        <v>2</v>
      </c>
      <c r="G1657"/>
      <c r="H1657"/>
      <c r="I1657"/>
      <c r="J1657"/>
      <c r="K1657"/>
    </row>
    <row r="1658" spans="2:11" ht="18" customHeight="1" x14ac:dyDescent="0.25">
      <c r="B1658" s="38" t="s">
        <v>20</v>
      </c>
      <c r="C1658" s="66">
        <v>0.35</v>
      </c>
      <c r="D1658" s="24">
        <v>0.35</v>
      </c>
      <c r="E1658" s="4">
        <v>0.35</v>
      </c>
      <c r="F1658" s="4">
        <v>0.35</v>
      </c>
      <c r="G1658"/>
      <c r="H1658"/>
      <c r="I1658"/>
      <c r="J1658"/>
      <c r="K1658"/>
    </row>
    <row r="1659" spans="2:11" ht="18" customHeight="1" x14ac:dyDescent="0.25">
      <c r="B1659" s="38" t="s">
        <v>21</v>
      </c>
      <c r="C1659" s="66">
        <v>2.5</v>
      </c>
      <c r="D1659" s="24">
        <v>2.5</v>
      </c>
      <c r="E1659" s="4">
        <v>2.5</v>
      </c>
      <c r="F1659" s="4">
        <v>2.5</v>
      </c>
      <c r="G1659"/>
      <c r="H1659"/>
      <c r="I1659"/>
      <c r="J1659"/>
      <c r="K1659"/>
    </row>
    <row r="1660" spans="2:11" ht="18" customHeight="1" x14ac:dyDescent="0.25">
      <c r="B1660" s="38" t="s">
        <v>22</v>
      </c>
      <c r="C1660" s="66">
        <v>0.35</v>
      </c>
      <c r="D1660" s="24">
        <v>0.35</v>
      </c>
      <c r="E1660" s="4">
        <v>0.35</v>
      </c>
      <c r="F1660" s="4">
        <v>0.35</v>
      </c>
      <c r="G1660"/>
      <c r="H1660"/>
      <c r="I1660"/>
      <c r="J1660"/>
      <c r="K1660"/>
    </row>
    <row r="1661" spans="2:11" ht="18" customHeight="1" x14ac:dyDescent="0.25">
      <c r="B1661" s="38" t="s">
        <v>23</v>
      </c>
      <c r="C1661" s="66"/>
      <c r="D1661"/>
      <c r="E1661"/>
      <c r="F1661"/>
      <c r="G1661"/>
      <c r="H1661"/>
      <c r="I1661"/>
      <c r="J1661"/>
      <c r="K1661"/>
    </row>
    <row r="1662" spans="2:11" ht="18" customHeight="1" x14ac:dyDescent="0.25">
      <c r="B1662" s="38" t="s">
        <v>24</v>
      </c>
      <c r="C1662" s="66"/>
      <c r="D1662"/>
      <c r="E1662"/>
      <c r="F1662"/>
      <c r="G1662"/>
      <c r="H1662"/>
      <c r="I1662"/>
      <c r="J1662"/>
      <c r="K1662"/>
    </row>
    <row r="1663" spans="2:11" ht="18" customHeight="1" x14ac:dyDescent="0.25">
      <c r="B1663" s="24"/>
      <c r="C1663" s="66"/>
      <c r="D1663"/>
      <c r="E1663"/>
      <c r="F1663"/>
      <c r="G1663"/>
      <c r="H1663"/>
      <c r="I1663"/>
      <c r="J1663"/>
      <c r="K1663"/>
    </row>
    <row r="1664" spans="2:11" ht="18" customHeight="1" x14ac:dyDescent="0.25">
      <c r="B1664" s="19" t="s">
        <v>33</v>
      </c>
      <c r="C1664" s="56"/>
      <c r="D1664"/>
      <c r="E1664"/>
      <c r="F1664"/>
      <c r="G1664"/>
      <c r="H1664"/>
      <c r="I1664"/>
      <c r="J1664"/>
      <c r="K1664"/>
    </row>
    <row r="1665" spans="2:11" ht="18" customHeight="1" x14ac:dyDescent="0.25">
      <c r="C1665" s="56"/>
      <c r="D1665"/>
      <c r="E1665"/>
      <c r="F1665"/>
      <c r="G1665"/>
      <c r="H1665"/>
      <c r="I1665"/>
      <c r="J1665"/>
      <c r="K1665"/>
    </row>
    <row r="1666" spans="2:11" ht="18" customHeight="1" x14ac:dyDescent="0.25">
      <c r="C1666" s="56"/>
      <c r="D1666"/>
      <c r="E1666"/>
      <c r="F1666"/>
      <c r="G1666"/>
      <c r="H1666"/>
      <c r="I1666"/>
      <c r="J1666"/>
      <c r="K1666"/>
    </row>
    <row r="1667" spans="2:11" ht="18" customHeight="1" x14ac:dyDescent="0.25">
      <c r="B1667" s="31" t="s">
        <v>0</v>
      </c>
      <c r="C1667" s="66" t="s">
        <v>97</v>
      </c>
      <c r="D1667"/>
      <c r="E1667"/>
      <c r="F1667"/>
      <c r="G1667"/>
      <c r="H1667"/>
      <c r="I1667"/>
      <c r="J1667"/>
      <c r="K1667"/>
    </row>
    <row r="1668" spans="2:11" ht="18" customHeight="1" x14ac:dyDescent="0.25">
      <c r="B1668" s="36" t="s">
        <v>3</v>
      </c>
      <c r="C1668" s="66">
        <v>2</v>
      </c>
      <c r="D1668"/>
      <c r="E1668"/>
      <c r="F1668"/>
      <c r="G1668"/>
      <c r="H1668"/>
      <c r="I1668"/>
      <c r="J1668"/>
      <c r="K1668"/>
    </row>
    <row r="1669" spans="2:11" ht="18" customHeight="1" x14ac:dyDescent="0.25">
      <c r="B1669" s="36"/>
      <c r="C1669" s="56"/>
      <c r="D1669"/>
      <c r="E1669"/>
      <c r="F1669"/>
      <c r="G1669"/>
      <c r="H1669"/>
      <c r="I1669"/>
      <c r="J1669"/>
      <c r="K1669"/>
    </row>
    <row r="1670" spans="2:11" ht="18" customHeight="1" x14ac:dyDescent="0.25">
      <c r="B1670" s="36" t="s">
        <v>6</v>
      </c>
      <c r="C1670" s="71">
        <v>39147</v>
      </c>
      <c r="D1670"/>
      <c r="E1670"/>
      <c r="F1670"/>
      <c r="G1670"/>
      <c r="H1670"/>
      <c r="I1670"/>
      <c r="J1670"/>
      <c r="K1670"/>
    </row>
    <row r="1671" spans="2:11" ht="18" customHeight="1" x14ac:dyDescent="0.25">
      <c r="B1671" s="37" t="s">
        <v>9</v>
      </c>
      <c r="C1671" s="65">
        <v>40197</v>
      </c>
      <c r="D1671" s="25">
        <v>40750</v>
      </c>
      <c r="E1671" s="25">
        <v>41163</v>
      </c>
      <c r="F1671" s="25"/>
      <c r="G1671" s="25"/>
      <c r="H1671"/>
      <c r="I1671"/>
      <c r="J1671"/>
      <c r="K1671"/>
    </row>
    <row r="1672" spans="2:11" ht="18" customHeight="1" x14ac:dyDescent="0.25">
      <c r="B1672" s="37" t="s">
        <v>8</v>
      </c>
      <c r="C1672" s="66"/>
      <c r="D1672"/>
      <c r="E1672"/>
      <c r="F1672"/>
      <c r="G1672"/>
      <c r="H1672"/>
      <c r="I1672"/>
      <c r="J1672"/>
      <c r="K1672"/>
    </row>
    <row r="1673" spans="2:11" ht="18" customHeight="1" x14ac:dyDescent="0.25">
      <c r="B1673" s="38" t="s">
        <v>11</v>
      </c>
      <c r="C1673" s="66">
        <v>5.85</v>
      </c>
      <c r="D1673" s="4">
        <v>5.15</v>
      </c>
      <c r="E1673" s="4">
        <v>5.1100000000000003</v>
      </c>
      <c r="F1673"/>
      <c r="G1673"/>
      <c r="H1673"/>
      <c r="I1673"/>
      <c r="J1673"/>
      <c r="K1673"/>
    </row>
    <row r="1674" spans="2:11" ht="18" customHeight="1" x14ac:dyDescent="0.25">
      <c r="B1674" s="38" t="s">
        <v>12</v>
      </c>
      <c r="C1674" s="66" t="s">
        <v>303</v>
      </c>
      <c r="D1674" s="4" t="s">
        <v>304</v>
      </c>
      <c r="E1674" s="4" t="s">
        <v>305</v>
      </c>
      <c r="F1674"/>
      <c r="G1674"/>
      <c r="H1674"/>
      <c r="I1674"/>
      <c r="J1674"/>
      <c r="K1674"/>
    </row>
    <row r="1675" spans="2:11" ht="18" customHeight="1" x14ac:dyDescent="0.25">
      <c r="B1675" s="38" t="s">
        <v>13</v>
      </c>
      <c r="C1675" s="66" t="s">
        <v>303</v>
      </c>
      <c r="D1675" s="4" t="s">
        <v>306</v>
      </c>
      <c r="E1675" s="4" t="s">
        <v>307</v>
      </c>
      <c r="F1675"/>
      <c r="G1675"/>
      <c r="H1675"/>
      <c r="I1675"/>
      <c r="J1675"/>
      <c r="K1675"/>
    </row>
    <row r="1676" spans="2:11" ht="18" customHeight="1" x14ac:dyDescent="0.25">
      <c r="B1676" s="38" t="s">
        <v>14</v>
      </c>
      <c r="C1676" s="66"/>
      <c r="D1676"/>
      <c r="E1676"/>
      <c r="F1676"/>
      <c r="G1676"/>
      <c r="H1676"/>
      <c r="I1676"/>
      <c r="J1676"/>
      <c r="K1676"/>
    </row>
    <row r="1677" spans="2:11" ht="18" customHeight="1" x14ac:dyDescent="0.25">
      <c r="B1677" s="36" t="s">
        <v>41</v>
      </c>
      <c r="C1677" s="72" t="s">
        <v>42</v>
      </c>
      <c r="D1677" s="30" t="s">
        <v>42</v>
      </c>
      <c r="E1677" s="30" t="s">
        <v>42</v>
      </c>
      <c r="F1677" s="30"/>
      <c r="G1677" s="30"/>
      <c r="H1677"/>
      <c r="I1677"/>
      <c r="J1677"/>
      <c r="K1677"/>
    </row>
    <row r="1678" spans="2:11" ht="18" customHeight="1" x14ac:dyDescent="0.25">
      <c r="B1678" s="37" t="s">
        <v>15</v>
      </c>
      <c r="C1678" s="66"/>
      <c r="D1678"/>
      <c r="E1678"/>
      <c r="F1678"/>
      <c r="G1678"/>
      <c r="H1678"/>
      <c r="I1678"/>
      <c r="J1678"/>
      <c r="K1678"/>
    </row>
    <row r="1679" spans="2:11" ht="18" customHeight="1" x14ac:dyDescent="0.25">
      <c r="B1679" s="38" t="s">
        <v>17</v>
      </c>
      <c r="C1679" s="66" t="s">
        <v>47</v>
      </c>
      <c r="D1679" s="24" t="s">
        <v>47</v>
      </c>
      <c r="E1679" s="24" t="s">
        <v>105</v>
      </c>
      <c r="F1679"/>
      <c r="G1679"/>
      <c r="H1679"/>
      <c r="I1679"/>
      <c r="J1679"/>
      <c r="K1679"/>
    </row>
    <row r="1680" spans="2:11" ht="18" customHeight="1" x14ac:dyDescent="0.25">
      <c r="B1680" s="38" t="s">
        <v>18</v>
      </c>
      <c r="C1680" s="66" t="s">
        <v>302</v>
      </c>
      <c r="D1680" s="24" t="s">
        <v>302</v>
      </c>
      <c r="E1680" s="24" t="s">
        <v>106</v>
      </c>
      <c r="F1680"/>
      <c r="G1680"/>
      <c r="H1680"/>
      <c r="I1680"/>
      <c r="J1680"/>
      <c r="K1680"/>
    </row>
    <row r="1681" spans="2:11" ht="18" customHeight="1" x14ac:dyDescent="0.25">
      <c r="B1681" s="24"/>
      <c r="C1681" s="66"/>
      <c r="D1681" s="24"/>
      <c r="E1681" s="24"/>
      <c r="F1681"/>
      <c r="G1681"/>
      <c r="H1681"/>
      <c r="I1681"/>
      <c r="J1681"/>
      <c r="K1681"/>
    </row>
    <row r="1682" spans="2:11" ht="18" customHeight="1" x14ac:dyDescent="0.25">
      <c r="B1682" s="31" t="s">
        <v>19</v>
      </c>
      <c r="C1682" s="66">
        <v>2.5</v>
      </c>
      <c r="D1682" s="24">
        <v>2.5</v>
      </c>
      <c r="E1682" s="24">
        <v>2.5</v>
      </c>
      <c r="F1682"/>
      <c r="G1682"/>
      <c r="H1682"/>
      <c r="I1682"/>
      <c r="J1682"/>
      <c r="K1682"/>
    </row>
    <row r="1683" spans="2:11" ht="18" customHeight="1" x14ac:dyDescent="0.25">
      <c r="B1683" s="38" t="s">
        <v>20</v>
      </c>
      <c r="C1683" s="66">
        <v>0.5</v>
      </c>
      <c r="D1683" s="24">
        <v>0.5</v>
      </c>
      <c r="E1683" s="24">
        <v>0.5</v>
      </c>
      <c r="F1683"/>
      <c r="G1683"/>
      <c r="H1683"/>
      <c r="I1683"/>
      <c r="J1683"/>
      <c r="K1683"/>
    </row>
    <row r="1684" spans="2:11" ht="18" customHeight="1" x14ac:dyDescent="0.25">
      <c r="B1684" s="38" t="s">
        <v>21</v>
      </c>
      <c r="C1684" s="66">
        <v>2.5</v>
      </c>
      <c r="D1684" s="24">
        <v>2.5</v>
      </c>
      <c r="E1684" s="24">
        <v>2.5</v>
      </c>
      <c r="F1684"/>
      <c r="G1684"/>
      <c r="H1684"/>
      <c r="I1684"/>
      <c r="J1684"/>
      <c r="K1684"/>
    </row>
    <row r="1685" spans="2:11" ht="18" customHeight="1" x14ac:dyDescent="0.25">
      <c r="B1685" s="38" t="s">
        <v>22</v>
      </c>
      <c r="C1685" s="66">
        <v>0.5</v>
      </c>
      <c r="D1685" s="24">
        <v>0.5</v>
      </c>
      <c r="E1685" s="24">
        <v>0.5</v>
      </c>
      <c r="F1685"/>
      <c r="G1685"/>
      <c r="H1685"/>
      <c r="I1685"/>
      <c r="J1685"/>
      <c r="K1685"/>
    </row>
    <row r="1686" spans="2:11" ht="18" customHeight="1" x14ac:dyDescent="0.25">
      <c r="B1686" s="38" t="s">
        <v>23</v>
      </c>
      <c r="C1686" s="66"/>
      <c r="D1686"/>
      <c r="E1686"/>
      <c r="F1686"/>
      <c r="G1686"/>
      <c r="H1686"/>
      <c r="I1686"/>
      <c r="J1686"/>
      <c r="K1686"/>
    </row>
    <row r="1687" spans="2:11" ht="18" customHeight="1" x14ac:dyDescent="0.25">
      <c r="B1687" s="38" t="s">
        <v>24</v>
      </c>
      <c r="C1687" s="66"/>
      <c r="D1687"/>
      <c r="E1687"/>
      <c r="F1687"/>
      <c r="G1687"/>
      <c r="H1687"/>
      <c r="I1687"/>
      <c r="J1687"/>
      <c r="K1687"/>
    </row>
    <row r="1688" spans="2:11" ht="18" customHeight="1" x14ac:dyDescent="0.25">
      <c r="B1688" s="24"/>
      <c r="C1688" s="66"/>
      <c r="D1688"/>
      <c r="E1688"/>
      <c r="F1688"/>
      <c r="G1688"/>
      <c r="H1688"/>
      <c r="I1688"/>
      <c r="J1688"/>
      <c r="K1688"/>
    </row>
    <row r="1689" spans="2:11" ht="18" customHeight="1" x14ac:dyDescent="0.25">
      <c r="B1689" s="19" t="s">
        <v>33</v>
      </c>
      <c r="C1689" s="56"/>
      <c r="D1689"/>
      <c r="E1689"/>
      <c r="F1689"/>
      <c r="G1689"/>
      <c r="H1689"/>
      <c r="I1689"/>
      <c r="J1689"/>
      <c r="K1689"/>
    </row>
    <row r="1690" spans="2:11" ht="18" customHeight="1" x14ac:dyDescent="0.25">
      <c r="C1690" s="56"/>
      <c r="D1690"/>
      <c r="E1690"/>
      <c r="F1690"/>
      <c r="G1690"/>
      <c r="H1690"/>
      <c r="I1690"/>
      <c r="J1690"/>
      <c r="K1690"/>
    </row>
    <row r="1691" spans="2:11" ht="18" customHeight="1" x14ac:dyDescent="0.25">
      <c r="C1691" s="56"/>
      <c r="D1691"/>
      <c r="E1691"/>
      <c r="F1691"/>
      <c r="G1691"/>
      <c r="H1691"/>
      <c r="I1691"/>
      <c r="J1691"/>
      <c r="K1691"/>
    </row>
    <row r="1692" spans="2:11" ht="18" customHeight="1" x14ac:dyDescent="0.25">
      <c r="B1692" s="31" t="s">
        <v>0</v>
      </c>
      <c r="C1692" s="66" t="s">
        <v>107</v>
      </c>
      <c r="D1692"/>
      <c r="E1692"/>
      <c r="F1692"/>
      <c r="G1692"/>
      <c r="H1692"/>
      <c r="I1692"/>
      <c r="J1692"/>
      <c r="K1692"/>
    </row>
    <row r="1693" spans="2:11" ht="18" customHeight="1" x14ac:dyDescent="0.25">
      <c r="B1693" s="36" t="s">
        <v>3</v>
      </c>
      <c r="C1693" s="66">
        <v>2</v>
      </c>
      <c r="D1693"/>
      <c r="E1693"/>
      <c r="F1693"/>
      <c r="G1693"/>
      <c r="H1693"/>
      <c r="I1693"/>
      <c r="J1693"/>
      <c r="K1693"/>
    </row>
    <row r="1694" spans="2:11" ht="18" customHeight="1" x14ac:dyDescent="0.25">
      <c r="B1694" s="36"/>
      <c r="C1694" s="56"/>
      <c r="D1694"/>
      <c r="E1694"/>
      <c r="F1694"/>
      <c r="G1694"/>
      <c r="H1694"/>
      <c r="I1694"/>
      <c r="J1694"/>
      <c r="K1694"/>
    </row>
    <row r="1695" spans="2:11" ht="18" customHeight="1" x14ac:dyDescent="0.25">
      <c r="B1695" s="36" t="s">
        <v>6</v>
      </c>
      <c r="C1695" s="71">
        <v>38832</v>
      </c>
      <c r="D1695"/>
      <c r="E1695"/>
      <c r="F1695"/>
      <c r="G1695"/>
      <c r="H1695"/>
      <c r="I1695"/>
      <c r="J1695"/>
      <c r="K1695"/>
    </row>
    <row r="1696" spans="2:11" ht="18" customHeight="1" x14ac:dyDescent="0.25">
      <c r="B1696" s="37" t="s">
        <v>9</v>
      </c>
      <c r="C1696" s="65">
        <v>40197</v>
      </c>
      <c r="D1696" s="25">
        <v>40652</v>
      </c>
      <c r="E1696" s="25">
        <v>41463</v>
      </c>
      <c r="F1696"/>
      <c r="G1696"/>
      <c r="H1696"/>
      <c r="I1696"/>
      <c r="J1696"/>
      <c r="K1696"/>
    </row>
    <row r="1697" spans="2:11" ht="18" customHeight="1" x14ac:dyDescent="0.25">
      <c r="B1697" s="37" t="s">
        <v>8</v>
      </c>
      <c r="C1697" s="66"/>
      <c r="D1697"/>
      <c r="E1697"/>
      <c r="F1697"/>
      <c r="G1697"/>
      <c r="H1697"/>
      <c r="I1697"/>
      <c r="J1697"/>
      <c r="K1697"/>
    </row>
    <row r="1698" spans="2:11" ht="18" customHeight="1" x14ac:dyDescent="0.25">
      <c r="B1698" s="38" t="s">
        <v>11</v>
      </c>
      <c r="C1698" s="57">
        <v>5.63</v>
      </c>
      <c r="D1698" s="4">
        <v>5.18</v>
      </c>
      <c r="E1698" s="4">
        <v>4.84</v>
      </c>
      <c r="F1698"/>
      <c r="G1698"/>
      <c r="H1698"/>
      <c r="I1698"/>
      <c r="J1698"/>
      <c r="K1698"/>
    </row>
    <row r="1699" spans="2:11" ht="18" customHeight="1" x14ac:dyDescent="0.25">
      <c r="B1699" s="38" t="s">
        <v>12</v>
      </c>
      <c r="C1699" s="57">
        <v>58</v>
      </c>
      <c r="D1699" s="4">
        <v>63</v>
      </c>
      <c r="E1699" s="4">
        <v>60</v>
      </c>
      <c r="F1699"/>
      <c r="G1699"/>
      <c r="H1699"/>
      <c r="I1699"/>
      <c r="J1699"/>
      <c r="K1699"/>
    </row>
    <row r="1700" spans="2:11" ht="18" customHeight="1" x14ac:dyDescent="0.25">
      <c r="B1700" s="38" t="s">
        <v>13</v>
      </c>
      <c r="C1700" s="57">
        <v>0</v>
      </c>
      <c r="D1700" s="4">
        <v>0</v>
      </c>
      <c r="E1700" s="4">
        <v>0</v>
      </c>
      <c r="F1700"/>
      <c r="G1700"/>
      <c r="H1700"/>
      <c r="I1700"/>
      <c r="J1700"/>
      <c r="K1700"/>
    </row>
    <row r="1701" spans="2:11" ht="18" customHeight="1" x14ac:dyDescent="0.25">
      <c r="B1701" s="38" t="s">
        <v>14</v>
      </c>
      <c r="C1701" s="56"/>
      <c r="D1701"/>
      <c r="E1701"/>
      <c r="F1701"/>
      <c r="G1701"/>
      <c r="H1701"/>
      <c r="I1701"/>
      <c r="J1701"/>
      <c r="K1701"/>
    </row>
    <row r="1702" spans="2:11" ht="18" customHeight="1" x14ac:dyDescent="0.25">
      <c r="B1702" s="36" t="s">
        <v>41</v>
      </c>
      <c r="C1702" s="72" t="s">
        <v>42</v>
      </c>
      <c r="D1702" s="30" t="s">
        <v>42</v>
      </c>
      <c r="E1702" s="4" t="s">
        <v>42</v>
      </c>
      <c r="F1702"/>
      <c r="G1702"/>
      <c r="H1702"/>
      <c r="I1702"/>
      <c r="J1702"/>
      <c r="K1702"/>
    </row>
    <row r="1703" spans="2:11" ht="18" customHeight="1" x14ac:dyDescent="0.25">
      <c r="B1703" s="37" t="s">
        <v>15</v>
      </c>
      <c r="C1703" s="56"/>
      <c r="D1703"/>
      <c r="E1703"/>
      <c r="F1703"/>
      <c r="G1703"/>
      <c r="H1703"/>
      <c r="I1703"/>
      <c r="J1703"/>
      <c r="K1703"/>
    </row>
    <row r="1704" spans="2:11" ht="18" customHeight="1" x14ac:dyDescent="0.25">
      <c r="B1704" s="38" t="s">
        <v>17</v>
      </c>
      <c r="C1704" s="57" t="s">
        <v>47</v>
      </c>
      <c r="D1704" s="4" t="s">
        <v>47</v>
      </c>
      <c r="E1704" s="4" t="s">
        <v>81</v>
      </c>
      <c r="F1704"/>
      <c r="G1704"/>
      <c r="H1704"/>
      <c r="I1704"/>
      <c r="J1704"/>
      <c r="K1704"/>
    </row>
    <row r="1705" spans="2:11" ht="18" customHeight="1" x14ac:dyDescent="0.25">
      <c r="B1705" s="38" t="s">
        <v>18</v>
      </c>
      <c r="C1705" s="57" t="s">
        <v>285</v>
      </c>
      <c r="D1705" s="4" t="s">
        <v>285</v>
      </c>
      <c r="E1705" s="4" t="s">
        <v>69</v>
      </c>
      <c r="F1705"/>
      <c r="G1705"/>
      <c r="H1705"/>
      <c r="I1705"/>
      <c r="J1705"/>
      <c r="K1705"/>
    </row>
    <row r="1706" spans="2:11" ht="18" customHeight="1" x14ac:dyDescent="0.25">
      <c r="B1706" s="24"/>
      <c r="C1706" s="56"/>
      <c r="D1706"/>
      <c r="E1706"/>
      <c r="F1706"/>
      <c r="G1706"/>
      <c r="H1706"/>
      <c r="I1706"/>
      <c r="J1706"/>
      <c r="K1706"/>
    </row>
    <row r="1707" spans="2:11" ht="18" customHeight="1" x14ac:dyDescent="0.25">
      <c r="B1707" s="31" t="s">
        <v>19</v>
      </c>
      <c r="C1707" s="57">
        <v>2.5</v>
      </c>
      <c r="D1707" s="4">
        <v>2.5</v>
      </c>
      <c r="E1707" s="4">
        <v>2</v>
      </c>
      <c r="F1707"/>
      <c r="G1707"/>
      <c r="H1707"/>
      <c r="I1707"/>
      <c r="J1707"/>
      <c r="K1707"/>
    </row>
    <row r="1708" spans="2:11" ht="18" customHeight="1" x14ac:dyDescent="0.25">
      <c r="B1708" s="38" t="s">
        <v>20</v>
      </c>
      <c r="C1708" s="57">
        <v>0.5</v>
      </c>
      <c r="D1708" s="4">
        <v>0.5</v>
      </c>
      <c r="E1708" s="4">
        <v>0.5</v>
      </c>
      <c r="F1708"/>
      <c r="G1708"/>
      <c r="H1708"/>
      <c r="I1708"/>
      <c r="J1708"/>
      <c r="K1708"/>
    </row>
    <row r="1709" spans="2:11" ht="18" customHeight="1" x14ac:dyDescent="0.25">
      <c r="B1709" s="38" t="s">
        <v>21</v>
      </c>
      <c r="C1709" s="57">
        <v>2.5</v>
      </c>
      <c r="D1709" s="4">
        <v>2.5</v>
      </c>
      <c r="E1709" s="4">
        <v>2</v>
      </c>
      <c r="F1709"/>
      <c r="G1709"/>
      <c r="H1709"/>
      <c r="I1709"/>
      <c r="J1709"/>
      <c r="K1709"/>
    </row>
    <row r="1710" spans="2:11" ht="18" customHeight="1" x14ac:dyDescent="0.25">
      <c r="B1710" s="38" t="s">
        <v>22</v>
      </c>
      <c r="C1710" s="57">
        <v>0.5</v>
      </c>
      <c r="D1710" s="4">
        <v>0.5</v>
      </c>
      <c r="E1710" s="4">
        <v>0.5</v>
      </c>
      <c r="F1710"/>
      <c r="G1710"/>
      <c r="H1710"/>
      <c r="I1710"/>
      <c r="J1710"/>
      <c r="K1710"/>
    </row>
    <row r="1711" spans="2:11" ht="18" customHeight="1" x14ac:dyDescent="0.25">
      <c r="B1711" s="38" t="s">
        <v>23</v>
      </c>
      <c r="C1711" s="66"/>
      <c r="D1711"/>
      <c r="E1711"/>
      <c r="F1711"/>
      <c r="G1711"/>
      <c r="H1711"/>
      <c r="I1711"/>
      <c r="J1711"/>
      <c r="K1711"/>
    </row>
    <row r="1712" spans="2:11" ht="18" customHeight="1" x14ac:dyDescent="0.25">
      <c r="B1712" s="38" t="s">
        <v>24</v>
      </c>
      <c r="C1712" s="66"/>
      <c r="D1712"/>
      <c r="E1712"/>
      <c r="F1712"/>
      <c r="G1712"/>
      <c r="H1712"/>
      <c r="I1712"/>
      <c r="J1712"/>
      <c r="K1712"/>
    </row>
    <row r="1713" spans="2:11" ht="18" customHeight="1" x14ac:dyDescent="0.25">
      <c r="B1713" s="24"/>
      <c r="C1713" s="66"/>
      <c r="D1713"/>
      <c r="E1713"/>
      <c r="F1713"/>
      <c r="G1713"/>
      <c r="H1713"/>
      <c r="I1713"/>
      <c r="J1713"/>
      <c r="K1713"/>
    </row>
    <row r="1714" spans="2:11" ht="18" customHeight="1" x14ac:dyDescent="0.25">
      <c r="B1714" s="19" t="s">
        <v>33</v>
      </c>
      <c r="C1714" s="56"/>
      <c r="D1714"/>
      <c r="E1714"/>
      <c r="F1714"/>
      <c r="G1714"/>
      <c r="H1714"/>
      <c r="I1714"/>
      <c r="J1714"/>
      <c r="K1714"/>
    </row>
    <row r="1715" spans="2:11" ht="18" customHeight="1" x14ac:dyDescent="0.25">
      <c r="C1715" s="56"/>
      <c r="D1715"/>
      <c r="E1715"/>
      <c r="F1715"/>
      <c r="G1715"/>
      <c r="H1715"/>
      <c r="I1715"/>
      <c r="J1715"/>
      <c r="K1715"/>
    </row>
    <row r="1716" spans="2:11" ht="18" customHeight="1" x14ac:dyDescent="0.25">
      <c r="C1716" s="56"/>
      <c r="D1716"/>
      <c r="E1716"/>
      <c r="F1716"/>
      <c r="G1716"/>
      <c r="H1716"/>
      <c r="I1716"/>
      <c r="J1716"/>
      <c r="K1716"/>
    </row>
    <row r="1717" spans="2:11" ht="18" customHeight="1" x14ac:dyDescent="0.25">
      <c r="B1717" s="31" t="s">
        <v>0</v>
      </c>
      <c r="C1717" s="66" t="s">
        <v>108</v>
      </c>
      <c r="D1717"/>
      <c r="E1717"/>
      <c r="F1717"/>
      <c r="G1717"/>
      <c r="H1717"/>
      <c r="I1717"/>
      <c r="J1717"/>
      <c r="K1717"/>
    </row>
    <row r="1718" spans="2:11" ht="18" customHeight="1" x14ac:dyDescent="0.25">
      <c r="B1718" s="36" t="s">
        <v>3</v>
      </c>
      <c r="C1718" s="66">
        <v>2</v>
      </c>
      <c r="D1718"/>
      <c r="E1718"/>
      <c r="F1718"/>
      <c r="G1718"/>
      <c r="H1718"/>
      <c r="I1718"/>
      <c r="J1718"/>
      <c r="K1718"/>
    </row>
    <row r="1719" spans="2:11" ht="18" customHeight="1" x14ac:dyDescent="0.25">
      <c r="B1719" s="36"/>
      <c r="C1719" s="56"/>
      <c r="D1719"/>
      <c r="E1719"/>
      <c r="F1719"/>
      <c r="G1719"/>
      <c r="H1719"/>
      <c r="I1719"/>
      <c r="J1719"/>
      <c r="K1719"/>
    </row>
    <row r="1720" spans="2:11" ht="18" customHeight="1" x14ac:dyDescent="0.25">
      <c r="B1720" s="36" t="s">
        <v>6</v>
      </c>
      <c r="C1720" s="71">
        <v>39437</v>
      </c>
      <c r="D1720"/>
      <c r="E1720"/>
      <c r="F1720"/>
      <c r="G1720"/>
      <c r="H1720"/>
      <c r="I1720"/>
      <c r="J1720"/>
      <c r="K1720"/>
    </row>
    <row r="1721" spans="2:11" ht="18" customHeight="1" x14ac:dyDescent="0.25">
      <c r="B1721" s="37" t="s">
        <v>9</v>
      </c>
      <c r="C1721" s="65">
        <v>40231</v>
      </c>
      <c r="D1721" s="25">
        <v>42165</v>
      </c>
      <c r="E1721"/>
      <c r="F1721"/>
      <c r="G1721"/>
      <c r="H1721"/>
      <c r="I1721"/>
      <c r="J1721"/>
      <c r="K1721"/>
    </row>
    <row r="1722" spans="2:11" ht="18" customHeight="1" x14ac:dyDescent="0.25">
      <c r="B1722" s="37" t="s">
        <v>8</v>
      </c>
      <c r="C1722" s="66"/>
      <c r="D1722"/>
      <c r="E1722"/>
      <c r="F1722"/>
      <c r="G1722"/>
      <c r="H1722"/>
      <c r="I1722"/>
      <c r="J1722"/>
      <c r="K1722"/>
    </row>
    <row r="1723" spans="2:11" ht="18" customHeight="1" x14ac:dyDescent="0.25">
      <c r="B1723" s="38" t="s">
        <v>11</v>
      </c>
      <c r="C1723" s="57">
        <v>6.36</v>
      </c>
      <c r="D1723" s="4">
        <v>5.01</v>
      </c>
      <c r="E1723"/>
      <c r="F1723"/>
      <c r="G1723"/>
      <c r="H1723"/>
      <c r="I1723"/>
      <c r="J1723"/>
      <c r="K1723"/>
    </row>
    <row r="1724" spans="2:11" ht="18" customHeight="1" x14ac:dyDescent="0.25">
      <c r="B1724" s="38" t="s">
        <v>12</v>
      </c>
      <c r="C1724" s="57">
        <v>15</v>
      </c>
      <c r="D1724" s="4">
        <v>4</v>
      </c>
      <c r="E1724"/>
      <c r="F1724"/>
      <c r="G1724"/>
      <c r="H1724"/>
      <c r="I1724"/>
      <c r="J1724"/>
      <c r="K1724"/>
    </row>
    <row r="1725" spans="2:11" ht="18" customHeight="1" x14ac:dyDescent="0.25">
      <c r="B1725" s="38" t="s">
        <v>13</v>
      </c>
      <c r="C1725" s="57">
        <v>0</v>
      </c>
      <c r="D1725" s="4">
        <v>0</v>
      </c>
      <c r="E1725"/>
      <c r="F1725"/>
      <c r="G1725"/>
      <c r="H1725"/>
      <c r="I1725"/>
      <c r="J1725"/>
      <c r="K1725"/>
    </row>
    <row r="1726" spans="2:11" ht="18" customHeight="1" x14ac:dyDescent="0.25">
      <c r="B1726" s="38" t="s">
        <v>14</v>
      </c>
      <c r="C1726" s="56"/>
      <c r="D1726"/>
      <c r="E1726"/>
      <c r="F1726"/>
      <c r="G1726"/>
      <c r="H1726"/>
      <c r="I1726"/>
      <c r="J1726"/>
      <c r="K1726"/>
    </row>
    <row r="1727" spans="2:11" ht="18" customHeight="1" x14ac:dyDescent="0.25">
      <c r="B1727" s="36" t="s">
        <v>41</v>
      </c>
      <c r="C1727" s="72" t="s">
        <v>45</v>
      </c>
      <c r="D1727" s="30" t="s">
        <v>42</v>
      </c>
      <c r="E1727"/>
      <c r="F1727"/>
      <c r="G1727"/>
      <c r="H1727"/>
      <c r="I1727"/>
      <c r="J1727"/>
      <c r="K1727"/>
    </row>
    <row r="1728" spans="2:11" ht="18" customHeight="1" x14ac:dyDescent="0.25">
      <c r="B1728" s="37" t="s">
        <v>15</v>
      </c>
      <c r="C1728" s="56"/>
      <c r="D1728"/>
      <c r="E1728"/>
      <c r="F1728"/>
      <c r="G1728"/>
      <c r="H1728"/>
      <c r="I1728"/>
      <c r="J1728"/>
      <c r="K1728"/>
    </row>
    <row r="1729" spans="2:11" ht="18" customHeight="1" x14ac:dyDescent="0.25">
      <c r="B1729" s="38" t="s">
        <v>17</v>
      </c>
      <c r="C1729" s="57" t="s">
        <v>47</v>
      </c>
      <c r="D1729" s="4" t="s">
        <v>67</v>
      </c>
      <c r="E1729"/>
      <c r="F1729"/>
      <c r="G1729"/>
      <c r="H1729"/>
      <c r="I1729"/>
      <c r="J1729"/>
      <c r="K1729"/>
    </row>
    <row r="1730" spans="2:11" ht="18" customHeight="1" x14ac:dyDescent="0.25">
      <c r="B1730" s="38" t="s">
        <v>18</v>
      </c>
      <c r="C1730" s="57" t="s">
        <v>285</v>
      </c>
      <c r="D1730" s="4" t="s">
        <v>285</v>
      </c>
      <c r="E1730"/>
      <c r="F1730"/>
      <c r="G1730"/>
      <c r="H1730"/>
      <c r="I1730"/>
      <c r="J1730"/>
      <c r="K1730"/>
    </row>
    <row r="1731" spans="2:11" ht="18" customHeight="1" x14ac:dyDescent="0.25">
      <c r="B1731" s="24"/>
      <c r="C1731" s="56"/>
      <c r="D1731"/>
      <c r="E1731"/>
      <c r="F1731"/>
      <c r="G1731"/>
      <c r="H1731"/>
      <c r="I1731"/>
      <c r="J1731"/>
      <c r="K1731"/>
    </row>
    <row r="1732" spans="2:11" ht="18" customHeight="1" x14ac:dyDescent="0.25">
      <c r="B1732" s="31" t="s">
        <v>19</v>
      </c>
      <c r="C1732" s="57">
        <v>2.5</v>
      </c>
      <c r="D1732" s="4">
        <v>2</v>
      </c>
      <c r="E1732"/>
      <c r="F1732"/>
      <c r="G1732"/>
      <c r="H1732"/>
      <c r="I1732"/>
      <c r="J1732"/>
      <c r="K1732"/>
    </row>
    <row r="1733" spans="2:11" ht="18" customHeight="1" x14ac:dyDescent="0.25">
      <c r="B1733" s="38" t="s">
        <v>20</v>
      </c>
      <c r="C1733" s="57">
        <v>0.5</v>
      </c>
      <c r="D1733" s="4">
        <v>0.5</v>
      </c>
      <c r="E1733"/>
      <c r="F1733"/>
      <c r="G1733"/>
      <c r="H1733"/>
      <c r="I1733"/>
      <c r="J1733"/>
      <c r="K1733"/>
    </row>
    <row r="1734" spans="2:11" ht="18" customHeight="1" x14ac:dyDescent="0.25">
      <c r="B1734" s="38" t="s">
        <v>21</v>
      </c>
      <c r="C1734" s="57">
        <v>4.5</v>
      </c>
      <c r="D1734" s="4">
        <v>2.5</v>
      </c>
      <c r="E1734"/>
      <c r="F1734"/>
      <c r="G1734"/>
      <c r="H1734"/>
      <c r="I1734"/>
      <c r="J1734"/>
      <c r="K1734"/>
    </row>
    <row r="1735" spans="2:11" ht="18" customHeight="1" x14ac:dyDescent="0.25">
      <c r="B1735" s="38" t="s">
        <v>22</v>
      </c>
      <c r="C1735" s="57">
        <v>0.5</v>
      </c>
      <c r="D1735" s="4">
        <v>0.5</v>
      </c>
      <c r="E1735"/>
      <c r="F1735"/>
      <c r="G1735"/>
      <c r="H1735"/>
      <c r="I1735"/>
      <c r="J1735"/>
      <c r="K1735"/>
    </row>
    <row r="1736" spans="2:11" ht="18" customHeight="1" x14ac:dyDescent="0.25">
      <c r="B1736" s="38" t="s">
        <v>23</v>
      </c>
      <c r="C1736" s="66"/>
      <c r="D1736"/>
      <c r="E1736"/>
      <c r="F1736"/>
      <c r="G1736"/>
      <c r="H1736"/>
      <c r="I1736"/>
      <c r="J1736"/>
      <c r="K1736"/>
    </row>
    <row r="1737" spans="2:11" ht="18" customHeight="1" x14ac:dyDescent="0.25">
      <c r="B1737" s="38" t="s">
        <v>24</v>
      </c>
      <c r="C1737" s="66"/>
      <c r="D1737"/>
      <c r="E1737"/>
      <c r="F1737"/>
      <c r="G1737"/>
      <c r="H1737"/>
      <c r="I1737"/>
      <c r="J1737"/>
      <c r="K1737"/>
    </row>
    <row r="1738" spans="2:11" ht="18" customHeight="1" x14ac:dyDescent="0.25">
      <c r="B1738" s="24"/>
      <c r="C1738" s="66"/>
      <c r="D1738"/>
      <c r="E1738"/>
      <c r="F1738"/>
      <c r="G1738"/>
      <c r="H1738"/>
      <c r="I1738"/>
      <c r="J1738"/>
      <c r="K1738"/>
    </row>
    <row r="1739" spans="2:11" ht="18" customHeight="1" x14ac:dyDescent="0.25">
      <c r="B1739" s="19" t="s">
        <v>33</v>
      </c>
      <c r="C1739" s="56"/>
      <c r="D1739"/>
      <c r="E1739"/>
      <c r="F1739"/>
      <c r="G1739"/>
      <c r="H1739"/>
      <c r="I1739"/>
      <c r="J1739"/>
      <c r="K1739"/>
    </row>
    <row r="1740" spans="2:11" ht="18" customHeight="1" x14ac:dyDescent="0.25">
      <c r="C1740" s="56"/>
      <c r="D1740"/>
      <c r="E1740"/>
      <c r="F1740"/>
      <c r="G1740"/>
      <c r="H1740"/>
      <c r="I1740"/>
      <c r="J1740"/>
      <c r="K1740"/>
    </row>
    <row r="1741" spans="2:11" ht="18" customHeight="1" x14ac:dyDescent="0.25">
      <c r="C1741" s="56"/>
      <c r="D1741"/>
      <c r="E1741"/>
      <c r="F1741"/>
      <c r="G1741"/>
      <c r="H1741"/>
      <c r="I1741"/>
      <c r="J1741"/>
      <c r="K1741"/>
    </row>
    <row r="1742" spans="2:11" ht="18" customHeight="1" x14ac:dyDescent="0.25">
      <c r="B1742" s="31" t="s">
        <v>0</v>
      </c>
      <c r="C1742" s="66" t="s">
        <v>112</v>
      </c>
      <c r="D1742"/>
      <c r="E1742"/>
      <c r="F1742"/>
      <c r="G1742"/>
      <c r="H1742"/>
      <c r="I1742"/>
      <c r="J1742"/>
      <c r="K1742"/>
    </row>
    <row r="1743" spans="2:11" ht="18" customHeight="1" x14ac:dyDescent="0.25">
      <c r="B1743" s="36" t="s">
        <v>3</v>
      </c>
      <c r="C1743" s="66">
        <v>2</v>
      </c>
      <c r="D1743"/>
      <c r="E1743"/>
      <c r="F1743"/>
      <c r="G1743"/>
      <c r="H1743"/>
      <c r="I1743"/>
      <c r="J1743"/>
      <c r="K1743"/>
    </row>
    <row r="1744" spans="2:11" ht="18" customHeight="1" x14ac:dyDescent="0.25">
      <c r="B1744" s="36"/>
      <c r="C1744" s="56"/>
      <c r="D1744"/>
      <c r="E1744"/>
      <c r="F1744"/>
      <c r="G1744"/>
      <c r="H1744"/>
      <c r="I1744"/>
      <c r="J1744"/>
      <c r="K1744"/>
    </row>
    <row r="1745" spans="2:11" ht="18" customHeight="1" x14ac:dyDescent="0.25">
      <c r="B1745" s="36" t="s">
        <v>6</v>
      </c>
      <c r="C1745" s="71">
        <v>39948</v>
      </c>
      <c r="D1745"/>
      <c r="E1745"/>
      <c r="F1745"/>
      <c r="G1745"/>
      <c r="H1745"/>
      <c r="I1745"/>
      <c r="J1745"/>
      <c r="K1745"/>
    </row>
    <row r="1746" spans="2:11" ht="18" customHeight="1" x14ac:dyDescent="0.25">
      <c r="B1746" s="37" t="s">
        <v>9</v>
      </c>
      <c r="C1746" s="65">
        <v>40099</v>
      </c>
      <c r="D1746" s="25">
        <v>40281</v>
      </c>
      <c r="E1746" s="25">
        <v>40484</v>
      </c>
      <c r="F1746"/>
      <c r="G1746"/>
      <c r="H1746"/>
      <c r="I1746"/>
      <c r="J1746"/>
      <c r="K1746"/>
    </row>
    <row r="1747" spans="2:11" ht="18" customHeight="1" x14ac:dyDescent="0.25">
      <c r="B1747" s="37" t="s">
        <v>8</v>
      </c>
      <c r="C1747" s="66"/>
      <c r="D1747"/>
      <c r="E1747"/>
      <c r="F1747"/>
      <c r="G1747"/>
      <c r="H1747"/>
      <c r="I1747"/>
      <c r="J1747"/>
      <c r="K1747"/>
    </row>
    <row r="1748" spans="2:11" ht="18" customHeight="1" x14ac:dyDescent="0.25">
      <c r="B1748" s="38" t="s">
        <v>11</v>
      </c>
      <c r="C1748" s="57">
        <v>6.48</v>
      </c>
      <c r="D1748" s="4">
        <v>6.46</v>
      </c>
      <c r="E1748" s="4">
        <v>6.41</v>
      </c>
      <c r="F1748"/>
      <c r="G1748"/>
      <c r="H1748"/>
      <c r="I1748"/>
      <c r="J1748"/>
      <c r="K1748"/>
    </row>
    <row r="1749" spans="2:11" ht="18" customHeight="1" x14ac:dyDescent="0.25">
      <c r="B1749" s="38" t="s">
        <v>12</v>
      </c>
      <c r="C1749" s="57">
        <v>23</v>
      </c>
      <c r="D1749" s="4">
        <v>20</v>
      </c>
      <c r="E1749" s="4">
        <v>29</v>
      </c>
      <c r="F1749"/>
      <c r="G1749"/>
      <c r="H1749"/>
      <c r="I1749"/>
      <c r="J1749"/>
      <c r="K1749"/>
    </row>
    <row r="1750" spans="2:11" ht="18" customHeight="1" x14ac:dyDescent="0.25">
      <c r="B1750" s="38" t="s">
        <v>13</v>
      </c>
      <c r="C1750" s="57">
        <v>2</v>
      </c>
      <c r="D1750" s="4">
        <v>5</v>
      </c>
      <c r="E1750" s="4">
        <v>34</v>
      </c>
      <c r="F1750"/>
      <c r="G1750"/>
      <c r="H1750"/>
      <c r="I1750"/>
      <c r="J1750"/>
      <c r="K1750"/>
    </row>
    <row r="1751" spans="2:11" ht="18" customHeight="1" x14ac:dyDescent="0.25">
      <c r="B1751" s="38" t="s">
        <v>14</v>
      </c>
      <c r="C1751" s="56"/>
      <c r="D1751"/>
      <c r="E1751"/>
      <c r="F1751"/>
      <c r="G1751"/>
      <c r="H1751"/>
      <c r="I1751"/>
      <c r="J1751"/>
      <c r="K1751"/>
    </row>
    <row r="1752" spans="2:11" ht="18" customHeight="1" x14ac:dyDescent="0.25">
      <c r="B1752" s="36" t="s">
        <v>41</v>
      </c>
      <c r="C1752" s="72" t="s">
        <v>42</v>
      </c>
      <c r="D1752" s="30" t="s">
        <v>42</v>
      </c>
      <c r="E1752" s="30" t="s">
        <v>42</v>
      </c>
      <c r="F1752"/>
      <c r="G1752"/>
      <c r="H1752"/>
      <c r="I1752"/>
      <c r="J1752"/>
      <c r="K1752"/>
    </row>
    <row r="1753" spans="2:11" ht="18" customHeight="1" x14ac:dyDescent="0.25">
      <c r="B1753" s="37" t="s">
        <v>15</v>
      </c>
      <c r="C1753" s="56"/>
      <c r="D1753"/>
      <c r="E1753"/>
      <c r="F1753"/>
      <c r="G1753"/>
      <c r="H1753"/>
      <c r="I1753"/>
      <c r="J1753"/>
      <c r="K1753"/>
    </row>
    <row r="1754" spans="2:11" ht="18" customHeight="1" x14ac:dyDescent="0.25">
      <c r="B1754" s="38" t="s">
        <v>17</v>
      </c>
      <c r="C1754" s="57" t="s">
        <v>47</v>
      </c>
      <c r="D1754" s="4" t="s">
        <v>47</v>
      </c>
      <c r="E1754" s="4" t="s">
        <v>47</v>
      </c>
      <c r="F1754"/>
      <c r="G1754"/>
      <c r="H1754"/>
      <c r="I1754"/>
      <c r="J1754"/>
      <c r="K1754"/>
    </row>
    <row r="1755" spans="2:11" ht="18" customHeight="1" x14ac:dyDescent="0.25">
      <c r="B1755" s="38" t="s">
        <v>18</v>
      </c>
      <c r="C1755" s="57" t="s">
        <v>285</v>
      </c>
      <c r="D1755" s="4" t="s">
        <v>285</v>
      </c>
      <c r="E1755" s="4" t="s">
        <v>285</v>
      </c>
      <c r="F1755"/>
      <c r="G1755"/>
      <c r="H1755"/>
      <c r="I1755"/>
      <c r="J1755"/>
      <c r="K1755"/>
    </row>
    <row r="1756" spans="2:11" ht="18" customHeight="1" x14ac:dyDescent="0.25">
      <c r="B1756" s="24"/>
      <c r="C1756" s="56"/>
      <c r="D1756"/>
      <c r="E1756"/>
      <c r="F1756"/>
      <c r="G1756"/>
      <c r="H1756"/>
      <c r="I1756"/>
      <c r="J1756"/>
      <c r="K1756"/>
    </row>
    <row r="1757" spans="2:11" ht="18" customHeight="1" x14ac:dyDescent="0.25">
      <c r="B1757" s="31" t="s">
        <v>19</v>
      </c>
      <c r="C1757" s="57">
        <v>3.5</v>
      </c>
      <c r="D1757" s="4">
        <v>3.5</v>
      </c>
      <c r="E1757" s="4">
        <v>3.5</v>
      </c>
      <c r="F1757"/>
      <c r="G1757"/>
      <c r="H1757"/>
      <c r="I1757"/>
      <c r="J1757"/>
      <c r="K1757"/>
    </row>
    <row r="1758" spans="2:11" ht="18" customHeight="1" x14ac:dyDescent="0.25">
      <c r="B1758" s="38" t="s">
        <v>20</v>
      </c>
      <c r="C1758" s="57">
        <v>0.35</v>
      </c>
      <c r="D1758" s="4">
        <v>0.35</v>
      </c>
      <c r="E1758" s="4">
        <v>0.35</v>
      </c>
      <c r="F1758"/>
      <c r="G1758"/>
      <c r="H1758"/>
      <c r="I1758"/>
      <c r="J1758"/>
      <c r="K1758"/>
    </row>
    <row r="1759" spans="2:11" ht="18" customHeight="1" x14ac:dyDescent="0.25">
      <c r="B1759" s="38" t="s">
        <v>21</v>
      </c>
      <c r="C1759" s="57">
        <v>3.5</v>
      </c>
      <c r="D1759" s="4">
        <v>3.5</v>
      </c>
      <c r="E1759" s="4">
        <v>3.5</v>
      </c>
      <c r="F1759"/>
      <c r="G1759"/>
      <c r="H1759"/>
      <c r="I1759"/>
      <c r="J1759"/>
      <c r="K1759"/>
    </row>
    <row r="1760" spans="2:11" ht="18" customHeight="1" x14ac:dyDescent="0.25">
      <c r="B1760" s="38" t="s">
        <v>22</v>
      </c>
      <c r="C1760" s="57">
        <v>0.35</v>
      </c>
      <c r="D1760" s="4">
        <v>0.35</v>
      </c>
      <c r="E1760" s="4">
        <v>0.35</v>
      </c>
      <c r="F1760"/>
      <c r="G1760"/>
      <c r="H1760"/>
      <c r="I1760"/>
      <c r="J1760"/>
      <c r="K1760"/>
    </row>
    <row r="1761" spans="2:11" ht="18" customHeight="1" x14ac:dyDescent="0.25">
      <c r="B1761" s="38" t="s">
        <v>23</v>
      </c>
      <c r="C1761" s="66"/>
      <c r="D1761"/>
      <c r="E1761"/>
      <c r="F1761"/>
      <c r="G1761"/>
      <c r="H1761"/>
      <c r="I1761"/>
      <c r="J1761"/>
      <c r="K1761"/>
    </row>
    <row r="1762" spans="2:11" ht="18" customHeight="1" x14ac:dyDescent="0.25">
      <c r="B1762" s="38" t="s">
        <v>24</v>
      </c>
      <c r="C1762" s="66"/>
      <c r="D1762"/>
      <c r="E1762"/>
      <c r="F1762"/>
      <c r="G1762"/>
      <c r="H1762"/>
      <c r="I1762"/>
      <c r="J1762"/>
      <c r="K1762"/>
    </row>
    <row r="1763" spans="2:11" ht="18" customHeight="1" x14ac:dyDescent="0.25">
      <c r="B1763" s="24"/>
      <c r="C1763" s="66"/>
      <c r="D1763"/>
      <c r="E1763"/>
      <c r="F1763"/>
      <c r="G1763"/>
      <c r="H1763"/>
      <c r="I1763"/>
      <c r="J1763"/>
      <c r="K1763"/>
    </row>
    <row r="1764" spans="2:11" ht="18" customHeight="1" x14ac:dyDescent="0.25">
      <c r="B1764" s="19" t="s">
        <v>33</v>
      </c>
      <c r="C1764" s="56"/>
      <c r="D1764"/>
      <c r="E1764"/>
      <c r="F1764"/>
      <c r="G1764"/>
      <c r="H1764"/>
      <c r="I1764"/>
      <c r="J1764"/>
      <c r="K1764"/>
    </row>
    <row r="1765" spans="2:11" ht="18" customHeight="1" x14ac:dyDescent="0.25">
      <c r="C1765" s="56"/>
      <c r="D1765"/>
      <c r="E1765"/>
      <c r="F1765"/>
      <c r="G1765"/>
      <c r="H1765"/>
      <c r="I1765"/>
      <c r="J1765"/>
      <c r="K1765"/>
    </row>
    <row r="1766" spans="2:11" ht="18" customHeight="1" x14ac:dyDescent="0.25">
      <c r="C1766" s="56"/>
      <c r="D1766"/>
      <c r="E1766"/>
      <c r="F1766"/>
      <c r="G1766"/>
      <c r="H1766"/>
      <c r="I1766"/>
      <c r="J1766"/>
      <c r="K1766"/>
    </row>
    <row r="1767" spans="2:11" ht="18" customHeight="1" x14ac:dyDescent="0.25">
      <c r="B1767" s="31" t="s">
        <v>0</v>
      </c>
      <c r="C1767" s="66" t="s">
        <v>122</v>
      </c>
      <c r="D1767"/>
      <c r="E1767"/>
      <c r="F1767"/>
      <c r="G1767"/>
      <c r="H1767"/>
      <c r="I1767"/>
      <c r="J1767"/>
      <c r="K1767"/>
    </row>
    <row r="1768" spans="2:11" ht="18" customHeight="1" x14ac:dyDescent="0.25">
      <c r="B1768" s="36" t="s">
        <v>3</v>
      </c>
      <c r="C1768" s="66">
        <v>2</v>
      </c>
      <c r="D1768"/>
      <c r="E1768"/>
      <c r="F1768"/>
      <c r="G1768"/>
      <c r="H1768"/>
      <c r="I1768"/>
      <c r="J1768"/>
      <c r="K1768"/>
    </row>
    <row r="1769" spans="2:11" ht="18" customHeight="1" x14ac:dyDescent="0.25">
      <c r="B1769" s="36"/>
      <c r="C1769" s="56"/>
      <c r="D1769"/>
      <c r="E1769"/>
      <c r="F1769"/>
      <c r="G1769"/>
      <c r="H1769"/>
      <c r="I1769"/>
      <c r="J1769"/>
      <c r="K1769"/>
    </row>
    <row r="1770" spans="2:11" ht="18" customHeight="1" x14ac:dyDescent="0.25">
      <c r="B1770" s="36" t="s">
        <v>6</v>
      </c>
      <c r="C1770" s="71">
        <v>39993</v>
      </c>
      <c r="D1770"/>
      <c r="E1770"/>
      <c r="F1770"/>
      <c r="G1770"/>
      <c r="H1770"/>
      <c r="I1770"/>
      <c r="J1770"/>
      <c r="K1770"/>
    </row>
    <row r="1771" spans="2:11" ht="18" customHeight="1" x14ac:dyDescent="0.25">
      <c r="B1771" s="37" t="s">
        <v>9</v>
      </c>
      <c r="C1771" s="65">
        <v>40099</v>
      </c>
      <c r="D1771" s="25">
        <v>40281</v>
      </c>
      <c r="E1771" s="25">
        <v>40477</v>
      </c>
      <c r="F1771" s="25">
        <v>40694</v>
      </c>
      <c r="G1771" s="25">
        <v>41035</v>
      </c>
      <c r="H1771" s="25">
        <v>41478</v>
      </c>
      <c r="I1771" s="25">
        <v>41646</v>
      </c>
      <c r="J1771" s="27">
        <v>42053</v>
      </c>
      <c r="K1771" s="25">
        <v>42115</v>
      </c>
    </row>
    <row r="1772" spans="2:11" ht="18" customHeight="1" x14ac:dyDescent="0.25">
      <c r="B1772" s="37" t="s">
        <v>8</v>
      </c>
      <c r="C1772" s="66"/>
      <c r="D1772"/>
      <c r="E1772"/>
      <c r="F1772"/>
      <c r="G1772"/>
      <c r="H1772"/>
      <c r="I1772"/>
      <c r="J1772"/>
      <c r="K1772"/>
    </row>
    <row r="1773" spans="2:11" ht="18" customHeight="1" x14ac:dyDescent="0.25">
      <c r="B1773" s="38" t="s">
        <v>11</v>
      </c>
      <c r="C1773" s="57">
        <v>6.46</v>
      </c>
      <c r="D1773" s="4">
        <v>6.43</v>
      </c>
      <c r="E1773" s="4">
        <v>6.41</v>
      </c>
      <c r="F1773" s="4">
        <v>6.37</v>
      </c>
      <c r="G1773" s="4">
        <v>6.09</v>
      </c>
      <c r="H1773" s="4">
        <v>5.31</v>
      </c>
      <c r="I1773" s="4">
        <v>5.18</v>
      </c>
      <c r="J1773" s="24">
        <v>5.13</v>
      </c>
      <c r="K1773" s="4">
        <v>5.1100000000000003</v>
      </c>
    </row>
    <row r="1774" spans="2:11" ht="18" customHeight="1" x14ac:dyDescent="0.25">
      <c r="B1774" s="38" t="s">
        <v>12</v>
      </c>
      <c r="C1774" s="57">
        <v>88</v>
      </c>
      <c r="D1774" s="4">
        <v>76</v>
      </c>
      <c r="E1774" s="4">
        <v>76</v>
      </c>
      <c r="F1774" s="4">
        <v>80</v>
      </c>
      <c r="G1774" s="4">
        <v>97</v>
      </c>
      <c r="H1774" s="4">
        <v>100</v>
      </c>
      <c r="I1774" s="4">
        <v>100</v>
      </c>
      <c r="J1774" s="24" t="s">
        <v>308</v>
      </c>
      <c r="K1774" s="4">
        <v>95</v>
      </c>
    </row>
    <row r="1775" spans="2:11" ht="18" customHeight="1" x14ac:dyDescent="0.25">
      <c r="B1775" s="38" t="s">
        <v>13</v>
      </c>
      <c r="C1775" s="57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16</v>
      </c>
      <c r="I1775" s="4">
        <v>4</v>
      </c>
      <c r="J1775" s="24" t="s">
        <v>309</v>
      </c>
      <c r="K1775" s="4">
        <v>99</v>
      </c>
    </row>
    <row r="1776" spans="2:11" ht="18" customHeight="1" x14ac:dyDescent="0.25">
      <c r="B1776" s="38" t="s">
        <v>14</v>
      </c>
      <c r="C1776" s="56"/>
      <c r="D1776"/>
      <c r="E1776"/>
      <c r="F1776"/>
      <c r="G1776"/>
      <c r="H1776"/>
      <c r="I1776"/>
      <c r="J1776"/>
      <c r="K1776"/>
    </row>
    <row r="1777" spans="2:11" ht="18" customHeight="1" x14ac:dyDescent="0.25">
      <c r="B1777" s="36" t="s">
        <v>41</v>
      </c>
      <c r="C1777" s="72" t="s">
        <v>46</v>
      </c>
      <c r="D1777" s="30" t="s">
        <v>261</v>
      </c>
      <c r="E1777" s="4" t="s">
        <v>77</v>
      </c>
      <c r="F1777" s="4" t="s">
        <v>42</v>
      </c>
      <c r="G1777" s="4" t="s">
        <v>77</v>
      </c>
      <c r="H1777" s="4" t="s">
        <v>42</v>
      </c>
      <c r="I1777" s="4" t="s">
        <v>74</v>
      </c>
      <c r="J1777" s="41" t="s">
        <v>310</v>
      </c>
      <c r="K1777" s="4" t="s">
        <v>42</v>
      </c>
    </row>
    <row r="1778" spans="2:11" ht="18" customHeight="1" x14ac:dyDescent="0.25">
      <c r="B1778" s="37" t="s">
        <v>15</v>
      </c>
      <c r="C1778" s="56"/>
      <c r="D1778"/>
      <c r="E1778"/>
      <c r="F1778"/>
      <c r="G1778"/>
      <c r="H1778"/>
      <c r="I1778"/>
      <c r="J1778"/>
      <c r="K1778"/>
    </row>
    <row r="1779" spans="2:11" ht="18" customHeight="1" x14ac:dyDescent="0.25">
      <c r="B1779" s="38" t="s">
        <v>17</v>
      </c>
      <c r="C1779" s="57" t="s">
        <v>63</v>
      </c>
      <c r="D1779" s="4" t="s">
        <v>63</v>
      </c>
      <c r="E1779" s="4" t="s">
        <v>63</v>
      </c>
      <c r="F1779" s="4" t="s">
        <v>63</v>
      </c>
      <c r="G1779" s="4" t="s">
        <v>63</v>
      </c>
      <c r="H1779" s="4" t="s">
        <v>63</v>
      </c>
      <c r="I1779" s="4" t="s">
        <v>132</v>
      </c>
      <c r="J1779" s="24" t="s">
        <v>132</v>
      </c>
      <c r="K1779" s="4" t="s">
        <v>47</v>
      </c>
    </row>
    <row r="1780" spans="2:11" ht="18" customHeight="1" x14ac:dyDescent="0.25">
      <c r="B1780" s="38" t="s">
        <v>18</v>
      </c>
      <c r="C1780" s="57" t="s">
        <v>285</v>
      </c>
      <c r="D1780" s="4" t="s">
        <v>285</v>
      </c>
      <c r="E1780" s="4" t="s">
        <v>285</v>
      </c>
      <c r="F1780" s="4" t="s">
        <v>285</v>
      </c>
      <c r="G1780" s="4" t="s">
        <v>285</v>
      </c>
      <c r="H1780" s="4" t="s">
        <v>285</v>
      </c>
      <c r="I1780" s="4" t="s">
        <v>285</v>
      </c>
      <c r="J1780" s="4" t="s">
        <v>285</v>
      </c>
      <c r="K1780" s="4" t="s">
        <v>285</v>
      </c>
    </row>
    <row r="1781" spans="2:11" ht="18" customHeight="1" x14ac:dyDescent="0.25">
      <c r="B1781" s="24"/>
      <c r="C1781" s="56"/>
      <c r="D1781"/>
      <c r="E1781"/>
      <c r="F1781"/>
      <c r="G1781"/>
      <c r="H1781"/>
      <c r="I1781"/>
      <c r="J1781"/>
      <c r="K1781" s="24"/>
    </row>
    <row r="1782" spans="2:11" ht="18" customHeight="1" x14ac:dyDescent="0.25">
      <c r="B1782" s="31" t="s">
        <v>19</v>
      </c>
      <c r="C1782" s="57">
        <v>3.5</v>
      </c>
      <c r="D1782" s="4">
        <v>3.5</v>
      </c>
      <c r="E1782" s="4">
        <v>3.5</v>
      </c>
      <c r="F1782" s="4">
        <v>3.5</v>
      </c>
      <c r="G1782" s="4">
        <v>3.5</v>
      </c>
      <c r="H1782" s="4">
        <v>3.5</v>
      </c>
      <c r="I1782" s="4">
        <v>4</v>
      </c>
      <c r="J1782" s="24">
        <v>2.5</v>
      </c>
      <c r="K1782" s="24">
        <v>2.5</v>
      </c>
    </row>
    <row r="1783" spans="2:11" ht="18" customHeight="1" x14ac:dyDescent="0.25">
      <c r="B1783" s="38" t="s">
        <v>20</v>
      </c>
      <c r="C1783" s="57">
        <v>0.35</v>
      </c>
      <c r="D1783" s="4">
        <v>0.35</v>
      </c>
      <c r="E1783" s="4">
        <v>0.35</v>
      </c>
      <c r="F1783" s="4">
        <v>0.35</v>
      </c>
      <c r="G1783" s="4">
        <v>0.35</v>
      </c>
      <c r="H1783" s="4">
        <v>0.35</v>
      </c>
      <c r="I1783" s="4">
        <v>0.35</v>
      </c>
      <c r="J1783" s="24">
        <v>0.6</v>
      </c>
      <c r="K1783" s="24">
        <v>0.6</v>
      </c>
    </row>
    <row r="1784" spans="2:11" ht="18" customHeight="1" x14ac:dyDescent="0.25">
      <c r="B1784" s="38" t="s">
        <v>21</v>
      </c>
      <c r="C1784" s="57">
        <v>3.5</v>
      </c>
      <c r="D1784" s="4">
        <v>3.5</v>
      </c>
      <c r="E1784" s="4">
        <v>3.5</v>
      </c>
      <c r="F1784" s="4">
        <v>2.5</v>
      </c>
      <c r="G1784" s="4">
        <v>2.5</v>
      </c>
      <c r="H1784" s="4">
        <v>2.5</v>
      </c>
      <c r="I1784" s="4">
        <v>3.5</v>
      </c>
      <c r="J1784" s="24">
        <v>2.5</v>
      </c>
      <c r="K1784" s="24">
        <v>2.5</v>
      </c>
    </row>
    <row r="1785" spans="2:11" ht="18" customHeight="1" x14ac:dyDescent="0.25">
      <c r="B1785" s="38" t="s">
        <v>22</v>
      </c>
      <c r="C1785" s="57">
        <v>0.35</v>
      </c>
      <c r="D1785" s="4">
        <v>0.35</v>
      </c>
      <c r="E1785" s="4">
        <v>0.35</v>
      </c>
      <c r="F1785" s="4">
        <v>0.35</v>
      </c>
      <c r="G1785" s="4">
        <v>0.35</v>
      </c>
      <c r="H1785" s="4">
        <v>0.35</v>
      </c>
      <c r="I1785" s="4">
        <v>0.35</v>
      </c>
      <c r="J1785" s="24">
        <v>0.5</v>
      </c>
      <c r="K1785" s="24">
        <v>0.5</v>
      </c>
    </row>
    <row r="1786" spans="2:11" ht="18" customHeight="1" x14ac:dyDescent="0.25">
      <c r="B1786" s="38" t="s">
        <v>23</v>
      </c>
      <c r="C1786" s="66"/>
      <c r="D1786"/>
      <c r="E1786"/>
      <c r="F1786"/>
      <c r="G1786"/>
      <c r="H1786"/>
      <c r="I1786"/>
      <c r="J1786"/>
      <c r="K1786"/>
    </row>
    <row r="1787" spans="2:11" ht="18" customHeight="1" x14ac:dyDescent="0.25">
      <c r="B1787" s="38" t="s">
        <v>24</v>
      </c>
      <c r="C1787" s="66"/>
      <c r="D1787"/>
      <c r="E1787"/>
      <c r="F1787"/>
      <c r="G1787"/>
      <c r="H1787"/>
      <c r="I1787"/>
      <c r="J1787"/>
      <c r="K1787"/>
    </row>
    <row r="1788" spans="2:11" ht="18" customHeight="1" x14ac:dyDescent="0.25">
      <c r="B1788" s="24"/>
      <c r="C1788" s="66"/>
      <c r="D1788"/>
      <c r="E1788"/>
      <c r="F1788"/>
      <c r="G1788"/>
      <c r="H1788"/>
      <c r="I1788"/>
      <c r="J1788"/>
      <c r="K1788"/>
    </row>
    <row r="1789" spans="2:11" ht="18" customHeight="1" x14ac:dyDescent="0.25">
      <c r="B1789" s="19" t="s">
        <v>33</v>
      </c>
      <c r="C1789" s="56"/>
      <c r="D1789"/>
      <c r="E1789"/>
      <c r="F1789"/>
      <c r="G1789"/>
      <c r="H1789"/>
      <c r="I1789"/>
      <c r="J1789"/>
      <c r="K1789"/>
    </row>
    <row r="1790" spans="2:11" ht="18" customHeight="1" x14ac:dyDescent="0.25">
      <c r="C1790" s="56"/>
      <c r="D1790"/>
      <c r="E1790"/>
      <c r="F1790"/>
      <c r="G1790"/>
      <c r="H1790"/>
      <c r="I1790"/>
      <c r="J1790"/>
      <c r="K1790"/>
    </row>
    <row r="1791" spans="2:11" ht="18" customHeight="1" x14ac:dyDescent="0.25">
      <c r="C1791" s="56"/>
      <c r="D1791"/>
      <c r="E1791"/>
      <c r="F1791"/>
      <c r="G1791"/>
      <c r="H1791"/>
      <c r="I1791"/>
      <c r="J1791"/>
      <c r="K1791"/>
    </row>
    <row r="1792" spans="2:11" ht="18" customHeight="1" x14ac:dyDescent="0.25">
      <c r="B1792" s="31" t="s">
        <v>0</v>
      </c>
      <c r="C1792" s="66" t="s">
        <v>311</v>
      </c>
      <c r="D1792"/>
      <c r="E1792"/>
      <c r="F1792"/>
      <c r="G1792"/>
      <c r="H1792"/>
      <c r="I1792"/>
      <c r="J1792"/>
      <c r="K1792"/>
    </row>
    <row r="1793" spans="2:11" ht="18" customHeight="1" x14ac:dyDescent="0.25">
      <c r="B1793" s="36" t="s">
        <v>3</v>
      </c>
      <c r="C1793" s="66">
        <v>2</v>
      </c>
      <c r="D1793"/>
      <c r="E1793"/>
      <c r="F1793"/>
      <c r="G1793"/>
      <c r="H1793"/>
      <c r="I1793"/>
      <c r="J1793"/>
      <c r="K1793"/>
    </row>
    <row r="1794" spans="2:11" ht="18" customHeight="1" x14ac:dyDescent="0.25">
      <c r="B1794" s="36"/>
      <c r="C1794" s="56"/>
      <c r="D1794"/>
      <c r="E1794"/>
      <c r="F1794"/>
      <c r="G1794"/>
      <c r="H1794"/>
      <c r="I1794"/>
      <c r="J1794"/>
      <c r="K1794"/>
    </row>
    <row r="1795" spans="2:11" ht="18" customHeight="1" x14ac:dyDescent="0.25">
      <c r="B1795" s="36" t="s">
        <v>6</v>
      </c>
      <c r="C1795" s="71">
        <v>39119</v>
      </c>
      <c r="D1795"/>
      <c r="E1795"/>
      <c r="F1795"/>
      <c r="G1795"/>
      <c r="H1795"/>
      <c r="I1795"/>
      <c r="J1795"/>
      <c r="K1795"/>
    </row>
    <row r="1796" spans="2:11" ht="18" customHeight="1" x14ac:dyDescent="0.25">
      <c r="B1796" s="37" t="s">
        <v>9</v>
      </c>
      <c r="C1796" s="65">
        <v>40120</v>
      </c>
      <c r="D1796" s="25">
        <v>40302</v>
      </c>
      <c r="E1796"/>
      <c r="F1796"/>
      <c r="G1796"/>
      <c r="H1796"/>
      <c r="I1796"/>
      <c r="J1796"/>
      <c r="K1796"/>
    </row>
    <row r="1797" spans="2:11" ht="18" customHeight="1" x14ac:dyDescent="0.25">
      <c r="B1797" s="37" t="s">
        <v>8</v>
      </c>
      <c r="C1797" s="66"/>
      <c r="D1797"/>
      <c r="E1797"/>
      <c r="F1797"/>
      <c r="G1797"/>
      <c r="H1797"/>
      <c r="I1797"/>
      <c r="J1797"/>
      <c r="K1797"/>
    </row>
    <row r="1798" spans="2:11" ht="18" customHeight="1" x14ac:dyDescent="0.25">
      <c r="B1798" s="38" t="s">
        <v>11</v>
      </c>
      <c r="C1798" s="57">
        <v>5.83</v>
      </c>
      <c r="D1798" s="4">
        <v>5.39</v>
      </c>
      <c r="E1798"/>
      <c r="F1798"/>
      <c r="G1798"/>
      <c r="H1798"/>
      <c r="I1798"/>
      <c r="J1798"/>
      <c r="K1798"/>
    </row>
    <row r="1799" spans="2:11" ht="18" customHeight="1" x14ac:dyDescent="0.25">
      <c r="B1799" s="38" t="s">
        <v>12</v>
      </c>
      <c r="C1799" s="57">
        <v>61</v>
      </c>
      <c r="D1799" s="4">
        <v>57</v>
      </c>
      <c r="E1799"/>
      <c r="F1799"/>
      <c r="G1799"/>
      <c r="H1799"/>
      <c r="I1799"/>
      <c r="J1799"/>
      <c r="K1799"/>
    </row>
    <row r="1800" spans="2:11" ht="18" customHeight="1" x14ac:dyDescent="0.25">
      <c r="B1800" s="38" t="s">
        <v>13</v>
      </c>
      <c r="C1800" s="57">
        <v>7</v>
      </c>
      <c r="D1800" s="4">
        <v>1</v>
      </c>
      <c r="E1800"/>
      <c r="F1800"/>
      <c r="G1800"/>
      <c r="H1800"/>
      <c r="I1800"/>
      <c r="J1800"/>
      <c r="K1800"/>
    </row>
    <row r="1801" spans="2:11" ht="18" customHeight="1" x14ac:dyDescent="0.25">
      <c r="B1801" s="38" t="s">
        <v>14</v>
      </c>
      <c r="C1801" s="56"/>
      <c r="D1801"/>
      <c r="E1801"/>
      <c r="F1801"/>
      <c r="G1801"/>
      <c r="H1801"/>
      <c r="I1801"/>
      <c r="J1801"/>
      <c r="K1801"/>
    </row>
    <row r="1802" spans="2:11" ht="18" customHeight="1" x14ac:dyDescent="0.25">
      <c r="B1802" s="36" t="s">
        <v>41</v>
      </c>
      <c r="C1802" s="72" t="s">
        <v>42</v>
      </c>
      <c r="D1802" s="30" t="s">
        <v>46</v>
      </c>
      <c r="E1802"/>
      <c r="F1802"/>
      <c r="G1802"/>
      <c r="H1802"/>
      <c r="I1802"/>
      <c r="J1802"/>
      <c r="K1802"/>
    </row>
    <row r="1803" spans="2:11" ht="18" customHeight="1" x14ac:dyDescent="0.25">
      <c r="B1803" s="37" t="s">
        <v>15</v>
      </c>
      <c r="C1803" s="56"/>
      <c r="D1803"/>
      <c r="E1803"/>
      <c r="F1803"/>
      <c r="G1803"/>
      <c r="H1803"/>
      <c r="I1803"/>
      <c r="J1803"/>
      <c r="K1803"/>
    </row>
    <row r="1804" spans="2:11" ht="18" customHeight="1" x14ac:dyDescent="0.25">
      <c r="B1804" s="38" t="s">
        <v>17</v>
      </c>
      <c r="C1804" s="57" t="s">
        <v>47</v>
      </c>
      <c r="D1804" s="4" t="s">
        <v>47</v>
      </c>
      <c r="E1804"/>
      <c r="F1804"/>
      <c r="G1804"/>
      <c r="H1804"/>
      <c r="I1804"/>
      <c r="J1804"/>
      <c r="K1804"/>
    </row>
    <row r="1805" spans="2:11" ht="18" customHeight="1" x14ac:dyDescent="0.25">
      <c r="B1805" s="38" t="s">
        <v>18</v>
      </c>
      <c r="C1805" s="57" t="s">
        <v>285</v>
      </c>
      <c r="D1805" s="4" t="s">
        <v>285</v>
      </c>
      <c r="E1805"/>
      <c r="F1805"/>
      <c r="G1805"/>
      <c r="H1805"/>
      <c r="I1805"/>
      <c r="J1805"/>
      <c r="K1805"/>
    </row>
    <row r="1806" spans="2:11" ht="18" customHeight="1" x14ac:dyDescent="0.25">
      <c r="B1806" s="24"/>
      <c r="C1806" s="56"/>
      <c r="D1806"/>
      <c r="E1806"/>
      <c r="F1806"/>
      <c r="G1806"/>
      <c r="H1806"/>
      <c r="I1806"/>
      <c r="J1806"/>
      <c r="K1806"/>
    </row>
    <row r="1807" spans="2:11" ht="18" customHeight="1" x14ac:dyDescent="0.25">
      <c r="B1807" s="31" t="s">
        <v>19</v>
      </c>
      <c r="C1807" s="57">
        <v>4</v>
      </c>
      <c r="D1807" s="4">
        <v>4</v>
      </c>
      <c r="E1807"/>
      <c r="F1807"/>
      <c r="G1807"/>
      <c r="H1807"/>
      <c r="I1807"/>
      <c r="J1807"/>
      <c r="K1807"/>
    </row>
    <row r="1808" spans="2:11" ht="18" customHeight="1" x14ac:dyDescent="0.25">
      <c r="B1808" s="38" t="s">
        <v>20</v>
      </c>
      <c r="C1808" s="57">
        <v>0.6</v>
      </c>
      <c r="D1808" s="4">
        <v>0.6</v>
      </c>
      <c r="E1808"/>
      <c r="F1808"/>
      <c r="G1808"/>
      <c r="H1808"/>
      <c r="I1808"/>
      <c r="J1808"/>
      <c r="K1808"/>
    </row>
    <row r="1809" spans="2:11" ht="18" customHeight="1" x14ac:dyDescent="0.25">
      <c r="B1809" s="38" t="s">
        <v>21</v>
      </c>
      <c r="C1809" s="57">
        <v>2.5</v>
      </c>
      <c r="D1809" s="4">
        <v>2.5</v>
      </c>
      <c r="E1809"/>
      <c r="F1809"/>
      <c r="G1809"/>
      <c r="H1809"/>
      <c r="I1809"/>
      <c r="J1809"/>
      <c r="K1809"/>
    </row>
    <row r="1810" spans="2:11" ht="18" customHeight="1" x14ac:dyDescent="0.25">
      <c r="B1810" s="38" t="s">
        <v>22</v>
      </c>
      <c r="C1810" s="57">
        <v>0.5</v>
      </c>
      <c r="D1810" s="4">
        <v>0.5</v>
      </c>
      <c r="E1810"/>
      <c r="F1810"/>
      <c r="G1810"/>
      <c r="H1810"/>
      <c r="I1810"/>
      <c r="J1810"/>
      <c r="K1810"/>
    </row>
    <row r="1811" spans="2:11" ht="18" customHeight="1" x14ac:dyDescent="0.25">
      <c r="B1811" s="38" t="s">
        <v>23</v>
      </c>
      <c r="C1811" s="66"/>
      <c r="D1811"/>
      <c r="E1811"/>
      <c r="F1811"/>
      <c r="G1811"/>
      <c r="H1811"/>
      <c r="I1811"/>
      <c r="J1811"/>
      <c r="K1811"/>
    </row>
    <row r="1812" spans="2:11" ht="18" customHeight="1" x14ac:dyDescent="0.25">
      <c r="B1812" s="38" t="s">
        <v>24</v>
      </c>
      <c r="C1812" s="66"/>
      <c r="D1812"/>
      <c r="E1812"/>
      <c r="F1812"/>
      <c r="G1812"/>
      <c r="H1812"/>
      <c r="I1812"/>
      <c r="J1812"/>
      <c r="K1812"/>
    </row>
    <row r="1813" spans="2:11" ht="18" customHeight="1" x14ac:dyDescent="0.25">
      <c r="B1813" s="24"/>
      <c r="C1813" s="66"/>
      <c r="D1813"/>
      <c r="E1813"/>
      <c r="F1813"/>
      <c r="G1813"/>
      <c r="H1813"/>
      <c r="I1813"/>
      <c r="J1813"/>
      <c r="K1813"/>
    </row>
    <row r="1814" spans="2:11" ht="18" customHeight="1" x14ac:dyDescent="0.25">
      <c r="B1814" s="19" t="s">
        <v>33</v>
      </c>
      <c r="C1814" s="56"/>
      <c r="D1814"/>
      <c r="E1814"/>
      <c r="F1814"/>
      <c r="G1814"/>
      <c r="H1814"/>
      <c r="I1814" s="25">
        <v>41778</v>
      </c>
      <c r="J1814"/>
      <c r="K1814"/>
    </row>
    <row r="1815" spans="2:11" ht="18" customHeight="1" x14ac:dyDescent="0.25">
      <c r="C1815" s="56"/>
      <c r="D1815"/>
      <c r="E1815"/>
      <c r="F1815"/>
      <c r="G1815"/>
      <c r="H1815"/>
      <c r="I1815"/>
      <c r="J1815"/>
      <c r="K1815"/>
    </row>
    <row r="1816" spans="2:11" ht="18" customHeight="1" x14ac:dyDescent="0.25">
      <c r="C1816" s="56"/>
      <c r="D1816"/>
      <c r="E1816"/>
      <c r="F1816"/>
      <c r="G1816"/>
      <c r="H1816"/>
      <c r="I1816"/>
      <c r="J1816"/>
      <c r="K1816"/>
    </row>
    <row r="1817" spans="2:11" ht="18" customHeight="1" x14ac:dyDescent="0.25">
      <c r="C1817" s="56"/>
      <c r="D1817"/>
      <c r="E1817"/>
      <c r="F1817"/>
      <c r="G1817"/>
      <c r="H1817"/>
      <c r="I1817"/>
      <c r="J1817"/>
      <c r="K1817"/>
    </row>
    <row r="1818" spans="2:11" ht="18" customHeight="1" x14ac:dyDescent="0.25">
      <c r="B1818" s="31" t="s">
        <v>0</v>
      </c>
      <c r="C1818" s="66" t="s">
        <v>135</v>
      </c>
      <c r="D1818"/>
      <c r="E1818"/>
      <c r="F1818"/>
      <c r="G1818"/>
      <c r="H1818"/>
      <c r="I1818"/>
      <c r="J1818"/>
      <c r="K1818"/>
    </row>
    <row r="1819" spans="2:11" ht="18" customHeight="1" x14ac:dyDescent="0.25">
      <c r="B1819" s="36" t="s">
        <v>3</v>
      </c>
      <c r="C1819" s="66">
        <v>2</v>
      </c>
      <c r="D1819"/>
      <c r="E1819"/>
      <c r="F1819"/>
      <c r="G1819"/>
      <c r="H1819"/>
      <c r="I1819"/>
      <c r="J1819"/>
      <c r="K1819"/>
    </row>
    <row r="1820" spans="2:11" ht="18" customHeight="1" x14ac:dyDescent="0.25">
      <c r="B1820" s="36"/>
      <c r="C1820" s="56"/>
      <c r="D1820"/>
      <c r="E1820"/>
      <c r="F1820"/>
      <c r="G1820"/>
      <c r="H1820"/>
      <c r="I1820"/>
      <c r="J1820"/>
      <c r="K1820"/>
    </row>
    <row r="1821" spans="2:11" ht="18" customHeight="1" x14ac:dyDescent="0.25">
      <c r="B1821" s="36" t="s">
        <v>6</v>
      </c>
      <c r="C1821" s="71">
        <v>39161</v>
      </c>
      <c r="D1821"/>
      <c r="E1821"/>
      <c r="F1821"/>
      <c r="G1821"/>
      <c r="H1821"/>
      <c r="I1821"/>
      <c r="J1821"/>
      <c r="K1821"/>
    </row>
    <row r="1822" spans="2:11" ht="18" customHeight="1" x14ac:dyDescent="0.25">
      <c r="B1822" s="37" t="s">
        <v>9</v>
      </c>
      <c r="C1822" s="65">
        <v>40211</v>
      </c>
      <c r="D1822" s="25">
        <v>41778</v>
      </c>
      <c r="E1822"/>
      <c r="F1822"/>
      <c r="G1822"/>
      <c r="H1822"/>
      <c r="I1822"/>
      <c r="J1822"/>
      <c r="K1822"/>
    </row>
    <row r="1823" spans="2:11" ht="18" customHeight="1" x14ac:dyDescent="0.25">
      <c r="B1823" s="37" t="s">
        <v>8</v>
      </c>
      <c r="C1823" s="66"/>
      <c r="D1823"/>
      <c r="E1823"/>
      <c r="F1823"/>
      <c r="G1823"/>
      <c r="H1823"/>
      <c r="I1823"/>
      <c r="J1823"/>
      <c r="K1823"/>
    </row>
    <row r="1824" spans="2:11" ht="18" customHeight="1" x14ac:dyDescent="0.25">
      <c r="B1824" s="38" t="s">
        <v>11</v>
      </c>
      <c r="C1824" s="57">
        <v>6.16</v>
      </c>
      <c r="D1824" s="4">
        <v>4.97</v>
      </c>
      <c r="E1824"/>
      <c r="F1824"/>
      <c r="G1824"/>
      <c r="H1824"/>
      <c r="I1824"/>
      <c r="J1824"/>
      <c r="K1824"/>
    </row>
    <row r="1825" spans="2:11" ht="18" customHeight="1" x14ac:dyDescent="0.25">
      <c r="B1825" s="38" t="s">
        <v>12</v>
      </c>
      <c r="C1825" s="57">
        <v>71</v>
      </c>
      <c r="D1825" s="4" t="s">
        <v>312</v>
      </c>
      <c r="E1825"/>
      <c r="F1825"/>
      <c r="G1825"/>
      <c r="H1825"/>
      <c r="I1825"/>
      <c r="J1825"/>
      <c r="K1825"/>
    </row>
    <row r="1826" spans="2:11" ht="18" customHeight="1" x14ac:dyDescent="0.25">
      <c r="B1826" s="38" t="s">
        <v>13</v>
      </c>
      <c r="C1826" s="57">
        <v>0</v>
      </c>
      <c r="D1826" s="4" t="s">
        <v>313</v>
      </c>
      <c r="E1826"/>
      <c r="F1826"/>
      <c r="G1826"/>
      <c r="H1826"/>
      <c r="I1826"/>
      <c r="J1826"/>
      <c r="K1826"/>
    </row>
    <row r="1827" spans="2:11" ht="18" customHeight="1" x14ac:dyDescent="0.25">
      <c r="B1827" s="38" t="s">
        <v>14</v>
      </c>
      <c r="C1827" s="56"/>
      <c r="D1827"/>
      <c r="E1827"/>
      <c r="F1827"/>
      <c r="G1827"/>
      <c r="H1827"/>
      <c r="I1827"/>
      <c r="J1827"/>
      <c r="K1827"/>
    </row>
    <row r="1828" spans="2:11" ht="18" customHeight="1" x14ac:dyDescent="0.25">
      <c r="B1828" s="36" t="s">
        <v>41</v>
      </c>
      <c r="C1828" s="72" t="s">
        <v>261</v>
      </c>
      <c r="D1828" s="30" t="s">
        <v>42</v>
      </c>
      <c r="E1828"/>
      <c r="F1828"/>
      <c r="G1828"/>
      <c r="H1828"/>
      <c r="I1828"/>
      <c r="J1828"/>
      <c r="K1828"/>
    </row>
    <row r="1829" spans="2:11" ht="18" customHeight="1" x14ac:dyDescent="0.25">
      <c r="B1829" s="37" t="s">
        <v>15</v>
      </c>
      <c r="C1829" s="56"/>
      <c r="D1829"/>
      <c r="E1829"/>
      <c r="F1829"/>
      <c r="G1829"/>
      <c r="H1829"/>
      <c r="I1829"/>
      <c r="J1829"/>
      <c r="K1829"/>
    </row>
    <row r="1830" spans="2:11" ht="18" customHeight="1" x14ac:dyDescent="0.25">
      <c r="B1830" s="38" t="s">
        <v>17</v>
      </c>
      <c r="C1830" s="57" t="s">
        <v>47</v>
      </c>
      <c r="D1830" s="4" t="s">
        <v>47</v>
      </c>
      <c r="E1830"/>
      <c r="F1830"/>
      <c r="G1830"/>
      <c r="H1830"/>
      <c r="I1830"/>
      <c r="J1830"/>
      <c r="K1830"/>
    </row>
    <row r="1831" spans="2:11" ht="18" customHeight="1" x14ac:dyDescent="0.25">
      <c r="B1831" s="38" t="s">
        <v>18</v>
      </c>
      <c r="C1831" s="57" t="s">
        <v>285</v>
      </c>
      <c r="D1831" s="4" t="s">
        <v>106</v>
      </c>
      <c r="E1831"/>
      <c r="F1831"/>
      <c r="G1831"/>
      <c r="H1831"/>
      <c r="I1831"/>
      <c r="J1831"/>
      <c r="K1831"/>
    </row>
    <row r="1832" spans="2:11" ht="18" customHeight="1" x14ac:dyDescent="0.25">
      <c r="B1832" s="24"/>
      <c r="C1832" s="56"/>
      <c r="D1832"/>
      <c r="E1832"/>
      <c r="F1832"/>
      <c r="G1832"/>
      <c r="H1832"/>
      <c r="I1832"/>
      <c r="J1832"/>
      <c r="K1832"/>
    </row>
    <row r="1833" spans="2:11" ht="18" customHeight="1" x14ac:dyDescent="0.25">
      <c r="B1833" s="31" t="s">
        <v>19</v>
      </c>
      <c r="C1833" s="57">
        <v>2</v>
      </c>
      <c r="D1833" s="4">
        <v>2</v>
      </c>
      <c r="E1833"/>
      <c r="F1833"/>
      <c r="G1833"/>
      <c r="H1833"/>
      <c r="I1833"/>
      <c r="J1833"/>
      <c r="K1833"/>
    </row>
    <row r="1834" spans="2:11" ht="18" customHeight="1" x14ac:dyDescent="0.25">
      <c r="B1834" s="38" t="s">
        <v>20</v>
      </c>
      <c r="C1834" s="57">
        <v>0.35</v>
      </c>
      <c r="D1834" s="4">
        <v>0.35</v>
      </c>
      <c r="E1834"/>
      <c r="F1834"/>
      <c r="G1834"/>
      <c r="H1834"/>
      <c r="I1834"/>
      <c r="J1834"/>
      <c r="K1834"/>
    </row>
    <row r="1835" spans="2:11" ht="18" customHeight="1" x14ac:dyDescent="0.25">
      <c r="B1835" s="38" t="s">
        <v>21</v>
      </c>
      <c r="C1835" s="57">
        <v>2.5</v>
      </c>
      <c r="D1835" s="4">
        <v>2.5</v>
      </c>
      <c r="E1835"/>
      <c r="F1835"/>
      <c r="G1835"/>
      <c r="H1835"/>
      <c r="I1835"/>
      <c r="J1835"/>
      <c r="K1835"/>
    </row>
    <row r="1836" spans="2:11" ht="18" customHeight="1" x14ac:dyDescent="0.25">
      <c r="B1836" s="38" t="s">
        <v>22</v>
      </c>
      <c r="C1836" s="57">
        <v>0.35</v>
      </c>
      <c r="D1836" s="4">
        <v>0.35</v>
      </c>
      <c r="E1836"/>
      <c r="F1836"/>
      <c r="G1836"/>
      <c r="H1836"/>
      <c r="I1836"/>
      <c r="J1836"/>
      <c r="K1836"/>
    </row>
    <row r="1837" spans="2:11" ht="18" customHeight="1" x14ac:dyDescent="0.25">
      <c r="B1837" s="38" t="s">
        <v>23</v>
      </c>
      <c r="C1837" s="66"/>
      <c r="D1837"/>
      <c r="E1837"/>
      <c r="F1837"/>
      <c r="G1837"/>
      <c r="H1837"/>
      <c r="I1837"/>
      <c r="J1837"/>
      <c r="K1837"/>
    </row>
    <row r="1838" spans="2:11" ht="18" customHeight="1" x14ac:dyDescent="0.25">
      <c r="B1838" s="38" t="s">
        <v>24</v>
      </c>
      <c r="C1838" s="66"/>
      <c r="D1838"/>
      <c r="E1838"/>
      <c r="F1838"/>
      <c r="G1838"/>
      <c r="H1838"/>
      <c r="I1838"/>
      <c r="J1838"/>
      <c r="K1838"/>
    </row>
    <row r="1839" spans="2:11" ht="18" customHeight="1" x14ac:dyDescent="0.25">
      <c r="B1839" s="24"/>
      <c r="C1839" s="66"/>
      <c r="D1839"/>
      <c r="E1839"/>
      <c r="F1839"/>
      <c r="G1839"/>
      <c r="H1839"/>
      <c r="I1839"/>
      <c r="J1839"/>
      <c r="K1839"/>
    </row>
    <row r="1840" spans="2:11" ht="18" customHeight="1" x14ac:dyDescent="0.25">
      <c r="B1840" s="19" t="s">
        <v>33</v>
      </c>
      <c r="C1840" s="56"/>
      <c r="D1840"/>
      <c r="E1840"/>
      <c r="F1840"/>
      <c r="G1840"/>
      <c r="H1840"/>
      <c r="I1840"/>
      <c r="J1840"/>
      <c r="K1840"/>
    </row>
    <row r="1841" spans="2:11" ht="18" customHeight="1" x14ac:dyDescent="0.25">
      <c r="C1841" s="56"/>
      <c r="D1841"/>
      <c r="E1841"/>
      <c r="F1841"/>
      <c r="G1841"/>
      <c r="H1841"/>
      <c r="I1841"/>
      <c r="J1841"/>
      <c r="K1841"/>
    </row>
    <row r="1842" spans="2:11" ht="18" customHeight="1" x14ac:dyDescent="0.25">
      <c r="C1842" s="56"/>
      <c r="D1842"/>
      <c r="E1842"/>
      <c r="F1842"/>
      <c r="G1842"/>
      <c r="H1842"/>
      <c r="I1842"/>
      <c r="J1842"/>
      <c r="K1842"/>
    </row>
    <row r="1843" spans="2:11" ht="18" customHeight="1" x14ac:dyDescent="0.25">
      <c r="B1843" s="31" t="s">
        <v>0</v>
      </c>
      <c r="C1843" s="66" t="s">
        <v>144</v>
      </c>
      <c r="D1843"/>
      <c r="E1843"/>
      <c r="F1843"/>
      <c r="G1843"/>
      <c r="H1843"/>
      <c r="I1843"/>
      <c r="J1843"/>
      <c r="K1843"/>
    </row>
    <row r="1844" spans="2:11" ht="18" customHeight="1" x14ac:dyDescent="0.25">
      <c r="B1844" s="36" t="s">
        <v>3</v>
      </c>
      <c r="C1844" s="66">
        <v>2</v>
      </c>
      <c r="D1844"/>
      <c r="E1844"/>
      <c r="F1844"/>
      <c r="G1844"/>
      <c r="H1844"/>
      <c r="I1844"/>
      <c r="J1844"/>
      <c r="K1844"/>
    </row>
    <row r="1845" spans="2:11" ht="18" customHeight="1" x14ac:dyDescent="0.25">
      <c r="B1845" s="36"/>
      <c r="C1845" s="56"/>
      <c r="D1845"/>
      <c r="E1845"/>
      <c r="F1845"/>
      <c r="G1845"/>
      <c r="H1845"/>
      <c r="I1845"/>
      <c r="J1845"/>
      <c r="K1845"/>
    </row>
    <row r="1846" spans="2:11" ht="18" customHeight="1" x14ac:dyDescent="0.25">
      <c r="B1846" s="36" t="s">
        <v>6</v>
      </c>
      <c r="C1846" s="71">
        <v>39567</v>
      </c>
      <c r="D1846"/>
      <c r="E1846"/>
      <c r="F1846"/>
      <c r="G1846"/>
      <c r="H1846"/>
      <c r="I1846"/>
      <c r="J1846"/>
      <c r="K1846"/>
    </row>
    <row r="1847" spans="2:11" ht="18" customHeight="1" x14ac:dyDescent="0.25">
      <c r="B1847" s="37" t="s">
        <v>9</v>
      </c>
      <c r="C1847" s="65">
        <v>40092</v>
      </c>
      <c r="D1847" s="25">
        <v>40365</v>
      </c>
      <c r="E1847" s="25">
        <v>42065</v>
      </c>
      <c r="F1847" s="25">
        <v>42072</v>
      </c>
      <c r="G1847"/>
      <c r="H1847"/>
      <c r="I1847"/>
      <c r="J1847"/>
      <c r="K1847"/>
    </row>
    <row r="1848" spans="2:11" ht="18" customHeight="1" x14ac:dyDescent="0.25">
      <c r="B1848" s="37" t="s">
        <v>8</v>
      </c>
      <c r="C1848" s="66"/>
      <c r="D1848"/>
      <c r="E1848"/>
      <c r="F1848"/>
      <c r="G1848"/>
      <c r="H1848"/>
      <c r="I1848"/>
      <c r="J1848"/>
      <c r="K1848"/>
    </row>
    <row r="1849" spans="2:11" ht="18" customHeight="1" x14ac:dyDescent="0.25">
      <c r="B1849" s="38" t="s">
        <v>11</v>
      </c>
      <c r="C1849" s="57">
        <v>6.36</v>
      </c>
      <c r="D1849" s="4">
        <v>6.22</v>
      </c>
      <c r="E1849" s="4">
        <v>4.74</v>
      </c>
      <c r="F1849" s="4">
        <v>4.74</v>
      </c>
      <c r="G1849"/>
      <c r="H1849"/>
      <c r="I1849"/>
      <c r="J1849"/>
      <c r="K1849"/>
    </row>
    <row r="1850" spans="2:11" ht="18" customHeight="1" x14ac:dyDescent="0.25">
      <c r="B1850" s="38" t="s">
        <v>12</v>
      </c>
      <c r="C1850" s="57">
        <v>34</v>
      </c>
      <c r="D1850" s="4">
        <v>37</v>
      </c>
      <c r="E1850"/>
      <c r="F1850"/>
      <c r="G1850"/>
      <c r="H1850"/>
      <c r="I1850"/>
      <c r="J1850"/>
      <c r="K1850"/>
    </row>
    <row r="1851" spans="2:11" ht="18" customHeight="1" x14ac:dyDescent="0.25">
      <c r="B1851" s="38" t="s">
        <v>13</v>
      </c>
      <c r="C1851" s="57">
        <v>4</v>
      </c>
      <c r="D1851" s="4">
        <v>4</v>
      </c>
      <c r="E1851" s="4" t="s">
        <v>314</v>
      </c>
      <c r="F1851" s="4" t="s">
        <v>184</v>
      </c>
      <c r="G1851"/>
      <c r="H1851"/>
      <c r="I1851"/>
      <c r="J1851"/>
      <c r="K1851"/>
    </row>
    <row r="1852" spans="2:11" ht="18" customHeight="1" x14ac:dyDescent="0.25">
      <c r="B1852" s="38" t="s">
        <v>14</v>
      </c>
      <c r="C1852" s="56"/>
      <c r="D1852"/>
      <c r="E1852"/>
      <c r="F1852"/>
      <c r="G1852"/>
      <c r="H1852"/>
      <c r="I1852"/>
      <c r="J1852"/>
      <c r="K1852"/>
    </row>
    <row r="1853" spans="2:11" ht="18" customHeight="1" x14ac:dyDescent="0.25">
      <c r="B1853" s="36" t="s">
        <v>41</v>
      </c>
      <c r="C1853" s="72" t="s">
        <v>42</v>
      </c>
      <c r="D1853" s="30" t="s">
        <v>42</v>
      </c>
      <c r="E1853" s="4" t="s">
        <v>42</v>
      </c>
      <c r="F1853" s="4" t="s">
        <v>42</v>
      </c>
      <c r="G1853"/>
      <c r="H1853"/>
      <c r="I1853"/>
      <c r="J1853"/>
      <c r="K1853"/>
    </row>
    <row r="1854" spans="2:11" ht="18" customHeight="1" x14ac:dyDescent="0.25">
      <c r="B1854" s="37" t="s">
        <v>15</v>
      </c>
      <c r="C1854" s="56"/>
      <c r="D1854"/>
      <c r="E1854"/>
      <c r="F1854"/>
      <c r="G1854"/>
      <c r="H1854"/>
      <c r="I1854"/>
      <c r="J1854"/>
      <c r="K1854"/>
    </row>
    <row r="1855" spans="2:11" ht="18" customHeight="1" x14ac:dyDescent="0.25">
      <c r="B1855" s="38" t="s">
        <v>17</v>
      </c>
      <c r="C1855" s="57" t="s">
        <v>47</v>
      </c>
      <c r="D1855" s="4" t="s">
        <v>47</v>
      </c>
      <c r="E1855" s="4" t="s">
        <v>47</v>
      </c>
      <c r="F1855" s="4" t="s">
        <v>47</v>
      </c>
      <c r="G1855"/>
      <c r="H1855"/>
      <c r="I1855"/>
      <c r="J1855"/>
      <c r="K1855"/>
    </row>
    <row r="1856" spans="2:11" ht="18" customHeight="1" x14ac:dyDescent="0.25">
      <c r="B1856" s="38" t="s">
        <v>18</v>
      </c>
      <c r="C1856" s="57" t="s">
        <v>285</v>
      </c>
      <c r="D1856" s="4" t="s">
        <v>106</v>
      </c>
      <c r="E1856" s="4" t="s">
        <v>291</v>
      </c>
      <c r="F1856" s="4" t="s">
        <v>291</v>
      </c>
      <c r="G1856"/>
      <c r="H1856"/>
      <c r="I1856"/>
      <c r="J1856"/>
      <c r="K1856"/>
    </row>
    <row r="1857" spans="2:11" ht="18" customHeight="1" x14ac:dyDescent="0.25">
      <c r="B1857" s="24"/>
      <c r="C1857" s="56"/>
      <c r="D1857"/>
      <c r="E1857"/>
      <c r="F1857"/>
      <c r="G1857"/>
      <c r="H1857"/>
      <c r="I1857"/>
      <c r="J1857"/>
      <c r="K1857"/>
    </row>
    <row r="1858" spans="2:11" ht="18" customHeight="1" x14ac:dyDescent="0.25">
      <c r="B1858" s="31" t="s">
        <v>19</v>
      </c>
      <c r="C1858" s="57">
        <v>2</v>
      </c>
      <c r="D1858" s="4">
        <v>2</v>
      </c>
      <c r="E1858"/>
      <c r="F1858"/>
      <c r="G1858"/>
      <c r="H1858"/>
      <c r="I1858"/>
      <c r="J1858"/>
      <c r="K1858"/>
    </row>
    <row r="1859" spans="2:11" ht="18" customHeight="1" x14ac:dyDescent="0.25">
      <c r="B1859" s="38" t="s">
        <v>20</v>
      </c>
      <c r="C1859" s="57">
        <v>0.35</v>
      </c>
      <c r="D1859" s="4">
        <v>0.35</v>
      </c>
      <c r="E1859"/>
      <c r="F1859"/>
      <c r="G1859"/>
      <c r="H1859"/>
      <c r="I1859"/>
      <c r="J1859"/>
      <c r="K1859"/>
    </row>
    <row r="1860" spans="2:11" ht="18" customHeight="1" x14ac:dyDescent="0.25">
      <c r="B1860" s="38" t="s">
        <v>21</v>
      </c>
      <c r="C1860" s="57">
        <v>3.5</v>
      </c>
      <c r="D1860" s="4">
        <v>3.5</v>
      </c>
      <c r="E1860" s="4">
        <v>2.5</v>
      </c>
      <c r="F1860" s="4">
        <v>2.5</v>
      </c>
      <c r="G1860"/>
      <c r="H1860"/>
      <c r="I1860"/>
      <c r="J1860"/>
      <c r="K1860"/>
    </row>
    <row r="1861" spans="2:11" ht="18" customHeight="1" x14ac:dyDescent="0.25">
      <c r="B1861" s="38" t="s">
        <v>22</v>
      </c>
      <c r="C1861" s="57">
        <v>0.35</v>
      </c>
      <c r="D1861" s="4">
        <v>0.35</v>
      </c>
      <c r="E1861" s="4">
        <v>0.35</v>
      </c>
      <c r="F1861" s="4">
        <v>0.35</v>
      </c>
      <c r="G1861"/>
      <c r="H1861"/>
      <c r="I1861"/>
      <c r="J1861"/>
      <c r="K1861"/>
    </row>
    <row r="1862" spans="2:11" ht="18" customHeight="1" x14ac:dyDescent="0.25">
      <c r="B1862" s="38" t="s">
        <v>23</v>
      </c>
      <c r="C1862" s="66"/>
      <c r="D1862"/>
      <c r="E1862"/>
      <c r="F1862"/>
      <c r="G1862"/>
      <c r="H1862"/>
      <c r="I1862"/>
      <c r="J1862"/>
      <c r="K1862"/>
    </row>
    <row r="1863" spans="2:11" ht="18" customHeight="1" x14ac:dyDescent="0.25">
      <c r="B1863" s="38" t="s">
        <v>24</v>
      </c>
      <c r="C1863" s="66"/>
      <c r="D1863"/>
      <c r="E1863"/>
      <c r="F1863"/>
      <c r="G1863"/>
      <c r="H1863"/>
      <c r="I1863"/>
      <c r="J1863"/>
      <c r="K1863"/>
    </row>
    <row r="1864" spans="2:11" ht="18" customHeight="1" x14ac:dyDescent="0.25">
      <c r="B1864" s="24"/>
      <c r="C1864" s="66"/>
      <c r="D1864"/>
      <c r="E1864"/>
      <c r="F1864"/>
      <c r="G1864"/>
      <c r="H1864"/>
      <c r="I1864"/>
      <c r="J1864"/>
      <c r="K1864"/>
    </row>
    <row r="1865" spans="2:11" ht="18" customHeight="1" x14ac:dyDescent="0.25">
      <c r="B1865" s="19" t="s">
        <v>33</v>
      </c>
      <c r="C1865" s="56"/>
      <c r="D1865"/>
      <c r="E1865"/>
      <c r="F1865"/>
      <c r="G1865"/>
      <c r="H1865"/>
      <c r="I1865"/>
      <c r="J1865"/>
      <c r="K1865"/>
    </row>
    <row r="1866" spans="2:11" ht="18" customHeight="1" x14ac:dyDescent="0.25">
      <c r="C1866" s="56"/>
      <c r="D1866"/>
      <c r="E1866"/>
      <c r="F1866"/>
      <c r="G1866"/>
      <c r="H1866"/>
      <c r="I1866"/>
      <c r="J1866"/>
      <c r="K1866"/>
    </row>
    <row r="1867" spans="2:11" ht="18" customHeight="1" x14ac:dyDescent="0.25">
      <c r="C1867" s="56"/>
      <c r="D1867"/>
      <c r="E1867"/>
      <c r="F1867"/>
      <c r="G1867"/>
      <c r="H1867"/>
      <c r="I1867"/>
      <c r="J1867"/>
      <c r="K1867"/>
    </row>
    <row r="1868" spans="2:11" ht="18" customHeight="1" x14ac:dyDescent="0.25">
      <c r="C1868" s="56"/>
      <c r="D1868"/>
      <c r="E1868"/>
      <c r="F1868"/>
      <c r="G1868"/>
      <c r="H1868"/>
      <c r="I1868"/>
      <c r="J1868"/>
      <c r="K1868"/>
    </row>
    <row r="1869" spans="2:11" ht="18" customHeight="1" x14ac:dyDescent="0.25">
      <c r="B1869" s="31" t="s">
        <v>0</v>
      </c>
      <c r="C1869" s="66" t="s">
        <v>146</v>
      </c>
      <c r="D1869"/>
      <c r="E1869"/>
      <c r="F1869"/>
      <c r="G1869"/>
      <c r="H1869"/>
      <c r="I1869"/>
      <c r="J1869"/>
      <c r="K1869"/>
    </row>
    <row r="1870" spans="2:11" ht="18" customHeight="1" x14ac:dyDescent="0.25">
      <c r="B1870" s="36" t="s">
        <v>3</v>
      </c>
      <c r="C1870" s="66">
        <v>2</v>
      </c>
      <c r="D1870"/>
      <c r="E1870"/>
      <c r="F1870"/>
      <c r="G1870"/>
      <c r="H1870"/>
      <c r="I1870"/>
      <c r="J1870"/>
      <c r="K1870"/>
    </row>
    <row r="1871" spans="2:11" ht="18" customHeight="1" x14ac:dyDescent="0.25">
      <c r="B1871" s="36"/>
      <c r="C1871" s="56"/>
      <c r="D1871"/>
      <c r="E1871"/>
      <c r="F1871"/>
      <c r="G1871"/>
      <c r="H1871"/>
      <c r="I1871"/>
      <c r="J1871"/>
      <c r="K1871"/>
    </row>
    <row r="1872" spans="2:11" ht="18" customHeight="1" x14ac:dyDescent="0.25">
      <c r="B1872" s="36" t="s">
        <v>6</v>
      </c>
      <c r="C1872" s="71">
        <v>39140</v>
      </c>
      <c r="D1872"/>
      <c r="E1872"/>
      <c r="F1872"/>
      <c r="G1872"/>
      <c r="H1872"/>
      <c r="I1872"/>
      <c r="J1872"/>
      <c r="K1872"/>
    </row>
    <row r="1873" spans="2:11" ht="18" customHeight="1" x14ac:dyDescent="0.25">
      <c r="B1873" s="37" t="s">
        <v>9</v>
      </c>
      <c r="C1873" s="65">
        <v>40092</v>
      </c>
      <c r="D1873" s="25">
        <v>40302</v>
      </c>
      <c r="E1873"/>
      <c r="F1873"/>
      <c r="G1873"/>
      <c r="H1873"/>
      <c r="I1873"/>
      <c r="J1873"/>
      <c r="K1873"/>
    </row>
    <row r="1874" spans="2:11" ht="18" customHeight="1" x14ac:dyDescent="0.25">
      <c r="B1874" s="37" t="s">
        <v>8</v>
      </c>
      <c r="C1874" s="66"/>
      <c r="D1874"/>
      <c r="E1874"/>
      <c r="F1874"/>
      <c r="G1874"/>
      <c r="H1874"/>
      <c r="I1874"/>
      <c r="J1874"/>
      <c r="K1874"/>
    </row>
    <row r="1875" spans="2:11" ht="18" customHeight="1" x14ac:dyDescent="0.25">
      <c r="B1875" s="38" t="s">
        <v>11</v>
      </c>
      <c r="C1875" s="57">
        <v>6.16</v>
      </c>
      <c r="D1875" s="4">
        <v>5.93</v>
      </c>
      <c r="E1875"/>
      <c r="F1875"/>
      <c r="G1875"/>
      <c r="H1875"/>
      <c r="I1875"/>
      <c r="J1875"/>
      <c r="K1875"/>
    </row>
    <row r="1876" spans="2:11" ht="18" customHeight="1" x14ac:dyDescent="0.25">
      <c r="B1876" s="38" t="s">
        <v>12</v>
      </c>
      <c r="C1876" s="57">
        <v>4</v>
      </c>
      <c r="D1876" s="4">
        <v>4</v>
      </c>
      <c r="E1876"/>
      <c r="F1876"/>
      <c r="G1876"/>
      <c r="H1876"/>
      <c r="I1876"/>
      <c r="J1876"/>
      <c r="K1876"/>
    </row>
    <row r="1877" spans="2:11" ht="18" customHeight="1" x14ac:dyDescent="0.25">
      <c r="B1877" s="38" t="s">
        <v>13</v>
      </c>
      <c r="C1877" s="57">
        <v>37</v>
      </c>
      <c r="D1877" s="4">
        <v>25</v>
      </c>
      <c r="E1877"/>
      <c r="F1877"/>
      <c r="G1877"/>
      <c r="H1877"/>
      <c r="I1877"/>
      <c r="J1877"/>
      <c r="K1877"/>
    </row>
    <row r="1878" spans="2:11" ht="18" customHeight="1" x14ac:dyDescent="0.25">
      <c r="B1878" s="38" t="s">
        <v>14</v>
      </c>
      <c r="C1878" s="56"/>
      <c r="D1878"/>
      <c r="E1878"/>
      <c r="F1878"/>
      <c r="G1878"/>
      <c r="H1878"/>
      <c r="I1878"/>
      <c r="J1878"/>
      <c r="K1878"/>
    </row>
    <row r="1879" spans="2:11" ht="18" customHeight="1" x14ac:dyDescent="0.25">
      <c r="B1879" s="36" t="s">
        <v>41</v>
      </c>
      <c r="C1879" s="72" t="s">
        <v>42</v>
      </c>
      <c r="D1879" s="4" t="s">
        <v>45</v>
      </c>
      <c r="E1879"/>
      <c r="F1879"/>
      <c r="G1879"/>
      <c r="H1879"/>
      <c r="I1879"/>
      <c r="J1879"/>
      <c r="K1879"/>
    </row>
    <row r="1880" spans="2:11" ht="18" customHeight="1" x14ac:dyDescent="0.25">
      <c r="B1880" s="37" t="s">
        <v>15</v>
      </c>
      <c r="C1880" s="56"/>
      <c r="D1880"/>
      <c r="E1880"/>
      <c r="F1880"/>
      <c r="G1880"/>
      <c r="H1880"/>
      <c r="I1880"/>
      <c r="J1880"/>
      <c r="K1880"/>
    </row>
    <row r="1881" spans="2:11" ht="18" customHeight="1" x14ac:dyDescent="0.25">
      <c r="B1881" s="38" t="s">
        <v>17</v>
      </c>
      <c r="C1881" s="57" t="s">
        <v>47</v>
      </c>
      <c r="D1881" s="4" t="s">
        <v>47</v>
      </c>
      <c r="E1881"/>
      <c r="F1881"/>
      <c r="G1881"/>
      <c r="H1881"/>
      <c r="I1881"/>
      <c r="J1881"/>
      <c r="K1881"/>
    </row>
    <row r="1882" spans="2:11" ht="18" customHeight="1" x14ac:dyDescent="0.25">
      <c r="B1882" s="38" t="s">
        <v>18</v>
      </c>
      <c r="C1882" s="57" t="s">
        <v>285</v>
      </c>
      <c r="D1882" s="4" t="s">
        <v>285</v>
      </c>
      <c r="E1882"/>
      <c r="F1882"/>
      <c r="G1882"/>
      <c r="H1882"/>
      <c r="I1882"/>
      <c r="J1882"/>
      <c r="K1882"/>
    </row>
    <row r="1883" spans="2:11" ht="18" customHeight="1" x14ac:dyDescent="0.25">
      <c r="B1883" s="24"/>
      <c r="C1883" s="56"/>
      <c r="D1883"/>
      <c r="E1883"/>
      <c r="F1883"/>
      <c r="G1883"/>
      <c r="H1883"/>
      <c r="I1883"/>
      <c r="J1883"/>
      <c r="K1883"/>
    </row>
    <row r="1884" spans="2:11" ht="18" customHeight="1" x14ac:dyDescent="0.25">
      <c r="B1884" s="31" t="s">
        <v>19</v>
      </c>
      <c r="C1884" s="57">
        <v>2</v>
      </c>
      <c r="D1884" s="4">
        <v>2</v>
      </c>
      <c r="E1884"/>
      <c r="F1884"/>
      <c r="G1884"/>
      <c r="H1884"/>
      <c r="I1884"/>
      <c r="J1884"/>
      <c r="K1884"/>
    </row>
    <row r="1885" spans="2:11" ht="18" customHeight="1" x14ac:dyDescent="0.25">
      <c r="B1885" s="38" t="s">
        <v>20</v>
      </c>
      <c r="C1885" s="57">
        <v>0.35</v>
      </c>
      <c r="D1885" s="4">
        <v>0.35</v>
      </c>
      <c r="E1885"/>
      <c r="F1885"/>
      <c r="G1885"/>
      <c r="H1885"/>
      <c r="I1885"/>
      <c r="J1885"/>
      <c r="K1885"/>
    </row>
    <row r="1886" spans="2:11" ht="18" customHeight="1" x14ac:dyDescent="0.25">
      <c r="B1886" s="38" t="s">
        <v>21</v>
      </c>
      <c r="C1886" s="57">
        <v>3</v>
      </c>
      <c r="D1886" s="4">
        <v>3</v>
      </c>
      <c r="E1886"/>
      <c r="F1886"/>
      <c r="G1886"/>
      <c r="H1886"/>
      <c r="I1886"/>
      <c r="J1886"/>
      <c r="K1886"/>
    </row>
    <row r="1887" spans="2:11" ht="18" customHeight="1" x14ac:dyDescent="0.25">
      <c r="B1887" s="38" t="s">
        <v>22</v>
      </c>
      <c r="C1887" s="57">
        <v>0.35</v>
      </c>
      <c r="D1887" s="4">
        <v>0.35</v>
      </c>
      <c r="E1887"/>
      <c r="F1887"/>
      <c r="G1887"/>
      <c r="H1887"/>
      <c r="I1887"/>
      <c r="J1887"/>
      <c r="K1887"/>
    </row>
    <row r="1888" spans="2:11" ht="18" customHeight="1" x14ac:dyDescent="0.25">
      <c r="B1888" s="38" t="s">
        <v>23</v>
      </c>
      <c r="C1888" s="66"/>
      <c r="D1888"/>
      <c r="E1888"/>
      <c r="F1888"/>
      <c r="G1888"/>
      <c r="H1888"/>
      <c r="I1888"/>
      <c r="J1888"/>
      <c r="K1888"/>
    </row>
    <row r="1889" spans="2:11" ht="18" customHeight="1" x14ac:dyDescent="0.25">
      <c r="B1889" s="38" t="s">
        <v>24</v>
      </c>
      <c r="C1889" s="66"/>
      <c r="D1889"/>
      <c r="E1889"/>
      <c r="F1889"/>
      <c r="G1889"/>
      <c r="H1889"/>
      <c r="I1889"/>
      <c r="J1889"/>
      <c r="K1889"/>
    </row>
    <row r="1890" spans="2:11" ht="18" customHeight="1" x14ac:dyDescent="0.25">
      <c r="B1890" s="24"/>
      <c r="C1890" s="66"/>
      <c r="D1890"/>
      <c r="E1890"/>
      <c r="F1890"/>
      <c r="G1890"/>
      <c r="H1890"/>
      <c r="I1890"/>
      <c r="J1890"/>
      <c r="K1890"/>
    </row>
    <row r="1891" spans="2:11" ht="18" customHeight="1" x14ac:dyDescent="0.25">
      <c r="B1891" s="19" t="s">
        <v>33</v>
      </c>
      <c r="C1891" s="56"/>
      <c r="D1891"/>
      <c r="E1891"/>
      <c r="F1891"/>
      <c r="G1891"/>
      <c r="H1891"/>
      <c r="I1891"/>
      <c r="J1891"/>
      <c r="K1891"/>
    </row>
    <row r="1892" spans="2:11" ht="18" customHeight="1" x14ac:dyDescent="0.25">
      <c r="C1892" s="56"/>
      <c r="D1892"/>
      <c r="E1892"/>
      <c r="F1892"/>
      <c r="G1892"/>
      <c r="H1892"/>
      <c r="I1892"/>
      <c r="J1892"/>
      <c r="K1892"/>
    </row>
    <row r="1893" spans="2:11" ht="18" customHeight="1" x14ac:dyDescent="0.25">
      <c r="C1893" s="56"/>
      <c r="D1893"/>
      <c r="E1893"/>
      <c r="F1893"/>
      <c r="G1893"/>
      <c r="H1893"/>
      <c r="I1893"/>
      <c r="J1893"/>
      <c r="K1893"/>
    </row>
    <row r="1894" spans="2:11" ht="18" customHeight="1" x14ac:dyDescent="0.25">
      <c r="C1894" s="56"/>
      <c r="D1894"/>
      <c r="E1894"/>
      <c r="F1894"/>
      <c r="G1894"/>
      <c r="H1894"/>
      <c r="I1894"/>
      <c r="J1894"/>
      <c r="K1894"/>
    </row>
    <row r="1895" spans="2:11" ht="18" customHeight="1" x14ac:dyDescent="0.25">
      <c r="B1895" s="31" t="s">
        <v>0</v>
      </c>
      <c r="C1895" s="66" t="s">
        <v>147</v>
      </c>
      <c r="D1895"/>
      <c r="E1895"/>
      <c r="F1895"/>
      <c r="G1895"/>
      <c r="H1895"/>
      <c r="I1895"/>
      <c r="J1895"/>
      <c r="K1895"/>
    </row>
    <row r="1896" spans="2:11" ht="18" customHeight="1" x14ac:dyDescent="0.25">
      <c r="B1896" s="36" t="s">
        <v>3</v>
      </c>
      <c r="C1896" s="66">
        <v>2</v>
      </c>
      <c r="D1896"/>
      <c r="E1896"/>
      <c r="F1896"/>
      <c r="G1896"/>
      <c r="H1896"/>
      <c r="I1896"/>
      <c r="J1896"/>
      <c r="K1896"/>
    </row>
    <row r="1897" spans="2:11" ht="18" customHeight="1" x14ac:dyDescent="0.25">
      <c r="B1897" s="36"/>
      <c r="C1897" s="56"/>
      <c r="D1897"/>
      <c r="E1897"/>
      <c r="F1897"/>
      <c r="G1897"/>
      <c r="H1897"/>
      <c r="I1897"/>
      <c r="J1897"/>
      <c r="K1897"/>
    </row>
    <row r="1898" spans="2:11" ht="18" customHeight="1" x14ac:dyDescent="0.25">
      <c r="B1898" s="36" t="s">
        <v>6</v>
      </c>
      <c r="C1898" s="71">
        <v>39972</v>
      </c>
      <c r="D1898"/>
      <c r="E1898"/>
      <c r="F1898"/>
      <c r="G1898"/>
      <c r="H1898"/>
      <c r="I1898"/>
      <c r="J1898"/>
      <c r="K1898"/>
    </row>
    <row r="1899" spans="2:11" ht="18" customHeight="1" x14ac:dyDescent="0.25">
      <c r="B1899" s="37" t="s">
        <v>9</v>
      </c>
      <c r="C1899" s="65">
        <v>40204</v>
      </c>
      <c r="D1899" s="25">
        <v>40274</v>
      </c>
      <c r="E1899" s="25">
        <v>40659</v>
      </c>
      <c r="F1899" s="25">
        <v>41547</v>
      </c>
      <c r="G1899" s="25">
        <v>42011</v>
      </c>
      <c r="H1899"/>
      <c r="I1899"/>
      <c r="J1899"/>
      <c r="K1899"/>
    </row>
    <row r="1900" spans="2:11" ht="18" customHeight="1" x14ac:dyDescent="0.25">
      <c r="B1900" s="37" t="s">
        <v>8</v>
      </c>
      <c r="C1900" s="66"/>
      <c r="D1900"/>
      <c r="E1900"/>
      <c r="F1900"/>
      <c r="G1900"/>
      <c r="H1900"/>
      <c r="I1900"/>
      <c r="J1900"/>
      <c r="K1900"/>
    </row>
    <row r="1901" spans="2:11" ht="18" customHeight="1" x14ac:dyDescent="0.25">
      <c r="B1901" s="38" t="s">
        <v>11</v>
      </c>
      <c r="C1901" s="57">
        <v>6.46</v>
      </c>
      <c r="D1901" s="4">
        <v>6.44</v>
      </c>
      <c r="E1901" s="4">
        <v>6.39</v>
      </c>
      <c r="F1901" s="4">
        <v>5.39</v>
      </c>
      <c r="G1901" s="4">
        <v>5.14</v>
      </c>
      <c r="H1901"/>
      <c r="I1901"/>
      <c r="J1901"/>
      <c r="K1901"/>
    </row>
    <row r="1902" spans="2:11" ht="18" customHeight="1" x14ac:dyDescent="0.25">
      <c r="B1902" s="38" t="s">
        <v>12</v>
      </c>
      <c r="C1902" s="57">
        <v>0</v>
      </c>
      <c r="D1902" s="4">
        <v>0</v>
      </c>
      <c r="E1902" s="4">
        <v>2</v>
      </c>
      <c r="F1902" s="4">
        <v>5</v>
      </c>
      <c r="G1902" s="4">
        <v>3</v>
      </c>
      <c r="H1902"/>
      <c r="I1902"/>
      <c r="J1902"/>
      <c r="K1902"/>
    </row>
    <row r="1903" spans="2:11" ht="18" customHeight="1" x14ac:dyDescent="0.25">
      <c r="B1903" s="38" t="s">
        <v>13</v>
      </c>
      <c r="C1903" s="57">
        <v>0</v>
      </c>
      <c r="D1903" s="4">
        <v>0</v>
      </c>
      <c r="E1903" s="4">
        <v>0</v>
      </c>
      <c r="F1903" s="4">
        <v>0</v>
      </c>
      <c r="G1903" s="4">
        <v>0</v>
      </c>
      <c r="H1903"/>
      <c r="I1903"/>
      <c r="J1903"/>
      <c r="K1903"/>
    </row>
    <row r="1904" spans="2:11" ht="18" customHeight="1" x14ac:dyDescent="0.25">
      <c r="B1904" s="38" t="s">
        <v>14</v>
      </c>
      <c r="C1904" s="56"/>
      <c r="D1904"/>
      <c r="E1904"/>
      <c r="F1904"/>
      <c r="G1904"/>
      <c r="H1904"/>
      <c r="I1904"/>
      <c r="J1904"/>
      <c r="K1904"/>
    </row>
    <row r="1905" spans="2:11" ht="18" customHeight="1" x14ac:dyDescent="0.25">
      <c r="B1905" s="36" t="s">
        <v>41</v>
      </c>
      <c r="C1905" s="72" t="s">
        <v>42</v>
      </c>
      <c r="D1905" s="30" t="s">
        <v>42</v>
      </c>
      <c r="E1905" s="30" t="s">
        <v>42</v>
      </c>
      <c r="F1905"/>
      <c r="G1905"/>
      <c r="H1905"/>
      <c r="I1905"/>
      <c r="J1905"/>
      <c r="K1905"/>
    </row>
    <row r="1906" spans="2:11" ht="18" customHeight="1" x14ac:dyDescent="0.25">
      <c r="B1906" s="37" t="s">
        <v>15</v>
      </c>
      <c r="C1906" s="56"/>
      <c r="D1906"/>
      <c r="E1906"/>
      <c r="F1906"/>
      <c r="G1906"/>
      <c r="H1906"/>
      <c r="I1906"/>
      <c r="J1906"/>
      <c r="K1906"/>
    </row>
    <row r="1907" spans="2:11" ht="18" customHeight="1" x14ac:dyDescent="0.25">
      <c r="B1907" s="38" t="s">
        <v>17</v>
      </c>
      <c r="C1907" s="57" t="s">
        <v>110</v>
      </c>
      <c r="D1907" s="4" t="s">
        <v>110</v>
      </c>
      <c r="E1907" s="4" t="s">
        <v>67</v>
      </c>
      <c r="F1907" s="4" t="s">
        <v>67</v>
      </c>
      <c r="G1907" s="4" t="s">
        <v>67</v>
      </c>
      <c r="H1907"/>
      <c r="I1907"/>
      <c r="J1907"/>
      <c r="K1907"/>
    </row>
    <row r="1908" spans="2:11" ht="18" customHeight="1" x14ac:dyDescent="0.25">
      <c r="B1908" s="38" t="s">
        <v>18</v>
      </c>
      <c r="C1908" s="57" t="s">
        <v>285</v>
      </c>
      <c r="D1908" s="4" t="s">
        <v>285</v>
      </c>
      <c r="E1908" s="4" t="s">
        <v>106</v>
      </c>
      <c r="F1908" s="4" t="s">
        <v>106</v>
      </c>
      <c r="G1908" s="4" t="s">
        <v>106</v>
      </c>
      <c r="H1908"/>
      <c r="I1908"/>
      <c r="J1908"/>
      <c r="K1908"/>
    </row>
    <row r="1909" spans="2:11" ht="18" customHeight="1" x14ac:dyDescent="0.25">
      <c r="B1909" s="24"/>
      <c r="C1909" s="56"/>
      <c r="D1909"/>
      <c r="E1909"/>
      <c r="F1909"/>
      <c r="G1909"/>
      <c r="H1909"/>
      <c r="I1909"/>
      <c r="J1909"/>
      <c r="K1909"/>
    </row>
    <row r="1910" spans="2:11" ht="18" customHeight="1" x14ac:dyDescent="0.25">
      <c r="B1910" s="31" t="s">
        <v>19</v>
      </c>
      <c r="C1910" s="57">
        <v>3.5</v>
      </c>
      <c r="D1910" s="4">
        <v>3.5</v>
      </c>
      <c r="E1910" s="4">
        <v>2</v>
      </c>
      <c r="F1910" s="4">
        <v>2</v>
      </c>
      <c r="G1910" s="4">
        <v>2</v>
      </c>
      <c r="H1910"/>
      <c r="I1910"/>
      <c r="J1910"/>
      <c r="K1910"/>
    </row>
    <row r="1911" spans="2:11" ht="18" customHeight="1" x14ac:dyDescent="0.25">
      <c r="B1911" s="38" t="s">
        <v>20</v>
      </c>
      <c r="C1911" s="57">
        <v>0.35</v>
      </c>
      <c r="D1911" s="4">
        <v>0.35</v>
      </c>
      <c r="E1911" s="4">
        <v>0.35</v>
      </c>
      <c r="F1911" s="4">
        <v>0.35</v>
      </c>
      <c r="G1911" s="4">
        <v>0.35</v>
      </c>
      <c r="H1911"/>
      <c r="I1911"/>
      <c r="J1911"/>
      <c r="K1911"/>
    </row>
    <row r="1912" spans="2:11" ht="18" customHeight="1" x14ac:dyDescent="0.25">
      <c r="B1912" s="38" t="s">
        <v>21</v>
      </c>
      <c r="C1912" s="57">
        <v>3.5</v>
      </c>
      <c r="D1912" s="4">
        <v>3.5</v>
      </c>
      <c r="E1912" s="4">
        <v>4.5</v>
      </c>
      <c r="F1912" s="4">
        <v>7</v>
      </c>
      <c r="G1912" s="4">
        <v>7</v>
      </c>
      <c r="H1912"/>
      <c r="I1912"/>
      <c r="J1912"/>
      <c r="K1912"/>
    </row>
    <row r="1913" spans="2:11" ht="18" customHeight="1" x14ac:dyDescent="0.25">
      <c r="B1913" s="38" t="s">
        <v>22</v>
      </c>
      <c r="C1913" s="57">
        <v>0.35</v>
      </c>
      <c r="D1913" s="4">
        <v>0.35</v>
      </c>
      <c r="E1913" s="4">
        <v>0.5</v>
      </c>
      <c r="F1913" s="4">
        <v>1</v>
      </c>
      <c r="G1913" s="4">
        <v>1</v>
      </c>
      <c r="H1913"/>
      <c r="I1913"/>
      <c r="J1913"/>
      <c r="K1913"/>
    </row>
    <row r="1914" spans="2:11" ht="18" customHeight="1" x14ac:dyDescent="0.25">
      <c r="B1914" s="38" t="s">
        <v>23</v>
      </c>
      <c r="C1914" s="66"/>
      <c r="D1914" s="24"/>
      <c r="E1914" s="24"/>
      <c r="F1914" s="24"/>
      <c r="G1914" s="24"/>
      <c r="H1914"/>
      <c r="I1914"/>
      <c r="J1914"/>
      <c r="K1914"/>
    </row>
    <row r="1915" spans="2:11" ht="18" customHeight="1" x14ac:dyDescent="0.25">
      <c r="B1915" s="38" t="s">
        <v>24</v>
      </c>
      <c r="C1915" s="66"/>
      <c r="D1915" s="24"/>
      <c r="E1915" s="24"/>
      <c r="F1915" s="24"/>
      <c r="G1915" s="24"/>
      <c r="H1915"/>
      <c r="I1915"/>
      <c r="J1915"/>
      <c r="K1915"/>
    </row>
    <row r="1916" spans="2:11" ht="18" customHeight="1" x14ac:dyDescent="0.25">
      <c r="B1916" s="24"/>
      <c r="C1916" s="66"/>
      <c r="D1916" s="24"/>
      <c r="E1916" s="24"/>
      <c r="F1916"/>
      <c r="G1916"/>
      <c r="H1916"/>
      <c r="I1916"/>
      <c r="J1916"/>
      <c r="K1916"/>
    </row>
    <row r="1917" spans="2:11" ht="18" customHeight="1" x14ac:dyDescent="0.25">
      <c r="B1917" s="19" t="s">
        <v>33</v>
      </c>
      <c r="C1917" s="56"/>
      <c r="D1917"/>
      <c r="E1917"/>
      <c r="F1917"/>
      <c r="G1917"/>
      <c r="H1917"/>
      <c r="I1917"/>
      <c r="J1917"/>
      <c r="K1917"/>
    </row>
    <row r="1918" spans="2:11" ht="18" customHeight="1" x14ac:dyDescent="0.25">
      <c r="C1918" s="56"/>
      <c r="D1918"/>
      <c r="E1918"/>
      <c r="F1918"/>
      <c r="G1918"/>
      <c r="H1918"/>
      <c r="I1918"/>
      <c r="J1918"/>
      <c r="K1918"/>
    </row>
    <row r="1919" spans="2:11" ht="18" customHeight="1" x14ac:dyDescent="0.25">
      <c r="C1919" s="56"/>
      <c r="D1919"/>
      <c r="E1919"/>
      <c r="F1919"/>
      <c r="G1919"/>
      <c r="H1919"/>
      <c r="I1919"/>
      <c r="J1919"/>
      <c r="K1919"/>
    </row>
    <row r="1920" spans="2:11" ht="18" customHeight="1" x14ac:dyDescent="0.25">
      <c r="B1920" s="31" t="s">
        <v>0</v>
      </c>
      <c r="C1920" s="66" t="s">
        <v>163</v>
      </c>
      <c r="D1920"/>
      <c r="E1920"/>
      <c r="F1920"/>
      <c r="G1920"/>
      <c r="H1920"/>
      <c r="I1920"/>
      <c r="J1920"/>
      <c r="K1920"/>
    </row>
    <row r="1921" spans="2:11" ht="18" customHeight="1" x14ac:dyDescent="0.25">
      <c r="B1921" s="36" t="s">
        <v>3</v>
      </c>
      <c r="C1921" s="66">
        <v>2</v>
      </c>
      <c r="D1921"/>
      <c r="E1921"/>
      <c r="F1921"/>
      <c r="G1921"/>
      <c r="H1921"/>
      <c r="I1921"/>
      <c r="J1921"/>
      <c r="K1921"/>
    </row>
    <row r="1922" spans="2:11" ht="18" customHeight="1" x14ac:dyDescent="0.25">
      <c r="B1922" s="36"/>
      <c r="C1922" s="56"/>
      <c r="D1922"/>
      <c r="E1922"/>
      <c r="F1922"/>
      <c r="G1922"/>
      <c r="H1922"/>
      <c r="I1922"/>
      <c r="J1922"/>
      <c r="K1922"/>
    </row>
    <row r="1923" spans="2:11" ht="18" customHeight="1" x14ac:dyDescent="0.25">
      <c r="B1923" s="36" t="s">
        <v>6</v>
      </c>
      <c r="C1923" s="71">
        <v>39147</v>
      </c>
      <c r="D1923"/>
      <c r="E1923"/>
      <c r="F1923"/>
      <c r="G1923"/>
      <c r="H1923"/>
      <c r="I1923"/>
      <c r="J1923"/>
      <c r="K1923"/>
    </row>
    <row r="1924" spans="2:11" ht="18" customHeight="1" x14ac:dyDescent="0.25">
      <c r="B1924" s="37" t="s">
        <v>9</v>
      </c>
      <c r="C1924" s="65">
        <v>40188</v>
      </c>
      <c r="D1924" s="25">
        <v>41114</v>
      </c>
      <c r="E1924" s="25">
        <v>41274</v>
      </c>
      <c r="F1924"/>
      <c r="G1924"/>
      <c r="H1924"/>
      <c r="I1924"/>
      <c r="J1924"/>
      <c r="K1924"/>
    </row>
    <row r="1925" spans="2:11" ht="18" customHeight="1" x14ac:dyDescent="0.25">
      <c r="B1925" s="37" t="s">
        <v>8</v>
      </c>
      <c r="C1925" s="66"/>
      <c r="D1925"/>
      <c r="E1925"/>
      <c r="F1925"/>
      <c r="G1925"/>
      <c r="H1925"/>
      <c r="I1925"/>
      <c r="J1925"/>
      <c r="K1925"/>
    </row>
    <row r="1926" spans="2:11" ht="18" customHeight="1" x14ac:dyDescent="0.25">
      <c r="B1926" s="38" t="s">
        <v>11</v>
      </c>
      <c r="C1926" s="57">
        <v>6.22</v>
      </c>
      <c r="D1926" s="4">
        <v>5.2</v>
      </c>
      <c r="E1926" s="4">
        <v>5.17</v>
      </c>
      <c r="F1926"/>
      <c r="G1926"/>
      <c r="H1926"/>
      <c r="I1926"/>
      <c r="J1926"/>
      <c r="K1926"/>
    </row>
    <row r="1927" spans="2:11" ht="18" customHeight="1" x14ac:dyDescent="0.25">
      <c r="B1927" s="38" t="s">
        <v>12</v>
      </c>
      <c r="C1927" s="57">
        <v>8</v>
      </c>
      <c r="D1927" s="4">
        <v>6</v>
      </c>
      <c r="E1927" s="4">
        <v>58</v>
      </c>
      <c r="F1927"/>
      <c r="G1927"/>
      <c r="H1927"/>
      <c r="I1927"/>
      <c r="J1927"/>
      <c r="K1927"/>
    </row>
    <row r="1928" spans="2:11" ht="18" customHeight="1" x14ac:dyDescent="0.25">
      <c r="B1928" s="38" t="s">
        <v>13</v>
      </c>
      <c r="C1928" s="57">
        <v>0</v>
      </c>
      <c r="D1928" s="4">
        <v>0</v>
      </c>
      <c r="E1928" s="4">
        <v>0</v>
      </c>
      <c r="F1928"/>
      <c r="G1928"/>
      <c r="H1928"/>
      <c r="I1928"/>
      <c r="J1928"/>
      <c r="K1928"/>
    </row>
    <row r="1929" spans="2:11" ht="18" customHeight="1" x14ac:dyDescent="0.25">
      <c r="B1929" s="38" t="s">
        <v>14</v>
      </c>
      <c r="C1929" s="56"/>
      <c r="D1929"/>
      <c r="E1929"/>
      <c r="F1929"/>
      <c r="G1929"/>
      <c r="H1929"/>
      <c r="I1929"/>
      <c r="J1929"/>
      <c r="K1929"/>
    </row>
    <row r="1930" spans="2:11" ht="18" customHeight="1" x14ac:dyDescent="0.25">
      <c r="B1930" s="36" t="s">
        <v>41</v>
      </c>
      <c r="C1930" s="72" t="s">
        <v>42</v>
      </c>
      <c r="D1930" s="30" t="s">
        <v>315</v>
      </c>
      <c r="E1930" s="4" t="s">
        <v>316</v>
      </c>
      <c r="F1930"/>
      <c r="G1930"/>
      <c r="H1930"/>
      <c r="I1930"/>
      <c r="J1930"/>
      <c r="K1930"/>
    </row>
    <row r="1931" spans="2:11" ht="18" customHeight="1" x14ac:dyDescent="0.25">
      <c r="B1931" s="37" t="s">
        <v>15</v>
      </c>
      <c r="C1931" s="56"/>
      <c r="D1931"/>
      <c r="E1931"/>
      <c r="F1931"/>
      <c r="G1931"/>
      <c r="H1931"/>
      <c r="I1931"/>
      <c r="J1931"/>
      <c r="K1931"/>
    </row>
    <row r="1932" spans="2:11" ht="18" customHeight="1" x14ac:dyDescent="0.25">
      <c r="B1932" s="38" t="s">
        <v>17</v>
      </c>
      <c r="C1932" s="57" t="s">
        <v>67</v>
      </c>
      <c r="D1932" s="4" t="s">
        <v>67</v>
      </c>
      <c r="E1932" s="4" t="s">
        <v>47</v>
      </c>
      <c r="F1932"/>
      <c r="G1932"/>
      <c r="H1932"/>
      <c r="I1932"/>
      <c r="J1932"/>
      <c r="K1932"/>
    </row>
    <row r="1933" spans="2:11" ht="18" customHeight="1" x14ac:dyDescent="0.25">
      <c r="B1933" s="38" t="s">
        <v>18</v>
      </c>
      <c r="C1933" s="57" t="s">
        <v>285</v>
      </c>
      <c r="D1933" s="4" t="s">
        <v>285</v>
      </c>
      <c r="E1933" s="4" t="s">
        <v>285</v>
      </c>
      <c r="F1933"/>
      <c r="G1933"/>
      <c r="H1933"/>
      <c r="I1933"/>
      <c r="J1933"/>
      <c r="K1933"/>
    </row>
    <row r="1934" spans="2:11" ht="18" customHeight="1" x14ac:dyDescent="0.25">
      <c r="B1934" s="24"/>
      <c r="C1934" s="56"/>
      <c r="D1934"/>
      <c r="E1934"/>
      <c r="F1934"/>
      <c r="G1934"/>
      <c r="H1934"/>
      <c r="I1934"/>
      <c r="J1934"/>
      <c r="K1934"/>
    </row>
    <row r="1935" spans="2:11" ht="18" customHeight="1" x14ac:dyDescent="0.25">
      <c r="B1935" s="31" t="s">
        <v>19</v>
      </c>
      <c r="C1935" s="57">
        <v>2.5</v>
      </c>
      <c r="D1935" s="4">
        <v>2.5</v>
      </c>
      <c r="E1935" s="4">
        <v>3</v>
      </c>
      <c r="F1935"/>
      <c r="G1935"/>
      <c r="H1935"/>
      <c r="I1935"/>
      <c r="J1935"/>
      <c r="K1935"/>
    </row>
    <row r="1936" spans="2:11" ht="18" customHeight="1" x14ac:dyDescent="0.25">
      <c r="B1936" s="38" t="s">
        <v>20</v>
      </c>
      <c r="C1936" s="57">
        <v>0.5</v>
      </c>
      <c r="D1936" s="4">
        <v>0.5</v>
      </c>
      <c r="E1936" s="4">
        <v>0.5</v>
      </c>
      <c r="F1936"/>
      <c r="G1936"/>
      <c r="H1936"/>
      <c r="I1936"/>
      <c r="J1936"/>
      <c r="K1936"/>
    </row>
    <row r="1937" spans="2:11" ht="18" customHeight="1" x14ac:dyDescent="0.25">
      <c r="B1937" s="38" t="s">
        <v>21</v>
      </c>
      <c r="C1937" s="57">
        <v>2.5</v>
      </c>
      <c r="D1937" s="4">
        <v>2.5</v>
      </c>
      <c r="E1937" s="4">
        <v>2.5</v>
      </c>
      <c r="F1937"/>
      <c r="G1937"/>
      <c r="H1937"/>
      <c r="I1937"/>
      <c r="J1937"/>
      <c r="K1937"/>
    </row>
    <row r="1938" spans="2:11" ht="18" customHeight="1" x14ac:dyDescent="0.25">
      <c r="B1938" s="38" t="s">
        <v>22</v>
      </c>
      <c r="C1938" s="57">
        <v>0.5</v>
      </c>
      <c r="D1938" s="4">
        <v>0.5</v>
      </c>
      <c r="E1938" s="4">
        <v>0.5</v>
      </c>
      <c r="F1938"/>
      <c r="G1938"/>
      <c r="H1938"/>
      <c r="I1938"/>
      <c r="J1938"/>
      <c r="K1938"/>
    </row>
    <row r="1939" spans="2:11" ht="18" customHeight="1" x14ac:dyDescent="0.25">
      <c r="B1939" s="38" t="s">
        <v>23</v>
      </c>
      <c r="C1939" s="66"/>
      <c r="D1939" s="24"/>
      <c r="E1939"/>
      <c r="F1939"/>
      <c r="G1939"/>
      <c r="H1939"/>
      <c r="I1939"/>
      <c r="J1939"/>
      <c r="K1939"/>
    </row>
    <row r="1940" spans="2:11" ht="18" customHeight="1" x14ac:dyDescent="0.25">
      <c r="B1940" s="38" t="s">
        <v>24</v>
      </c>
      <c r="C1940" s="66"/>
      <c r="D1940" s="24"/>
      <c r="E1940"/>
      <c r="F1940"/>
      <c r="G1940"/>
      <c r="H1940"/>
      <c r="I1940"/>
      <c r="J1940"/>
      <c r="K1940"/>
    </row>
    <row r="1941" spans="2:11" ht="18" customHeight="1" x14ac:dyDescent="0.25">
      <c r="B1941" s="24"/>
      <c r="C1941" s="66"/>
      <c r="D1941" s="24"/>
      <c r="E1941"/>
      <c r="F1941"/>
      <c r="G1941"/>
      <c r="H1941"/>
      <c r="I1941"/>
      <c r="J1941"/>
      <c r="K1941"/>
    </row>
    <row r="1942" spans="2:11" ht="18" customHeight="1" x14ac:dyDescent="0.25">
      <c r="B1942" s="19" t="s">
        <v>33</v>
      </c>
      <c r="C1942" s="56"/>
      <c r="D1942"/>
      <c r="E1942"/>
      <c r="F1942"/>
      <c r="G1942"/>
      <c r="H1942"/>
      <c r="I1942"/>
      <c r="J1942"/>
      <c r="K1942"/>
    </row>
    <row r="1943" spans="2:11" ht="18" customHeight="1" x14ac:dyDescent="0.25">
      <c r="C1943" s="56"/>
      <c r="D1943"/>
      <c r="E1943"/>
      <c r="F1943"/>
      <c r="G1943"/>
      <c r="H1943"/>
      <c r="I1943"/>
      <c r="J1943"/>
      <c r="K1943"/>
    </row>
    <row r="1944" spans="2:11" ht="18" customHeight="1" x14ac:dyDescent="0.25">
      <c r="C1944" s="56"/>
      <c r="D1944"/>
      <c r="E1944"/>
      <c r="F1944"/>
      <c r="G1944"/>
      <c r="H1944"/>
      <c r="I1944"/>
      <c r="J1944"/>
      <c r="K1944"/>
    </row>
    <row r="1945" spans="2:11" ht="18" customHeight="1" x14ac:dyDescent="0.25">
      <c r="B1945" s="31" t="s">
        <v>0</v>
      </c>
      <c r="C1945" s="66" t="s">
        <v>317</v>
      </c>
      <c r="D1945"/>
      <c r="E1945"/>
      <c r="F1945"/>
      <c r="G1945"/>
      <c r="H1945"/>
      <c r="I1945"/>
      <c r="J1945"/>
      <c r="K1945"/>
    </row>
    <row r="1946" spans="2:11" ht="18" customHeight="1" x14ac:dyDescent="0.25">
      <c r="B1946" s="36" t="s">
        <v>3</v>
      </c>
      <c r="C1946" s="66">
        <v>2</v>
      </c>
      <c r="D1946"/>
      <c r="E1946"/>
      <c r="F1946"/>
      <c r="G1946"/>
      <c r="H1946"/>
      <c r="I1946"/>
      <c r="J1946"/>
      <c r="K1946"/>
    </row>
    <row r="1947" spans="2:11" ht="18" customHeight="1" x14ac:dyDescent="0.25">
      <c r="B1947" s="36"/>
      <c r="C1947" s="56"/>
      <c r="D1947"/>
      <c r="E1947"/>
      <c r="F1947"/>
      <c r="G1947"/>
      <c r="H1947"/>
      <c r="I1947"/>
      <c r="J1947"/>
      <c r="K1947"/>
    </row>
    <row r="1948" spans="2:11" ht="18" customHeight="1" x14ac:dyDescent="0.25">
      <c r="B1948" s="36" t="s">
        <v>6</v>
      </c>
      <c r="C1948" s="71">
        <v>39175</v>
      </c>
      <c r="D1948"/>
      <c r="E1948"/>
      <c r="F1948"/>
      <c r="G1948"/>
      <c r="H1948"/>
      <c r="I1948"/>
      <c r="J1948"/>
      <c r="K1948"/>
    </row>
    <row r="1949" spans="2:11" ht="18" customHeight="1" x14ac:dyDescent="0.25">
      <c r="B1949" s="37" t="s">
        <v>9</v>
      </c>
      <c r="C1949" s="71">
        <v>40127</v>
      </c>
      <c r="D1949" s="25">
        <v>40191</v>
      </c>
      <c r="E1949" s="25">
        <v>40309</v>
      </c>
      <c r="F1949" s="25">
        <v>40337</v>
      </c>
      <c r="G1949" s="25">
        <v>41969</v>
      </c>
      <c r="H1949"/>
      <c r="I1949"/>
      <c r="J1949"/>
      <c r="K1949"/>
    </row>
    <row r="1950" spans="2:11" ht="18" customHeight="1" x14ac:dyDescent="0.25">
      <c r="B1950" s="37" t="s">
        <v>8</v>
      </c>
      <c r="C1950" s="56"/>
      <c r="D1950"/>
      <c r="E1950"/>
      <c r="F1950"/>
      <c r="G1950"/>
      <c r="H1950"/>
      <c r="I1950"/>
      <c r="J1950"/>
      <c r="K1950"/>
    </row>
    <row r="1951" spans="2:11" ht="18" customHeight="1" x14ac:dyDescent="0.25">
      <c r="B1951" s="38" t="s">
        <v>11</v>
      </c>
      <c r="C1951" s="57">
        <v>6.26</v>
      </c>
      <c r="D1951" s="4">
        <v>6.16</v>
      </c>
      <c r="E1951" s="4">
        <v>6.02</v>
      </c>
      <c r="F1951" s="4">
        <v>6.05</v>
      </c>
      <c r="G1951" s="4">
        <v>4.63</v>
      </c>
      <c r="H1951"/>
      <c r="I1951"/>
      <c r="J1951"/>
      <c r="K1951"/>
    </row>
    <row r="1952" spans="2:11" ht="18" customHeight="1" x14ac:dyDescent="0.25">
      <c r="B1952" s="38" t="s">
        <v>12</v>
      </c>
      <c r="C1952" s="57">
        <v>0</v>
      </c>
      <c r="D1952" s="4">
        <v>0</v>
      </c>
      <c r="E1952" s="4">
        <v>0</v>
      </c>
      <c r="F1952" s="4">
        <v>0</v>
      </c>
      <c r="G1952" s="4">
        <v>1</v>
      </c>
      <c r="H1952"/>
      <c r="I1952"/>
      <c r="J1952"/>
      <c r="K1952"/>
    </row>
    <row r="1953" spans="2:11" ht="18" customHeight="1" x14ac:dyDescent="0.25">
      <c r="B1953" s="38" t="s">
        <v>13</v>
      </c>
      <c r="C1953" s="57">
        <v>0</v>
      </c>
      <c r="D1953" s="4">
        <v>0</v>
      </c>
      <c r="E1953" s="4">
        <v>0</v>
      </c>
      <c r="F1953" s="4">
        <v>0</v>
      </c>
      <c r="G1953" s="4">
        <v>100</v>
      </c>
      <c r="H1953"/>
      <c r="I1953"/>
      <c r="J1953"/>
      <c r="K1953"/>
    </row>
    <row r="1954" spans="2:11" ht="18" customHeight="1" x14ac:dyDescent="0.25">
      <c r="B1954" s="38" t="s">
        <v>14</v>
      </c>
      <c r="C1954" s="56"/>
      <c r="D1954"/>
      <c r="E1954"/>
      <c r="F1954"/>
      <c r="G1954"/>
      <c r="H1954"/>
      <c r="I1954"/>
      <c r="J1954"/>
      <c r="K1954"/>
    </row>
    <row r="1955" spans="2:11" ht="18" customHeight="1" x14ac:dyDescent="0.25">
      <c r="B1955" s="36" t="s">
        <v>41</v>
      </c>
      <c r="C1955" s="72" t="s">
        <v>42</v>
      </c>
      <c r="D1955" s="30" t="s">
        <v>45</v>
      </c>
      <c r="E1955" s="30" t="s">
        <v>45</v>
      </c>
      <c r="F1955" s="30" t="s">
        <v>42</v>
      </c>
      <c r="G1955" s="4" t="s">
        <v>42</v>
      </c>
      <c r="H1955"/>
      <c r="I1955"/>
      <c r="J1955"/>
      <c r="K1955"/>
    </row>
    <row r="1956" spans="2:11" ht="18" customHeight="1" x14ac:dyDescent="0.25">
      <c r="B1956" s="37" t="s">
        <v>15</v>
      </c>
      <c r="C1956" s="56"/>
      <c r="D1956"/>
      <c r="E1956"/>
      <c r="F1956"/>
      <c r="G1956"/>
      <c r="H1956"/>
      <c r="I1956"/>
      <c r="J1956"/>
      <c r="K1956"/>
    </row>
    <row r="1957" spans="2:11" ht="18" customHeight="1" x14ac:dyDescent="0.25">
      <c r="B1957" s="38" t="s">
        <v>17</v>
      </c>
      <c r="C1957" s="57" t="s">
        <v>47</v>
      </c>
      <c r="D1957" s="4" t="s">
        <v>47</v>
      </c>
      <c r="E1957" s="4" t="s">
        <v>47</v>
      </c>
      <c r="F1957" s="4" t="s">
        <v>47</v>
      </c>
      <c r="G1957" s="4" t="s">
        <v>81</v>
      </c>
      <c r="H1957"/>
      <c r="I1957"/>
      <c r="J1957"/>
      <c r="K1957"/>
    </row>
    <row r="1958" spans="2:11" ht="18" customHeight="1" x14ac:dyDescent="0.25">
      <c r="B1958" s="38" t="s">
        <v>18</v>
      </c>
      <c r="C1958" s="57" t="s">
        <v>285</v>
      </c>
      <c r="D1958" s="4" t="s">
        <v>285</v>
      </c>
      <c r="E1958" s="4" t="s">
        <v>285</v>
      </c>
      <c r="F1958" s="4" t="s">
        <v>285</v>
      </c>
      <c r="G1958" s="4" t="s">
        <v>69</v>
      </c>
      <c r="H1958"/>
      <c r="I1958"/>
      <c r="J1958"/>
      <c r="K1958"/>
    </row>
    <row r="1959" spans="2:11" ht="18" customHeight="1" x14ac:dyDescent="0.25">
      <c r="B1959" s="24"/>
      <c r="C1959" s="56"/>
      <c r="D1959"/>
      <c r="E1959"/>
      <c r="F1959"/>
      <c r="G1959"/>
      <c r="H1959"/>
      <c r="I1959"/>
      <c r="J1959"/>
      <c r="K1959"/>
    </row>
    <row r="1960" spans="2:11" ht="18" customHeight="1" x14ac:dyDescent="0.25">
      <c r="B1960" s="31" t="s">
        <v>19</v>
      </c>
      <c r="C1960" s="57">
        <v>2.5</v>
      </c>
      <c r="D1960" s="4">
        <v>2.5</v>
      </c>
      <c r="E1960" s="4">
        <v>2.5</v>
      </c>
      <c r="F1960" s="4">
        <v>2.5</v>
      </c>
      <c r="G1960" s="4">
        <v>2</v>
      </c>
      <c r="H1960"/>
      <c r="I1960"/>
      <c r="J1960"/>
      <c r="K1960"/>
    </row>
    <row r="1961" spans="2:11" ht="18" customHeight="1" x14ac:dyDescent="0.25">
      <c r="B1961" s="38" t="s">
        <v>20</v>
      </c>
      <c r="C1961" s="57">
        <v>0.35</v>
      </c>
      <c r="D1961" s="4">
        <v>0.35</v>
      </c>
      <c r="E1961" s="4">
        <v>0.35</v>
      </c>
      <c r="F1961" s="4">
        <v>0.35</v>
      </c>
      <c r="G1961" s="4">
        <v>0.35</v>
      </c>
      <c r="H1961"/>
      <c r="I1961"/>
      <c r="J1961"/>
      <c r="K1961"/>
    </row>
    <row r="1962" spans="2:11" ht="18" customHeight="1" x14ac:dyDescent="0.25">
      <c r="B1962" s="38" t="s">
        <v>21</v>
      </c>
      <c r="C1962" s="57">
        <v>3</v>
      </c>
      <c r="D1962" s="4">
        <v>3</v>
      </c>
      <c r="E1962" s="4">
        <v>3</v>
      </c>
      <c r="F1962" s="4">
        <v>3</v>
      </c>
      <c r="G1962" s="4">
        <v>3</v>
      </c>
      <c r="H1962"/>
      <c r="I1962"/>
      <c r="J1962"/>
      <c r="K1962"/>
    </row>
    <row r="1963" spans="2:11" ht="18" customHeight="1" x14ac:dyDescent="0.25">
      <c r="B1963" s="38" t="s">
        <v>22</v>
      </c>
      <c r="C1963" s="57">
        <v>0.35</v>
      </c>
      <c r="D1963" s="4">
        <v>0.35</v>
      </c>
      <c r="E1963" s="4">
        <v>0.35</v>
      </c>
      <c r="F1963" s="4">
        <v>0.35</v>
      </c>
      <c r="G1963" s="4">
        <v>0.35</v>
      </c>
      <c r="H1963"/>
      <c r="I1963"/>
      <c r="J1963"/>
      <c r="K1963"/>
    </row>
    <row r="1964" spans="2:11" ht="18" customHeight="1" x14ac:dyDescent="0.25">
      <c r="B1964" s="38" t="s">
        <v>23</v>
      </c>
      <c r="C1964" s="66"/>
      <c r="D1964" s="24"/>
      <c r="E1964" s="24"/>
      <c r="F1964" s="24"/>
      <c r="G1964"/>
      <c r="H1964"/>
      <c r="I1964"/>
      <c r="J1964"/>
      <c r="K1964"/>
    </row>
    <row r="1965" spans="2:11" ht="18" customHeight="1" x14ac:dyDescent="0.25">
      <c r="B1965" s="38" t="s">
        <v>24</v>
      </c>
      <c r="C1965" s="66"/>
      <c r="D1965"/>
      <c r="E1965"/>
      <c r="F1965"/>
      <c r="G1965"/>
      <c r="H1965"/>
      <c r="I1965"/>
      <c r="J1965"/>
      <c r="K1965"/>
    </row>
    <row r="1966" spans="2:11" ht="18" customHeight="1" x14ac:dyDescent="0.25">
      <c r="B1966" s="24"/>
      <c r="C1966" s="66"/>
      <c r="D1966"/>
      <c r="E1966"/>
      <c r="F1966"/>
      <c r="G1966"/>
      <c r="H1966"/>
      <c r="I1966"/>
      <c r="J1966"/>
      <c r="K1966"/>
    </row>
    <row r="1967" spans="2:11" ht="18" customHeight="1" x14ac:dyDescent="0.25">
      <c r="B1967" s="19" t="s">
        <v>33</v>
      </c>
      <c r="C1967" s="56"/>
      <c r="D1967"/>
      <c r="E1967"/>
      <c r="F1967"/>
      <c r="G1967"/>
      <c r="H1967"/>
      <c r="I1967"/>
      <c r="J1967"/>
      <c r="K1967"/>
    </row>
    <row r="1968" spans="2:11" ht="18" customHeight="1" x14ac:dyDescent="0.25">
      <c r="C1968" s="56"/>
      <c r="D1968"/>
      <c r="E1968"/>
      <c r="F1968"/>
      <c r="G1968"/>
      <c r="H1968"/>
      <c r="I1968"/>
      <c r="J1968"/>
      <c r="K1968"/>
    </row>
    <row r="1969" spans="2:11" ht="18" customHeight="1" x14ac:dyDescent="0.25">
      <c r="C1969" s="56"/>
      <c r="D1969"/>
      <c r="E1969"/>
      <c r="F1969"/>
      <c r="G1969"/>
      <c r="H1969"/>
      <c r="I1969"/>
      <c r="J1969"/>
      <c r="K1969"/>
    </row>
    <row r="1970" spans="2:11" ht="18" customHeight="1" x14ac:dyDescent="0.25">
      <c r="C1970" s="56"/>
      <c r="D1970"/>
      <c r="E1970"/>
      <c r="F1970"/>
      <c r="G1970"/>
      <c r="H1970"/>
      <c r="I1970"/>
      <c r="J1970"/>
      <c r="K1970"/>
    </row>
    <row r="1971" spans="2:11" ht="18" customHeight="1" x14ac:dyDescent="0.25">
      <c r="B1971" s="31" t="s">
        <v>0</v>
      </c>
      <c r="C1971" s="66" t="s">
        <v>318</v>
      </c>
      <c r="D1971"/>
      <c r="E1971"/>
      <c r="F1971"/>
      <c r="G1971"/>
      <c r="H1971"/>
      <c r="I1971"/>
      <c r="J1971"/>
      <c r="K1971"/>
    </row>
    <row r="1972" spans="2:11" ht="18" customHeight="1" x14ac:dyDescent="0.25">
      <c r="B1972" s="36" t="s">
        <v>3</v>
      </c>
      <c r="C1972" s="66">
        <v>2</v>
      </c>
      <c r="D1972"/>
      <c r="E1972"/>
      <c r="F1972"/>
      <c r="G1972"/>
      <c r="H1972"/>
      <c r="I1972"/>
      <c r="J1972"/>
      <c r="K1972"/>
    </row>
    <row r="1973" spans="2:11" ht="18" customHeight="1" x14ac:dyDescent="0.25">
      <c r="B1973" s="36"/>
      <c r="C1973" s="56"/>
      <c r="D1973"/>
      <c r="E1973"/>
      <c r="F1973"/>
      <c r="G1973"/>
      <c r="H1973"/>
      <c r="I1973"/>
      <c r="J1973"/>
      <c r="K1973"/>
    </row>
    <row r="1974" spans="2:11" ht="18" customHeight="1" x14ac:dyDescent="0.25">
      <c r="B1974" s="36" t="s">
        <v>6</v>
      </c>
      <c r="C1974" s="71">
        <v>39864</v>
      </c>
      <c r="D1974"/>
      <c r="E1974"/>
      <c r="F1974"/>
      <c r="G1974"/>
      <c r="H1974"/>
      <c r="I1974"/>
      <c r="J1974"/>
      <c r="K1974"/>
    </row>
    <row r="1975" spans="2:11" ht="18" customHeight="1" x14ac:dyDescent="0.25">
      <c r="B1975" s="37" t="s">
        <v>9</v>
      </c>
      <c r="C1975" s="65">
        <v>40092</v>
      </c>
      <c r="D1975" s="25">
        <v>40365</v>
      </c>
      <c r="E1975"/>
      <c r="F1975"/>
      <c r="G1975"/>
      <c r="H1975"/>
      <c r="I1975"/>
      <c r="J1975"/>
      <c r="K1975"/>
    </row>
    <row r="1976" spans="2:11" ht="18" customHeight="1" x14ac:dyDescent="0.25">
      <c r="B1976" s="37" t="s">
        <v>8</v>
      </c>
      <c r="C1976" s="71"/>
      <c r="D1976"/>
      <c r="E1976"/>
      <c r="F1976"/>
      <c r="G1976"/>
      <c r="H1976"/>
      <c r="I1976"/>
      <c r="J1976"/>
      <c r="K1976"/>
    </row>
    <row r="1977" spans="2:11" ht="18" customHeight="1" x14ac:dyDescent="0.25">
      <c r="B1977" s="38" t="s">
        <v>11</v>
      </c>
      <c r="C1977" s="57">
        <v>6.47</v>
      </c>
      <c r="D1977" s="4">
        <v>6.44</v>
      </c>
      <c r="E1977"/>
      <c r="F1977"/>
      <c r="G1977"/>
      <c r="H1977"/>
      <c r="I1977"/>
      <c r="J1977"/>
      <c r="K1977"/>
    </row>
    <row r="1978" spans="2:11" ht="18" customHeight="1" x14ac:dyDescent="0.25">
      <c r="B1978" s="38" t="s">
        <v>12</v>
      </c>
      <c r="C1978" s="57">
        <v>6</v>
      </c>
      <c r="D1978" s="4">
        <v>2</v>
      </c>
      <c r="E1978"/>
      <c r="F1978"/>
      <c r="G1978"/>
      <c r="H1978"/>
      <c r="I1978"/>
      <c r="J1978"/>
      <c r="K1978"/>
    </row>
    <row r="1979" spans="2:11" ht="18" customHeight="1" x14ac:dyDescent="0.25">
      <c r="B1979" s="38" t="s">
        <v>13</v>
      </c>
      <c r="C1979" s="57">
        <v>19</v>
      </c>
      <c r="D1979" s="4">
        <v>61</v>
      </c>
      <c r="E1979"/>
      <c r="F1979"/>
      <c r="G1979"/>
      <c r="H1979"/>
      <c r="I1979"/>
      <c r="J1979"/>
      <c r="K1979"/>
    </row>
    <row r="1980" spans="2:11" ht="18" customHeight="1" x14ac:dyDescent="0.25">
      <c r="B1980" s="38" t="s">
        <v>14</v>
      </c>
      <c r="C1980" s="56"/>
      <c r="D1980"/>
      <c r="E1980"/>
      <c r="F1980"/>
      <c r="G1980"/>
      <c r="H1980"/>
      <c r="I1980"/>
      <c r="J1980"/>
      <c r="K1980"/>
    </row>
    <row r="1981" spans="2:11" ht="18" customHeight="1" x14ac:dyDescent="0.25">
      <c r="B1981" s="36" t="s">
        <v>41</v>
      </c>
      <c r="C1981" s="72" t="s">
        <v>319</v>
      </c>
      <c r="D1981" s="4" t="s">
        <v>42</v>
      </c>
      <c r="E1981"/>
      <c r="F1981"/>
      <c r="G1981"/>
      <c r="H1981"/>
      <c r="I1981"/>
      <c r="J1981"/>
      <c r="K1981"/>
    </row>
    <row r="1982" spans="2:11" ht="18" customHeight="1" x14ac:dyDescent="0.25">
      <c r="B1982" s="37" t="s">
        <v>15</v>
      </c>
      <c r="C1982" s="56"/>
      <c r="D1982"/>
      <c r="E1982"/>
      <c r="F1982"/>
      <c r="G1982"/>
      <c r="H1982"/>
      <c r="I1982"/>
      <c r="J1982"/>
      <c r="K1982"/>
    </row>
    <row r="1983" spans="2:11" ht="18" customHeight="1" x14ac:dyDescent="0.25">
      <c r="B1983" s="38" t="s">
        <v>17</v>
      </c>
      <c r="C1983" s="57" t="s">
        <v>67</v>
      </c>
      <c r="D1983" s="4" t="s">
        <v>67</v>
      </c>
      <c r="E1983"/>
      <c r="F1983"/>
      <c r="G1983"/>
      <c r="H1983"/>
      <c r="I1983"/>
      <c r="J1983"/>
      <c r="K1983"/>
    </row>
    <row r="1984" spans="2:11" ht="18" customHeight="1" x14ac:dyDescent="0.25">
      <c r="B1984" s="38" t="s">
        <v>18</v>
      </c>
      <c r="C1984" s="57" t="s">
        <v>285</v>
      </c>
      <c r="D1984" s="4" t="s">
        <v>285</v>
      </c>
      <c r="E1984"/>
      <c r="F1984"/>
      <c r="G1984"/>
      <c r="H1984"/>
      <c r="I1984"/>
      <c r="J1984"/>
      <c r="K1984"/>
    </row>
    <row r="1985" spans="2:11" ht="18" customHeight="1" x14ac:dyDescent="0.25">
      <c r="B1985" s="24"/>
      <c r="C1985" s="56"/>
      <c r="D1985"/>
      <c r="E1985"/>
      <c r="F1985"/>
      <c r="G1985"/>
      <c r="H1985"/>
      <c r="I1985"/>
      <c r="J1985"/>
      <c r="K1985"/>
    </row>
    <row r="1986" spans="2:11" ht="18" customHeight="1" x14ac:dyDescent="0.25">
      <c r="B1986" s="31" t="s">
        <v>19</v>
      </c>
      <c r="C1986" s="57">
        <v>2.5</v>
      </c>
      <c r="D1986" s="4">
        <v>2.5</v>
      </c>
      <c r="E1986"/>
      <c r="F1986"/>
      <c r="G1986"/>
      <c r="H1986"/>
      <c r="I1986"/>
      <c r="J1986"/>
      <c r="K1986"/>
    </row>
    <row r="1987" spans="2:11" ht="18" customHeight="1" x14ac:dyDescent="0.25">
      <c r="B1987" s="38" t="s">
        <v>20</v>
      </c>
      <c r="C1987" s="57">
        <v>0.35</v>
      </c>
      <c r="D1987" s="4">
        <v>0.35</v>
      </c>
      <c r="E1987"/>
      <c r="F1987"/>
      <c r="G1987"/>
      <c r="H1987"/>
      <c r="I1987"/>
      <c r="J1987"/>
      <c r="K1987"/>
    </row>
    <row r="1988" spans="2:11" ht="18" customHeight="1" x14ac:dyDescent="0.25">
      <c r="B1988" s="38" t="s">
        <v>21</v>
      </c>
      <c r="C1988" s="57">
        <v>3.5</v>
      </c>
      <c r="D1988" s="4">
        <v>3.5</v>
      </c>
      <c r="E1988"/>
      <c r="F1988"/>
      <c r="G1988"/>
      <c r="H1988"/>
      <c r="I1988"/>
      <c r="J1988"/>
      <c r="K1988"/>
    </row>
    <row r="1989" spans="2:11" ht="18" customHeight="1" x14ac:dyDescent="0.25">
      <c r="B1989" s="38" t="s">
        <v>22</v>
      </c>
      <c r="C1989" s="57">
        <v>0.35</v>
      </c>
      <c r="D1989" s="4">
        <v>0.35</v>
      </c>
      <c r="E1989"/>
      <c r="F1989"/>
      <c r="G1989"/>
      <c r="H1989"/>
      <c r="I1989"/>
      <c r="J1989"/>
      <c r="K1989"/>
    </row>
    <row r="1990" spans="2:11" ht="18" customHeight="1" x14ac:dyDescent="0.25">
      <c r="B1990" s="38" t="s">
        <v>23</v>
      </c>
      <c r="C1990" s="66"/>
      <c r="D1990"/>
      <c r="E1990"/>
      <c r="F1990"/>
      <c r="G1990"/>
      <c r="H1990"/>
      <c r="I1990"/>
      <c r="J1990"/>
      <c r="K1990"/>
    </row>
    <row r="1991" spans="2:11" ht="18" customHeight="1" x14ac:dyDescent="0.25">
      <c r="B1991" s="38" t="s">
        <v>24</v>
      </c>
      <c r="C1991" s="66"/>
      <c r="D1991"/>
      <c r="E1991"/>
      <c r="F1991"/>
      <c r="G1991"/>
      <c r="H1991"/>
      <c r="I1991"/>
      <c r="J1991"/>
      <c r="K1991"/>
    </row>
    <row r="1992" spans="2:11" ht="18" customHeight="1" x14ac:dyDescent="0.25">
      <c r="B1992" s="24"/>
      <c r="C1992" s="66"/>
      <c r="D1992"/>
      <c r="E1992"/>
      <c r="F1992"/>
      <c r="G1992"/>
      <c r="H1992"/>
      <c r="I1992"/>
      <c r="J1992"/>
      <c r="K1992"/>
    </row>
    <row r="1993" spans="2:11" ht="18" customHeight="1" x14ac:dyDescent="0.25">
      <c r="B1993" s="19" t="s">
        <v>33</v>
      </c>
      <c r="C1993" s="56"/>
      <c r="D1993"/>
      <c r="E1993"/>
      <c r="F1993"/>
      <c r="G1993"/>
      <c r="H1993"/>
      <c r="I1993"/>
      <c r="J1993"/>
      <c r="K1993"/>
    </row>
    <row r="1994" spans="2:11" ht="18" customHeight="1" x14ac:dyDescent="0.25">
      <c r="C1994" s="56"/>
      <c r="D1994"/>
      <c r="E1994"/>
      <c r="F1994"/>
      <c r="G1994"/>
      <c r="H1994"/>
      <c r="I1994"/>
      <c r="J1994"/>
      <c r="K1994"/>
    </row>
    <row r="1995" spans="2:11" ht="18" customHeight="1" x14ac:dyDescent="0.25">
      <c r="C1995" s="56"/>
      <c r="D1995"/>
      <c r="E1995"/>
      <c r="F1995"/>
      <c r="G1995"/>
      <c r="H1995"/>
      <c r="I1995"/>
      <c r="J1995"/>
      <c r="K1995"/>
    </row>
    <row r="1996" spans="2:11" ht="18" customHeight="1" x14ac:dyDescent="0.25">
      <c r="B1996" s="31" t="s">
        <v>0</v>
      </c>
      <c r="C1996" s="66" t="s">
        <v>318</v>
      </c>
      <c r="D1996"/>
      <c r="E1996"/>
      <c r="F1996"/>
      <c r="G1996"/>
      <c r="H1996"/>
      <c r="I1996"/>
      <c r="J1996"/>
      <c r="K1996"/>
    </row>
    <row r="1997" spans="2:11" ht="18" customHeight="1" x14ac:dyDescent="0.25">
      <c r="B1997" s="36" t="s">
        <v>3</v>
      </c>
      <c r="C1997" s="66">
        <v>2</v>
      </c>
      <c r="D1997"/>
      <c r="E1997"/>
      <c r="F1997"/>
      <c r="G1997"/>
      <c r="H1997"/>
      <c r="I1997"/>
      <c r="J1997"/>
      <c r="K1997"/>
    </row>
    <row r="1998" spans="2:11" ht="18" customHeight="1" x14ac:dyDescent="0.25">
      <c r="B1998" s="36"/>
      <c r="C1998" s="56"/>
      <c r="D1998"/>
      <c r="E1998"/>
      <c r="F1998"/>
      <c r="G1998"/>
      <c r="H1998"/>
      <c r="I1998"/>
      <c r="J1998"/>
      <c r="K1998"/>
    </row>
    <row r="1999" spans="2:11" ht="18" customHeight="1" x14ac:dyDescent="0.25">
      <c r="B1999" s="36" t="s">
        <v>6</v>
      </c>
      <c r="C1999" s="71">
        <v>39864</v>
      </c>
      <c r="D1999"/>
      <c r="E1999"/>
      <c r="F1999"/>
      <c r="G1999"/>
      <c r="H1999"/>
      <c r="I1999"/>
      <c r="J1999"/>
      <c r="K1999"/>
    </row>
    <row r="2000" spans="2:11" ht="18" customHeight="1" x14ac:dyDescent="0.25">
      <c r="B2000" s="37" t="s">
        <v>9</v>
      </c>
      <c r="C2000" s="65">
        <v>40092</v>
      </c>
      <c r="D2000" s="25">
        <v>40365</v>
      </c>
      <c r="E2000"/>
      <c r="F2000"/>
      <c r="G2000"/>
      <c r="H2000"/>
      <c r="I2000"/>
      <c r="J2000"/>
      <c r="K2000"/>
    </row>
    <row r="2001" spans="2:11" ht="18" customHeight="1" x14ac:dyDescent="0.25">
      <c r="B2001" s="37" t="s">
        <v>8</v>
      </c>
      <c r="C2001" s="71"/>
      <c r="D2001"/>
      <c r="E2001"/>
      <c r="F2001"/>
      <c r="G2001"/>
      <c r="H2001"/>
      <c r="I2001"/>
      <c r="J2001"/>
      <c r="K2001"/>
    </row>
    <row r="2002" spans="2:11" ht="18" customHeight="1" x14ac:dyDescent="0.25">
      <c r="B2002" s="38" t="s">
        <v>11</v>
      </c>
      <c r="C2002" s="57">
        <v>6.47</v>
      </c>
      <c r="D2002" s="4">
        <v>6.44</v>
      </c>
      <c r="E2002"/>
      <c r="F2002"/>
      <c r="G2002"/>
      <c r="H2002"/>
      <c r="I2002"/>
      <c r="J2002"/>
      <c r="K2002"/>
    </row>
    <row r="2003" spans="2:11" ht="18" customHeight="1" x14ac:dyDescent="0.25">
      <c r="B2003" s="38" t="s">
        <v>12</v>
      </c>
      <c r="C2003" s="57">
        <v>6</v>
      </c>
      <c r="D2003" s="4">
        <v>2</v>
      </c>
      <c r="E2003"/>
      <c r="F2003"/>
      <c r="G2003"/>
      <c r="H2003"/>
      <c r="I2003"/>
      <c r="J2003"/>
      <c r="K2003"/>
    </row>
    <row r="2004" spans="2:11" ht="18" customHeight="1" x14ac:dyDescent="0.25">
      <c r="B2004" s="38" t="s">
        <v>13</v>
      </c>
      <c r="C2004" s="57">
        <v>19</v>
      </c>
      <c r="D2004" s="4">
        <v>61</v>
      </c>
      <c r="E2004"/>
      <c r="F2004"/>
      <c r="G2004"/>
      <c r="H2004"/>
      <c r="I2004"/>
      <c r="J2004"/>
      <c r="K2004"/>
    </row>
    <row r="2005" spans="2:11" ht="18" customHeight="1" x14ac:dyDescent="0.25">
      <c r="B2005" s="38" t="s">
        <v>14</v>
      </c>
      <c r="C2005" s="56"/>
      <c r="D2005"/>
      <c r="E2005"/>
      <c r="F2005"/>
      <c r="G2005"/>
      <c r="H2005"/>
      <c r="I2005"/>
      <c r="J2005"/>
      <c r="K2005"/>
    </row>
    <row r="2006" spans="2:11" ht="18" customHeight="1" x14ac:dyDescent="0.25">
      <c r="B2006" s="36" t="s">
        <v>41</v>
      </c>
      <c r="C2006" s="72" t="s">
        <v>319</v>
      </c>
      <c r="D2006" s="4" t="s">
        <v>42</v>
      </c>
      <c r="E2006"/>
      <c r="F2006"/>
      <c r="G2006"/>
      <c r="H2006"/>
      <c r="I2006"/>
      <c r="J2006"/>
      <c r="K2006"/>
    </row>
    <row r="2007" spans="2:11" ht="18" customHeight="1" x14ac:dyDescent="0.25">
      <c r="B2007" s="37" t="s">
        <v>15</v>
      </c>
      <c r="C2007" s="56"/>
      <c r="D2007"/>
      <c r="E2007"/>
      <c r="F2007"/>
      <c r="G2007"/>
      <c r="H2007"/>
      <c r="I2007"/>
      <c r="J2007"/>
      <c r="K2007"/>
    </row>
    <row r="2008" spans="2:11" ht="18" customHeight="1" x14ac:dyDescent="0.25">
      <c r="B2008" s="38" t="s">
        <v>17</v>
      </c>
      <c r="C2008" s="57" t="s">
        <v>67</v>
      </c>
      <c r="D2008" s="4" t="s">
        <v>67</v>
      </c>
      <c r="E2008"/>
      <c r="F2008"/>
      <c r="G2008"/>
      <c r="H2008"/>
      <c r="I2008"/>
      <c r="J2008"/>
      <c r="K2008"/>
    </row>
    <row r="2009" spans="2:11" ht="18" customHeight="1" x14ac:dyDescent="0.25">
      <c r="B2009" s="38" t="s">
        <v>18</v>
      </c>
      <c r="C2009" s="57" t="s">
        <v>285</v>
      </c>
      <c r="D2009" s="4" t="s">
        <v>285</v>
      </c>
      <c r="E2009"/>
      <c r="F2009"/>
      <c r="G2009"/>
      <c r="H2009"/>
      <c r="I2009"/>
      <c r="J2009"/>
      <c r="K2009"/>
    </row>
    <row r="2010" spans="2:11" ht="18" customHeight="1" x14ac:dyDescent="0.25">
      <c r="B2010" s="24"/>
      <c r="C2010" s="56"/>
      <c r="D2010"/>
      <c r="E2010"/>
      <c r="F2010"/>
      <c r="G2010"/>
      <c r="H2010"/>
      <c r="I2010"/>
      <c r="J2010"/>
      <c r="K2010"/>
    </row>
    <row r="2011" spans="2:11" ht="18" customHeight="1" x14ac:dyDescent="0.25">
      <c r="B2011" s="31" t="s">
        <v>19</v>
      </c>
      <c r="C2011" s="57">
        <v>2.5</v>
      </c>
      <c r="D2011" s="4">
        <v>2.5</v>
      </c>
      <c r="E2011"/>
      <c r="F2011"/>
      <c r="G2011"/>
      <c r="H2011"/>
      <c r="I2011"/>
      <c r="J2011"/>
      <c r="K2011"/>
    </row>
    <row r="2012" spans="2:11" ht="18" customHeight="1" x14ac:dyDescent="0.25">
      <c r="B2012" s="38" t="s">
        <v>20</v>
      </c>
      <c r="C2012" s="57">
        <v>0.35</v>
      </c>
      <c r="D2012" s="4">
        <v>0.35</v>
      </c>
      <c r="E2012"/>
      <c r="F2012"/>
      <c r="G2012"/>
      <c r="H2012"/>
      <c r="I2012"/>
      <c r="J2012"/>
      <c r="K2012"/>
    </row>
    <row r="2013" spans="2:11" ht="18" customHeight="1" x14ac:dyDescent="0.25">
      <c r="B2013" s="38" t="s">
        <v>21</v>
      </c>
      <c r="C2013" s="57">
        <v>3.5</v>
      </c>
      <c r="D2013" s="4">
        <v>3.5</v>
      </c>
      <c r="E2013"/>
      <c r="F2013"/>
      <c r="G2013"/>
      <c r="H2013"/>
      <c r="I2013"/>
      <c r="J2013"/>
      <c r="K2013"/>
    </row>
    <row r="2014" spans="2:11" ht="18" customHeight="1" x14ac:dyDescent="0.25">
      <c r="B2014" s="38" t="s">
        <v>22</v>
      </c>
      <c r="C2014" s="57">
        <v>0.35</v>
      </c>
      <c r="D2014" s="4">
        <v>0.35</v>
      </c>
      <c r="E2014"/>
      <c r="F2014"/>
      <c r="G2014"/>
      <c r="H2014"/>
      <c r="I2014"/>
      <c r="J2014"/>
      <c r="K2014"/>
    </row>
    <row r="2015" spans="2:11" ht="18" customHeight="1" x14ac:dyDescent="0.25">
      <c r="B2015" s="38" t="s">
        <v>23</v>
      </c>
      <c r="C2015" s="66"/>
      <c r="D2015"/>
      <c r="E2015"/>
      <c r="F2015"/>
      <c r="G2015"/>
      <c r="H2015"/>
      <c r="I2015"/>
      <c r="J2015"/>
      <c r="K2015"/>
    </row>
    <row r="2016" spans="2:11" ht="18" customHeight="1" x14ac:dyDescent="0.25">
      <c r="B2016" s="38" t="s">
        <v>24</v>
      </c>
      <c r="C2016" s="66"/>
      <c r="D2016"/>
      <c r="E2016"/>
      <c r="F2016"/>
      <c r="G2016"/>
      <c r="H2016"/>
      <c r="I2016"/>
      <c r="J2016"/>
      <c r="K2016"/>
    </row>
    <row r="2017" spans="2:11" ht="18" customHeight="1" x14ac:dyDescent="0.25">
      <c r="B2017" s="24"/>
      <c r="C2017" s="66"/>
      <c r="D2017"/>
      <c r="E2017"/>
      <c r="F2017"/>
      <c r="G2017"/>
      <c r="H2017"/>
      <c r="I2017"/>
      <c r="J2017"/>
      <c r="K2017"/>
    </row>
    <row r="2018" spans="2:11" ht="18" customHeight="1" x14ac:dyDescent="0.25">
      <c r="B2018" s="19" t="s">
        <v>33</v>
      </c>
      <c r="C2018" s="56"/>
      <c r="D2018"/>
      <c r="E2018"/>
      <c r="F2018"/>
      <c r="G2018"/>
      <c r="H2018"/>
      <c r="I2018"/>
      <c r="J2018"/>
      <c r="K2018"/>
    </row>
    <row r="2019" spans="2:11" ht="18" customHeight="1" x14ac:dyDescent="0.25">
      <c r="C2019" s="56"/>
      <c r="D2019"/>
      <c r="E2019"/>
      <c r="F2019"/>
      <c r="G2019"/>
      <c r="H2019"/>
      <c r="I2019"/>
      <c r="J2019"/>
      <c r="K2019"/>
    </row>
    <row r="2020" spans="2:11" ht="18" customHeight="1" x14ac:dyDescent="0.25">
      <c r="C2020" s="56"/>
      <c r="D2020"/>
      <c r="E2020"/>
      <c r="F2020"/>
      <c r="G2020"/>
      <c r="H2020"/>
      <c r="I2020"/>
      <c r="J2020"/>
      <c r="K2020"/>
    </row>
    <row r="2021" spans="2:11" ht="18" customHeight="1" x14ac:dyDescent="0.25">
      <c r="B2021" s="31" t="s">
        <v>0</v>
      </c>
      <c r="C2021" s="66" t="s">
        <v>320</v>
      </c>
      <c r="D2021"/>
      <c r="E2021"/>
      <c r="F2021"/>
      <c r="G2021"/>
      <c r="H2021"/>
      <c r="I2021"/>
      <c r="J2021"/>
      <c r="K2021"/>
    </row>
    <row r="2022" spans="2:11" ht="18" customHeight="1" x14ac:dyDescent="0.25">
      <c r="B2022" s="36" t="s">
        <v>3</v>
      </c>
      <c r="C2022" s="66">
        <v>1</v>
      </c>
      <c r="D2022"/>
      <c r="E2022"/>
      <c r="F2022"/>
      <c r="G2022"/>
      <c r="H2022"/>
      <c r="I2022"/>
      <c r="J2022"/>
      <c r="K2022"/>
    </row>
    <row r="2023" spans="2:11" ht="18" customHeight="1" x14ac:dyDescent="0.25">
      <c r="B2023" s="36"/>
      <c r="C2023" s="56"/>
      <c r="D2023"/>
      <c r="E2023"/>
      <c r="F2023"/>
      <c r="G2023"/>
      <c r="H2023"/>
      <c r="I2023"/>
      <c r="J2023"/>
      <c r="K2023"/>
    </row>
    <row r="2024" spans="2:11" ht="18" customHeight="1" x14ac:dyDescent="0.25">
      <c r="B2024" s="36" t="s">
        <v>6</v>
      </c>
      <c r="C2024" s="71">
        <v>39244</v>
      </c>
      <c r="D2024"/>
      <c r="E2024"/>
      <c r="F2024"/>
      <c r="G2024"/>
      <c r="H2024"/>
      <c r="I2024"/>
      <c r="J2024"/>
      <c r="K2024"/>
    </row>
    <row r="2025" spans="2:11" ht="18" customHeight="1" x14ac:dyDescent="0.25">
      <c r="B2025" s="37" t="s">
        <v>9</v>
      </c>
      <c r="C2025" s="65">
        <v>40246</v>
      </c>
      <c r="D2025" s="45">
        <v>40494</v>
      </c>
      <c r="E2025" s="45">
        <v>40499</v>
      </c>
      <c r="F2025" s="45">
        <v>40507</v>
      </c>
      <c r="G2025"/>
      <c r="H2025"/>
      <c r="I2025"/>
      <c r="J2025"/>
      <c r="K2025"/>
    </row>
    <row r="2026" spans="2:11" ht="18" customHeight="1" x14ac:dyDescent="0.25">
      <c r="B2026" s="37" t="s">
        <v>8</v>
      </c>
      <c r="C2026" s="71"/>
      <c r="D2026"/>
      <c r="E2026"/>
      <c r="F2026"/>
      <c r="G2026"/>
      <c r="H2026"/>
      <c r="I2026"/>
      <c r="J2026"/>
      <c r="K2026"/>
    </row>
    <row r="2027" spans="2:11" ht="18" customHeight="1" x14ac:dyDescent="0.25">
      <c r="B2027" s="38" t="s">
        <v>11</v>
      </c>
      <c r="C2027" s="57">
        <v>6.06</v>
      </c>
      <c r="D2027" s="4">
        <v>5.87</v>
      </c>
      <c r="E2027" s="4">
        <v>5.87</v>
      </c>
      <c r="F2027" s="4">
        <v>5.85</v>
      </c>
      <c r="G2027"/>
      <c r="H2027"/>
      <c r="I2027"/>
      <c r="J2027"/>
      <c r="K2027"/>
    </row>
    <row r="2028" spans="2:11" ht="18" customHeight="1" x14ac:dyDescent="0.25">
      <c r="B2028" s="38" t="s">
        <v>12</v>
      </c>
      <c r="C2028" s="56"/>
      <c r="D2028"/>
      <c r="E2028"/>
      <c r="F2028"/>
      <c r="G2028"/>
      <c r="H2028"/>
      <c r="I2028"/>
      <c r="J2028"/>
      <c r="K2028"/>
    </row>
    <row r="2029" spans="2:11" ht="18" customHeight="1" x14ac:dyDescent="0.25">
      <c r="B2029" s="38" t="s">
        <v>13</v>
      </c>
      <c r="C2029" s="57" t="s">
        <v>321</v>
      </c>
      <c r="D2029" s="4" t="s">
        <v>322</v>
      </c>
      <c r="E2029" s="4" t="s">
        <v>323</v>
      </c>
      <c r="F2029" s="4">
        <v>78</v>
      </c>
      <c r="G2029"/>
      <c r="H2029"/>
      <c r="I2029"/>
      <c r="J2029"/>
      <c r="K2029"/>
    </row>
    <row r="2030" spans="2:11" ht="18" customHeight="1" x14ac:dyDescent="0.25">
      <c r="B2030" s="38" t="s">
        <v>14</v>
      </c>
      <c r="C2030" s="56"/>
      <c r="D2030"/>
      <c r="E2030"/>
      <c r="F2030"/>
      <c r="G2030"/>
      <c r="H2030"/>
      <c r="I2030"/>
      <c r="J2030"/>
      <c r="K2030"/>
    </row>
    <row r="2031" spans="2:11" ht="18" customHeight="1" x14ac:dyDescent="0.25">
      <c r="B2031" s="36" t="s">
        <v>41</v>
      </c>
      <c r="C2031" s="72" t="s">
        <v>319</v>
      </c>
      <c r="D2031" s="4" t="s">
        <v>42</v>
      </c>
      <c r="E2031" s="4" t="s">
        <v>42</v>
      </c>
      <c r="F2031" s="29" t="s">
        <v>324</v>
      </c>
      <c r="G2031"/>
      <c r="H2031"/>
      <c r="I2031"/>
      <c r="J2031"/>
      <c r="K2031"/>
    </row>
    <row r="2032" spans="2:11" ht="18" customHeight="1" x14ac:dyDescent="0.25">
      <c r="B2032" s="37" t="s">
        <v>15</v>
      </c>
      <c r="C2032" s="56"/>
      <c r="D2032"/>
      <c r="E2032"/>
      <c r="F2032"/>
      <c r="G2032"/>
      <c r="H2032"/>
      <c r="I2032"/>
      <c r="J2032"/>
      <c r="K2032"/>
    </row>
    <row r="2033" spans="2:11" ht="18" customHeight="1" x14ac:dyDescent="0.25">
      <c r="B2033" s="38" t="s">
        <v>17</v>
      </c>
      <c r="C2033" s="57" t="s">
        <v>67</v>
      </c>
      <c r="D2033" s="4" t="s">
        <v>67</v>
      </c>
      <c r="E2033" s="4" t="s">
        <v>105</v>
      </c>
      <c r="F2033" s="4" t="s">
        <v>47</v>
      </c>
      <c r="G2033"/>
      <c r="H2033"/>
      <c r="I2033"/>
      <c r="J2033"/>
      <c r="K2033"/>
    </row>
    <row r="2034" spans="2:11" ht="29.9" customHeight="1" x14ac:dyDescent="0.25">
      <c r="B2034" s="38" t="s">
        <v>18</v>
      </c>
      <c r="C2034" s="57" t="s">
        <v>291</v>
      </c>
      <c r="D2034" s="4" t="s">
        <v>291</v>
      </c>
      <c r="E2034" s="4" t="s">
        <v>291</v>
      </c>
      <c r="F2034" s="4" t="s">
        <v>325</v>
      </c>
      <c r="G2034"/>
      <c r="H2034"/>
      <c r="I2034"/>
      <c r="J2034"/>
      <c r="K2034"/>
    </row>
    <row r="2035" spans="2:11" ht="18" customHeight="1" x14ac:dyDescent="0.25">
      <c r="B2035" s="24"/>
      <c r="C2035" s="56"/>
      <c r="D2035"/>
      <c r="E2035"/>
      <c r="F2035"/>
      <c r="G2035"/>
      <c r="H2035"/>
      <c r="I2035"/>
      <c r="J2035"/>
      <c r="K2035"/>
    </row>
    <row r="2036" spans="2:11" ht="18" customHeight="1" x14ac:dyDescent="0.25">
      <c r="B2036" s="31" t="s">
        <v>19</v>
      </c>
      <c r="C2036" s="56"/>
      <c r="D2036"/>
      <c r="E2036"/>
      <c r="F2036"/>
      <c r="G2036"/>
      <c r="H2036"/>
      <c r="I2036"/>
      <c r="J2036"/>
      <c r="K2036"/>
    </row>
    <row r="2037" spans="2:11" ht="18" customHeight="1" x14ac:dyDescent="0.25">
      <c r="B2037" s="38" t="s">
        <v>20</v>
      </c>
      <c r="C2037" s="56"/>
      <c r="D2037"/>
      <c r="E2037"/>
      <c r="F2037"/>
      <c r="G2037"/>
      <c r="H2037"/>
      <c r="I2037"/>
      <c r="J2037"/>
      <c r="K2037"/>
    </row>
    <row r="2038" spans="2:11" ht="18" customHeight="1" x14ac:dyDescent="0.25">
      <c r="B2038" s="38" t="s">
        <v>21</v>
      </c>
      <c r="C2038" s="57">
        <v>2.5</v>
      </c>
      <c r="D2038" s="4">
        <v>2.5</v>
      </c>
      <c r="E2038" s="4">
        <v>2.5</v>
      </c>
      <c r="F2038" s="4">
        <v>2.5</v>
      </c>
      <c r="G2038"/>
      <c r="H2038"/>
      <c r="I2038"/>
      <c r="J2038"/>
      <c r="K2038"/>
    </row>
    <row r="2039" spans="2:11" ht="18" customHeight="1" x14ac:dyDescent="0.25">
      <c r="B2039" s="38" t="s">
        <v>22</v>
      </c>
      <c r="C2039" s="57">
        <v>0.35</v>
      </c>
      <c r="D2039" s="4">
        <v>0.35</v>
      </c>
      <c r="E2039" s="4">
        <v>0.35</v>
      </c>
      <c r="F2039" s="4">
        <v>0.35</v>
      </c>
      <c r="G2039"/>
      <c r="H2039"/>
      <c r="I2039"/>
      <c r="J2039"/>
      <c r="K2039"/>
    </row>
    <row r="2040" spans="2:11" ht="18" customHeight="1" x14ac:dyDescent="0.25">
      <c r="B2040" s="38" t="s">
        <v>23</v>
      </c>
      <c r="C2040" s="66"/>
      <c r="D2040"/>
      <c r="E2040"/>
      <c r="F2040"/>
      <c r="G2040"/>
      <c r="H2040"/>
      <c r="I2040"/>
      <c r="J2040"/>
      <c r="K2040"/>
    </row>
    <row r="2041" spans="2:11" ht="18" customHeight="1" x14ac:dyDescent="0.25">
      <c r="B2041" s="38" t="s">
        <v>24</v>
      </c>
      <c r="C2041" s="66"/>
      <c r="D2041"/>
      <c r="E2041"/>
      <c r="F2041"/>
      <c r="G2041"/>
      <c r="H2041"/>
      <c r="I2041"/>
      <c r="J2041"/>
      <c r="K2041"/>
    </row>
    <row r="2042" spans="2:11" ht="18" customHeight="1" x14ac:dyDescent="0.25">
      <c r="B2042" s="24"/>
      <c r="C2042" s="66"/>
      <c r="D2042"/>
      <c r="E2042"/>
      <c r="F2042"/>
      <c r="G2042"/>
      <c r="H2042"/>
      <c r="I2042"/>
      <c r="J2042"/>
      <c r="K2042"/>
    </row>
    <row r="2043" spans="2:11" ht="18" customHeight="1" x14ac:dyDescent="0.25">
      <c r="B2043" s="19" t="s">
        <v>33</v>
      </c>
      <c r="C2043" s="56"/>
      <c r="D2043"/>
      <c r="E2043"/>
      <c r="F2043"/>
      <c r="G2043"/>
      <c r="H2043"/>
      <c r="I2043"/>
      <c r="J2043"/>
      <c r="K2043"/>
    </row>
    <row r="2044" spans="2:11" ht="18" customHeight="1" x14ac:dyDescent="0.25">
      <c r="C2044" s="56"/>
      <c r="D2044"/>
      <c r="E2044"/>
      <c r="F2044"/>
      <c r="G2044"/>
      <c r="H2044"/>
      <c r="I2044"/>
      <c r="J2044"/>
      <c r="K2044"/>
    </row>
    <row r="2045" spans="2:11" ht="18" customHeight="1" x14ac:dyDescent="0.25">
      <c r="C2045" s="56"/>
      <c r="D2045"/>
      <c r="E2045"/>
      <c r="F2045"/>
      <c r="G2045"/>
      <c r="H2045"/>
      <c r="I2045"/>
      <c r="J2045"/>
      <c r="K2045"/>
    </row>
    <row r="2046" spans="2:11" ht="18" customHeight="1" x14ac:dyDescent="0.25">
      <c r="C2046" s="56"/>
      <c r="D2046"/>
      <c r="E2046"/>
      <c r="F2046"/>
      <c r="G2046"/>
      <c r="H2046"/>
      <c r="I2046"/>
      <c r="J2046"/>
      <c r="K2046"/>
    </row>
    <row r="2047" spans="2:11" ht="18" customHeight="1" x14ac:dyDescent="0.25">
      <c r="C2047" s="56"/>
      <c r="D2047"/>
      <c r="E2047"/>
      <c r="F2047"/>
      <c r="G2047"/>
      <c r="H2047"/>
      <c r="I2047"/>
      <c r="J2047"/>
      <c r="K2047"/>
    </row>
    <row r="2048" spans="2:11" ht="18" customHeight="1" x14ac:dyDescent="0.25">
      <c r="B2048" s="31" t="s">
        <v>0</v>
      </c>
      <c r="C2048" s="66" t="s">
        <v>326</v>
      </c>
      <c r="D2048"/>
      <c r="E2048"/>
      <c r="F2048"/>
      <c r="G2048"/>
      <c r="H2048"/>
      <c r="I2048"/>
      <c r="J2048"/>
      <c r="K2048"/>
    </row>
    <row r="2049" spans="2:11" ht="18" customHeight="1" x14ac:dyDescent="0.25">
      <c r="B2049" s="36" t="s">
        <v>3</v>
      </c>
      <c r="C2049" s="66">
        <v>2</v>
      </c>
      <c r="D2049"/>
      <c r="E2049"/>
      <c r="F2049"/>
      <c r="G2049"/>
      <c r="H2049"/>
      <c r="I2049"/>
      <c r="J2049"/>
      <c r="K2049"/>
    </row>
    <row r="2050" spans="2:11" ht="18" customHeight="1" x14ac:dyDescent="0.25">
      <c r="B2050" s="36"/>
      <c r="C2050" s="56"/>
      <c r="D2050"/>
      <c r="E2050"/>
      <c r="F2050"/>
      <c r="G2050"/>
      <c r="H2050"/>
      <c r="I2050"/>
      <c r="J2050"/>
      <c r="K2050"/>
    </row>
    <row r="2051" spans="2:11" ht="18" customHeight="1" x14ac:dyDescent="0.25">
      <c r="B2051" s="36" t="s">
        <v>6</v>
      </c>
      <c r="C2051" s="71">
        <v>38748</v>
      </c>
      <c r="D2051"/>
      <c r="E2051"/>
      <c r="F2051"/>
      <c r="G2051"/>
      <c r="H2051"/>
      <c r="I2051"/>
      <c r="J2051"/>
      <c r="K2051"/>
    </row>
    <row r="2052" spans="2:11" ht="18" customHeight="1" x14ac:dyDescent="0.25">
      <c r="B2052" s="37" t="s">
        <v>9</v>
      </c>
      <c r="C2052" s="65">
        <v>40085</v>
      </c>
      <c r="D2052" s="46">
        <v>40274</v>
      </c>
      <c r="E2052" s="25">
        <v>40652</v>
      </c>
      <c r="F2052" s="25">
        <v>40995</v>
      </c>
      <c r="G2052"/>
      <c r="H2052"/>
      <c r="I2052"/>
      <c r="J2052"/>
      <c r="K2052"/>
    </row>
    <row r="2053" spans="2:11" ht="18" customHeight="1" x14ac:dyDescent="0.25">
      <c r="B2053" s="37" t="s">
        <v>8</v>
      </c>
      <c r="C2053" s="71"/>
      <c r="D2053"/>
      <c r="E2053"/>
      <c r="F2053"/>
      <c r="G2053"/>
      <c r="H2053"/>
      <c r="I2053"/>
      <c r="J2053"/>
      <c r="K2053"/>
    </row>
    <row r="2054" spans="2:11" ht="18" customHeight="1" x14ac:dyDescent="0.25">
      <c r="B2054" s="38" t="s">
        <v>11</v>
      </c>
      <c r="C2054" s="57">
        <v>5.9</v>
      </c>
      <c r="D2054" s="4">
        <v>5.54</v>
      </c>
      <c r="E2054" s="4">
        <v>5.2</v>
      </c>
      <c r="F2054" s="4">
        <v>5.18</v>
      </c>
      <c r="G2054"/>
      <c r="H2054"/>
      <c r="I2054"/>
      <c r="J2054"/>
      <c r="K2054"/>
    </row>
    <row r="2055" spans="2:11" ht="18" customHeight="1" x14ac:dyDescent="0.25">
      <c r="B2055" s="38" t="s">
        <v>12</v>
      </c>
      <c r="C2055" s="57">
        <v>8</v>
      </c>
      <c r="D2055" s="4">
        <v>8</v>
      </c>
      <c r="E2055" s="4">
        <v>8</v>
      </c>
      <c r="F2055" s="4">
        <v>2</v>
      </c>
      <c r="G2055"/>
      <c r="H2055"/>
      <c r="I2055"/>
      <c r="J2055"/>
      <c r="K2055"/>
    </row>
    <row r="2056" spans="2:11" ht="18" customHeight="1" x14ac:dyDescent="0.25">
      <c r="B2056" s="38" t="s">
        <v>13</v>
      </c>
      <c r="C2056" s="57">
        <v>0</v>
      </c>
      <c r="D2056" s="4">
        <v>0</v>
      </c>
      <c r="E2056" s="4">
        <v>0</v>
      </c>
      <c r="F2056" s="4">
        <v>0</v>
      </c>
      <c r="G2056"/>
      <c r="H2056"/>
      <c r="I2056"/>
      <c r="J2056"/>
      <c r="K2056"/>
    </row>
    <row r="2057" spans="2:11" ht="18" customHeight="1" x14ac:dyDescent="0.25">
      <c r="B2057" s="38" t="s">
        <v>14</v>
      </c>
      <c r="C2057" s="56"/>
      <c r="D2057"/>
      <c r="E2057"/>
      <c r="F2057"/>
      <c r="G2057"/>
      <c r="H2057"/>
      <c r="I2057"/>
      <c r="J2057"/>
      <c r="K2057"/>
    </row>
    <row r="2058" spans="2:11" ht="18" customHeight="1" x14ac:dyDescent="0.25">
      <c r="B2058" s="36" t="s">
        <v>41</v>
      </c>
      <c r="C2058" s="72" t="s">
        <v>42</v>
      </c>
      <c r="D2058" s="4" t="s">
        <v>42</v>
      </c>
      <c r="E2058" s="4" t="s">
        <v>327</v>
      </c>
      <c r="F2058" s="4" t="s">
        <v>327</v>
      </c>
      <c r="G2058"/>
      <c r="H2058"/>
      <c r="I2058"/>
      <c r="J2058"/>
      <c r="K2058"/>
    </row>
    <row r="2059" spans="2:11" ht="18" customHeight="1" x14ac:dyDescent="0.25">
      <c r="B2059" s="37" t="s">
        <v>15</v>
      </c>
      <c r="C2059" s="56"/>
      <c r="D2059"/>
      <c r="E2059"/>
      <c r="F2059"/>
      <c r="G2059"/>
      <c r="H2059"/>
      <c r="I2059"/>
      <c r="J2059"/>
      <c r="K2059"/>
    </row>
    <row r="2060" spans="2:11" ht="18" customHeight="1" x14ac:dyDescent="0.25">
      <c r="B2060" s="38" t="s">
        <v>17</v>
      </c>
      <c r="C2060" s="57" t="s">
        <v>214</v>
      </c>
      <c r="D2060" s="4" t="s">
        <v>214</v>
      </c>
      <c r="E2060" s="4" t="s">
        <v>214</v>
      </c>
      <c r="F2060" s="4" t="s">
        <v>214</v>
      </c>
      <c r="G2060"/>
      <c r="H2060"/>
      <c r="I2060"/>
      <c r="J2060"/>
      <c r="K2060"/>
    </row>
    <row r="2061" spans="2:11" ht="18" customHeight="1" x14ac:dyDescent="0.25">
      <c r="B2061" s="38" t="s">
        <v>18</v>
      </c>
      <c r="C2061" s="57" t="s">
        <v>285</v>
      </c>
      <c r="D2061" s="4" t="s">
        <v>285</v>
      </c>
      <c r="E2061" s="4" t="s">
        <v>285</v>
      </c>
      <c r="F2061" s="4" t="s">
        <v>285</v>
      </c>
      <c r="G2061"/>
      <c r="H2061"/>
      <c r="I2061"/>
      <c r="J2061"/>
      <c r="K2061"/>
    </row>
    <row r="2062" spans="2:11" ht="18" customHeight="1" x14ac:dyDescent="0.25">
      <c r="B2062" s="24"/>
      <c r="C2062" s="56"/>
      <c r="D2062"/>
      <c r="E2062"/>
      <c r="F2062"/>
      <c r="G2062"/>
      <c r="H2062"/>
      <c r="I2062"/>
      <c r="J2062"/>
      <c r="K2062"/>
    </row>
    <row r="2063" spans="2:11" ht="18" customHeight="1" x14ac:dyDescent="0.25">
      <c r="B2063" s="31" t="s">
        <v>19</v>
      </c>
      <c r="C2063" s="57">
        <v>2</v>
      </c>
      <c r="D2063" s="4">
        <v>2</v>
      </c>
      <c r="E2063" s="4">
        <v>2</v>
      </c>
      <c r="F2063" s="4">
        <v>2</v>
      </c>
      <c r="G2063"/>
      <c r="H2063"/>
      <c r="I2063"/>
      <c r="J2063"/>
      <c r="K2063"/>
    </row>
    <row r="2064" spans="2:11" ht="18" customHeight="1" x14ac:dyDescent="0.25">
      <c r="B2064" s="38" t="s">
        <v>20</v>
      </c>
      <c r="C2064" s="57">
        <v>0.35</v>
      </c>
      <c r="D2064" s="4">
        <v>0.35</v>
      </c>
      <c r="E2064" s="4">
        <v>0.35</v>
      </c>
      <c r="F2064" s="4">
        <v>0.35</v>
      </c>
      <c r="G2064"/>
      <c r="H2064"/>
      <c r="I2064"/>
      <c r="J2064"/>
      <c r="K2064"/>
    </row>
    <row r="2065" spans="2:11" ht="18" customHeight="1" x14ac:dyDescent="0.25">
      <c r="B2065" s="38" t="s">
        <v>21</v>
      </c>
      <c r="C2065" s="57">
        <v>2</v>
      </c>
      <c r="D2065" s="4">
        <v>2</v>
      </c>
      <c r="E2065" s="4">
        <v>2</v>
      </c>
      <c r="F2065" s="4">
        <v>2</v>
      </c>
      <c r="G2065"/>
      <c r="H2065"/>
      <c r="I2065"/>
      <c r="J2065"/>
      <c r="K2065"/>
    </row>
    <row r="2066" spans="2:11" ht="18" customHeight="1" x14ac:dyDescent="0.25">
      <c r="B2066" s="38" t="s">
        <v>22</v>
      </c>
      <c r="C2066" s="57">
        <v>0.35</v>
      </c>
      <c r="D2066" s="4">
        <v>0.35</v>
      </c>
      <c r="E2066" s="4">
        <v>0.35</v>
      </c>
      <c r="F2066" s="4">
        <v>0.35</v>
      </c>
      <c r="G2066"/>
      <c r="H2066"/>
      <c r="I2066"/>
      <c r="J2066"/>
      <c r="K2066"/>
    </row>
    <row r="2067" spans="2:11" ht="18" customHeight="1" x14ac:dyDescent="0.25">
      <c r="B2067" s="38" t="s">
        <v>23</v>
      </c>
      <c r="C2067" s="66"/>
      <c r="D2067" s="24"/>
      <c r="E2067" s="24"/>
      <c r="F2067" s="24"/>
      <c r="G2067"/>
      <c r="H2067"/>
      <c r="I2067"/>
      <c r="J2067"/>
      <c r="K2067"/>
    </row>
    <row r="2068" spans="2:11" ht="18" customHeight="1" x14ac:dyDescent="0.25">
      <c r="B2068" s="38" t="s">
        <v>24</v>
      </c>
      <c r="C2068" s="66"/>
      <c r="D2068"/>
      <c r="E2068"/>
      <c r="F2068"/>
      <c r="G2068"/>
      <c r="H2068"/>
      <c r="I2068"/>
      <c r="J2068"/>
      <c r="K2068"/>
    </row>
    <row r="2069" spans="2:11" ht="18" customHeight="1" x14ac:dyDescent="0.25">
      <c r="B2069" s="24"/>
      <c r="C2069" s="66"/>
      <c r="D2069"/>
      <c r="E2069"/>
      <c r="F2069"/>
      <c r="G2069"/>
      <c r="H2069"/>
      <c r="I2069"/>
      <c r="J2069"/>
      <c r="K2069"/>
    </row>
    <row r="2070" spans="2:11" ht="18" customHeight="1" x14ac:dyDescent="0.25">
      <c r="B2070" s="19" t="s">
        <v>33</v>
      </c>
      <c r="C2070" s="56"/>
      <c r="D2070"/>
      <c r="E2070"/>
      <c r="F2070"/>
      <c r="G2070"/>
      <c r="H2070"/>
      <c r="I2070"/>
      <c r="J2070"/>
      <c r="K2070"/>
    </row>
    <row r="2071" spans="2:11" ht="18" customHeight="1" x14ac:dyDescent="0.25">
      <c r="C2071" s="56"/>
      <c r="D2071"/>
      <c r="E2071"/>
      <c r="F2071"/>
      <c r="G2071"/>
      <c r="H2071"/>
      <c r="I2071"/>
      <c r="J2071"/>
      <c r="K2071"/>
    </row>
    <row r="2072" spans="2:11" ht="18" customHeight="1" x14ac:dyDescent="0.25">
      <c r="C2072" s="56"/>
      <c r="D2072"/>
      <c r="E2072"/>
      <c r="F2072"/>
      <c r="G2072"/>
      <c r="H2072"/>
      <c r="I2072"/>
      <c r="J2072"/>
      <c r="K2072"/>
    </row>
    <row r="2073" spans="2:11" ht="18" customHeight="1" x14ac:dyDescent="0.25">
      <c r="C2073" s="56"/>
      <c r="D2073"/>
      <c r="E2073"/>
      <c r="F2073"/>
      <c r="G2073"/>
      <c r="H2073"/>
      <c r="I2073"/>
      <c r="J2073"/>
      <c r="K2073"/>
    </row>
    <row r="2074" spans="2:11" ht="18" customHeight="1" x14ac:dyDescent="0.25">
      <c r="B2074" s="31" t="s">
        <v>0</v>
      </c>
      <c r="C2074" s="66" t="s">
        <v>328</v>
      </c>
      <c r="D2074"/>
      <c r="E2074"/>
      <c r="F2074"/>
      <c r="G2074"/>
      <c r="H2074"/>
      <c r="I2074"/>
      <c r="J2074"/>
      <c r="K2074"/>
    </row>
    <row r="2075" spans="2:11" ht="18" customHeight="1" x14ac:dyDescent="0.25">
      <c r="B2075" s="36" t="s">
        <v>3</v>
      </c>
      <c r="C2075" s="66">
        <v>1</v>
      </c>
      <c r="D2075"/>
      <c r="E2075"/>
      <c r="F2075"/>
      <c r="G2075"/>
      <c r="H2075"/>
      <c r="I2075"/>
      <c r="J2075"/>
      <c r="K2075"/>
    </row>
    <row r="2076" spans="2:11" ht="18" customHeight="1" x14ac:dyDescent="0.25">
      <c r="B2076" s="36"/>
      <c r="C2076" s="56"/>
      <c r="D2076"/>
      <c r="E2076"/>
      <c r="F2076"/>
      <c r="G2076"/>
      <c r="H2076"/>
      <c r="I2076"/>
      <c r="J2076"/>
      <c r="K2076"/>
    </row>
    <row r="2077" spans="2:11" ht="18" customHeight="1" x14ac:dyDescent="0.25">
      <c r="B2077" s="36" t="s">
        <v>6</v>
      </c>
      <c r="C2077" s="71">
        <v>39119</v>
      </c>
      <c r="D2077"/>
      <c r="E2077"/>
      <c r="F2077"/>
      <c r="G2077"/>
      <c r="H2077"/>
      <c r="I2077"/>
      <c r="J2077"/>
      <c r="K2077"/>
    </row>
    <row r="2078" spans="2:11" ht="18" customHeight="1" x14ac:dyDescent="0.25">
      <c r="B2078" s="37" t="s">
        <v>9</v>
      </c>
      <c r="C2078" s="65">
        <v>40834</v>
      </c>
      <c r="D2078" s="46">
        <v>41037</v>
      </c>
      <c r="E2078" s="25">
        <v>41226</v>
      </c>
      <c r="F2078" s="25">
        <v>41408</v>
      </c>
      <c r="G2078" s="25">
        <v>41528</v>
      </c>
      <c r="H2078" s="25">
        <v>41702</v>
      </c>
      <c r="I2078" s="25">
        <v>41806</v>
      </c>
      <c r="J2078" s="27">
        <v>41891</v>
      </c>
      <c r="K2078" s="25">
        <v>42066</v>
      </c>
    </row>
    <row r="2079" spans="2:11" ht="18" customHeight="1" x14ac:dyDescent="0.25">
      <c r="B2079" s="37" t="s">
        <v>8</v>
      </c>
      <c r="C2079" s="71"/>
      <c r="D2079"/>
      <c r="E2079"/>
      <c r="F2079"/>
      <c r="G2079"/>
      <c r="H2079"/>
      <c r="I2079"/>
      <c r="J2079"/>
      <c r="K2079"/>
    </row>
    <row r="2080" spans="2:11" ht="18" customHeight="1" x14ac:dyDescent="0.25">
      <c r="B2080" s="38" t="s">
        <v>11</v>
      </c>
      <c r="C2080" s="57">
        <v>5.86</v>
      </c>
      <c r="D2080" s="4">
        <v>5.47</v>
      </c>
      <c r="E2080" s="4">
        <v>5.3</v>
      </c>
      <c r="F2080" s="4">
        <v>5.21</v>
      </c>
      <c r="G2080" s="4">
        <v>5.18</v>
      </c>
      <c r="H2080" s="4">
        <v>5.17</v>
      </c>
      <c r="I2080" s="4">
        <v>5.15</v>
      </c>
      <c r="J2080" s="24">
        <v>5.15</v>
      </c>
      <c r="K2080" s="4">
        <v>5.14</v>
      </c>
    </row>
    <row r="2081" spans="2:11" ht="18" customHeight="1" x14ac:dyDescent="0.25">
      <c r="B2081" s="38" t="s">
        <v>12</v>
      </c>
      <c r="C2081" s="56"/>
      <c r="D2081"/>
      <c r="E2081"/>
      <c r="F2081"/>
      <c r="G2081"/>
      <c r="H2081"/>
      <c r="I2081"/>
      <c r="J2081"/>
      <c r="K2081"/>
    </row>
    <row r="2082" spans="2:11" ht="18" customHeight="1" x14ac:dyDescent="0.25">
      <c r="B2082" s="38" t="s">
        <v>13</v>
      </c>
      <c r="C2082" s="57">
        <v>11</v>
      </c>
      <c r="D2082" s="4">
        <v>10</v>
      </c>
      <c r="E2082" s="4">
        <v>9</v>
      </c>
      <c r="F2082" s="4">
        <v>8</v>
      </c>
      <c r="G2082" s="4">
        <v>16</v>
      </c>
      <c r="H2082" s="4">
        <v>5</v>
      </c>
      <c r="I2082" s="4">
        <v>5</v>
      </c>
      <c r="J2082" s="24">
        <v>6</v>
      </c>
      <c r="K2082" s="4">
        <v>5</v>
      </c>
    </row>
    <row r="2083" spans="2:11" ht="18" customHeight="1" x14ac:dyDescent="0.25">
      <c r="B2083" s="38" t="s">
        <v>14</v>
      </c>
      <c r="C2083" s="56"/>
      <c r="D2083"/>
      <c r="E2083"/>
      <c r="F2083"/>
      <c r="G2083"/>
      <c r="H2083"/>
      <c r="I2083"/>
      <c r="J2083"/>
      <c r="K2083"/>
    </row>
    <row r="2084" spans="2:11" ht="18" customHeight="1" x14ac:dyDescent="0.25">
      <c r="B2084" s="36" t="s">
        <v>41</v>
      </c>
      <c r="C2084" s="72" t="s">
        <v>172</v>
      </c>
      <c r="D2084" s="4" t="s">
        <v>42</v>
      </c>
      <c r="E2084" s="4" t="s">
        <v>42</v>
      </c>
      <c r="F2084" s="4" t="s">
        <v>42</v>
      </c>
      <c r="G2084" s="4" t="s">
        <v>42</v>
      </c>
      <c r="H2084" s="4" t="s">
        <v>42</v>
      </c>
      <c r="I2084" s="4" t="s">
        <v>42</v>
      </c>
      <c r="J2084" s="4" t="s">
        <v>42</v>
      </c>
      <c r="K2084" s="4" t="s">
        <v>77</v>
      </c>
    </row>
    <row r="2085" spans="2:11" ht="18" customHeight="1" x14ac:dyDescent="0.25">
      <c r="B2085" s="37" t="s">
        <v>15</v>
      </c>
      <c r="C2085" s="56"/>
      <c r="D2085"/>
      <c r="E2085"/>
      <c r="F2085"/>
      <c r="G2085"/>
      <c r="H2085"/>
      <c r="I2085"/>
      <c r="J2085"/>
      <c r="K2085"/>
    </row>
    <row r="2086" spans="2:11" ht="18" customHeight="1" x14ac:dyDescent="0.25">
      <c r="B2086" s="38" t="s">
        <v>17</v>
      </c>
      <c r="C2086" s="57">
        <v>50</v>
      </c>
      <c r="D2086" s="4">
        <v>50</v>
      </c>
      <c r="E2086" s="4">
        <v>50</v>
      </c>
      <c r="F2086" s="4">
        <v>50</v>
      </c>
      <c r="G2086" s="4">
        <v>50</v>
      </c>
      <c r="H2086" s="4">
        <v>50</v>
      </c>
      <c r="I2086" s="4">
        <v>50</v>
      </c>
      <c r="J2086" s="4">
        <v>50</v>
      </c>
      <c r="K2086" s="4">
        <v>50</v>
      </c>
    </row>
    <row r="2087" spans="2:11" ht="18" customHeight="1" x14ac:dyDescent="0.25">
      <c r="B2087" s="38" t="s">
        <v>18</v>
      </c>
      <c r="C2087" s="57" t="s">
        <v>69</v>
      </c>
      <c r="D2087" s="4" t="s">
        <v>69</v>
      </c>
      <c r="E2087" s="4" t="s">
        <v>69</v>
      </c>
      <c r="F2087" s="4" t="s">
        <v>69</v>
      </c>
      <c r="G2087" s="4" t="s">
        <v>69</v>
      </c>
      <c r="H2087" s="4" t="s">
        <v>69</v>
      </c>
      <c r="I2087" s="4" t="s">
        <v>69</v>
      </c>
      <c r="J2087" s="4" t="s">
        <v>69</v>
      </c>
      <c r="K2087" s="4" t="s">
        <v>69</v>
      </c>
    </row>
    <row r="2088" spans="2:11" ht="18" customHeight="1" x14ac:dyDescent="0.25">
      <c r="B2088" s="24"/>
      <c r="C2088" s="56"/>
      <c r="D2088"/>
      <c r="E2088"/>
      <c r="F2088"/>
      <c r="G2088"/>
      <c r="H2088"/>
      <c r="I2088"/>
      <c r="J2088" s="4"/>
      <c r="K2088"/>
    </row>
    <row r="2089" spans="2:11" ht="18" customHeight="1" x14ac:dyDescent="0.25">
      <c r="B2089" s="31" t="s">
        <v>19</v>
      </c>
      <c r="C2089" s="56"/>
      <c r="D2089"/>
      <c r="E2089"/>
      <c r="F2089"/>
      <c r="G2089"/>
      <c r="H2089"/>
      <c r="I2089"/>
      <c r="J2089" s="4"/>
      <c r="K2089"/>
    </row>
    <row r="2090" spans="2:11" ht="18" customHeight="1" x14ac:dyDescent="0.25">
      <c r="B2090" s="38" t="s">
        <v>20</v>
      </c>
      <c r="C2090" s="56"/>
      <c r="D2090"/>
      <c r="E2090"/>
      <c r="F2090"/>
      <c r="G2090"/>
      <c r="H2090"/>
      <c r="I2090"/>
      <c r="J2090" s="4"/>
      <c r="K2090"/>
    </row>
    <row r="2091" spans="2:11" ht="18" customHeight="1" x14ac:dyDescent="0.25">
      <c r="B2091" s="38" t="s">
        <v>21</v>
      </c>
      <c r="C2091" s="57">
        <v>2.5</v>
      </c>
      <c r="D2091" s="4">
        <v>2.5</v>
      </c>
      <c r="E2091" s="4">
        <v>2.5</v>
      </c>
      <c r="F2091" s="4">
        <v>2.5</v>
      </c>
      <c r="G2091" s="4">
        <v>2.5</v>
      </c>
      <c r="H2091" s="4">
        <v>2.5</v>
      </c>
      <c r="I2091" s="4">
        <v>2.5</v>
      </c>
      <c r="J2091" s="4">
        <v>2.5</v>
      </c>
      <c r="K2091" s="4">
        <v>2.5</v>
      </c>
    </row>
    <row r="2092" spans="2:11" ht="18" customHeight="1" x14ac:dyDescent="0.25">
      <c r="B2092" s="38" t="s">
        <v>22</v>
      </c>
      <c r="C2092" s="57">
        <v>0.6</v>
      </c>
      <c r="D2092" s="4">
        <v>0.6</v>
      </c>
      <c r="E2092" s="4">
        <v>0.6</v>
      </c>
      <c r="F2092" s="4">
        <v>0.6</v>
      </c>
      <c r="G2092" s="4">
        <v>0.6</v>
      </c>
      <c r="H2092" s="4">
        <v>0.6</v>
      </c>
      <c r="I2092" s="4">
        <v>0.6</v>
      </c>
      <c r="J2092" s="4">
        <v>0.6</v>
      </c>
      <c r="K2092" s="4">
        <v>0.6</v>
      </c>
    </row>
    <row r="2093" spans="2:11" ht="18" customHeight="1" x14ac:dyDescent="0.25">
      <c r="B2093" s="38" t="s">
        <v>23</v>
      </c>
      <c r="C2093" s="66"/>
      <c r="D2093" s="24"/>
      <c r="E2093"/>
      <c r="F2093"/>
      <c r="G2093"/>
      <c r="H2093"/>
      <c r="I2093"/>
    </row>
    <row r="2094" spans="2:11" ht="18" customHeight="1" x14ac:dyDescent="0.25">
      <c r="B2094" s="38" t="s">
        <v>24</v>
      </c>
      <c r="C2094" s="66"/>
      <c r="D2094"/>
      <c r="E2094"/>
      <c r="F2094"/>
      <c r="G2094"/>
      <c r="H2094"/>
      <c r="I2094"/>
    </row>
    <row r="2095" spans="2:11" ht="18" customHeight="1" x14ac:dyDescent="0.25">
      <c r="B2095" s="24"/>
      <c r="C2095" s="66"/>
      <c r="D2095"/>
      <c r="E2095"/>
      <c r="F2095"/>
      <c r="G2095"/>
      <c r="H2095"/>
      <c r="I2095"/>
    </row>
    <row r="2096" spans="2:11" ht="18" customHeight="1" x14ac:dyDescent="0.25">
      <c r="B2096" s="19" t="s">
        <v>33</v>
      </c>
      <c r="C2096" s="56"/>
      <c r="D2096"/>
      <c r="E2096"/>
      <c r="F2096"/>
      <c r="G2096"/>
      <c r="H2096"/>
      <c r="I2096"/>
    </row>
    <row r="2097" spans="2:9" ht="18" customHeight="1" x14ac:dyDescent="0.25">
      <c r="C2097" s="56"/>
      <c r="D2097"/>
      <c r="E2097"/>
      <c r="F2097"/>
      <c r="G2097"/>
      <c r="H2097"/>
      <c r="I2097"/>
    </row>
    <row r="2098" spans="2:9" ht="18" customHeight="1" x14ac:dyDescent="0.25">
      <c r="C2098" s="56"/>
      <c r="D2098"/>
      <c r="E2098"/>
      <c r="F2098"/>
      <c r="G2098"/>
      <c r="H2098"/>
      <c r="I2098"/>
    </row>
    <row r="2099" spans="2:9" ht="18" customHeight="1" x14ac:dyDescent="0.25">
      <c r="C2099" s="56"/>
      <c r="D2099"/>
      <c r="E2099"/>
      <c r="F2099"/>
      <c r="G2099"/>
      <c r="H2099"/>
      <c r="I2099"/>
    </row>
    <row r="2100" spans="2:9" ht="18" customHeight="1" x14ac:dyDescent="0.25">
      <c r="B2100" s="31" t="s">
        <v>0</v>
      </c>
      <c r="C2100" s="66" t="s">
        <v>329</v>
      </c>
      <c r="D2100"/>
      <c r="E2100"/>
      <c r="F2100"/>
      <c r="G2100"/>
      <c r="H2100"/>
      <c r="I2100"/>
    </row>
    <row r="2101" spans="2:9" ht="18" customHeight="1" x14ac:dyDescent="0.25">
      <c r="B2101" s="36" t="s">
        <v>3</v>
      </c>
      <c r="C2101" s="66">
        <v>2</v>
      </c>
      <c r="D2101"/>
      <c r="E2101"/>
      <c r="F2101"/>
      <c r="G2101"/>
      <c r="H2101"/>
      <c r="I2101"/>
    </row>
    <row r="2102" spans="2:9" ht="18" customHeight="1" x14ac:dyDescent="0.25">
      <c r="B2102" s="36"/>
      <c r="C2102" s="56"/>
      <c r="D2102"/>
      <c r="E2102"/>
      <c r="F2102"/>
      <c r="G2102"/>
      <c r="H2102"/>
      <c r="I2102"/>
    </row>
    <row r="2103" spans="2:9" ht="18" customHeight="1" x14ac:dyDescent="0.25">
      <c r="B2103" s="36" t="s">
        <v>6</v>
      </c>
      <c r="C2103" s="71">
        <v>38846</v>
      </c>
      <c r="D2103"/>
      <c r="E2103"/>
      <c r="F2103"/>
      <c r="G2103"/>
      <c r="H2103"/>
      <c r="I2103"/>
    </row>
    <row r="2104" spans="2:9" ht="18" customHeight="1" x14ac:dyDescent="0.25">
      <c r="B2104" s="37" t="s">
        <v>9</v>
      </c>
      <c r="C2104" s="65">
        <v>40736</v>
      </c>
      <c r="D2104" s="46">
        <v>40953</v>
      </c>
      <c r="E2104" s="25">
        <v>41051</v>
      </c>
      <c r="F2104" s="25">
        <v>41247</v>
      </c>
      <c r="G2104" s="25">
        <v>41429</v>
      </c>
      <c r="H2104" s="25">
        <v>41568</v>
      </c>
      <c r="I2104" s="25">
        <v>41578</v>
      </c>
    </row>
    <row r="2105" spans="2:9" ht="18" customHeight="1" x14ac:dyDescent="0.25">
      <c r="B2105" s="37" t="s">
        <v>8</v>
      </c>
      <c r="C2105" s="71"/>
      <c r="D2105"/>
      <c r="E2105"/>
      <c r="F2105"/>
      <c r="G2105"/>
      <c r="H2105"/>
      <c r="I2105"/>
    </row>
    <row r="2106" spans="2:9" ht="18" customHeight="1" x14ac:dyDescent="0.25">
      <c r="B2106" s="38" t="s">
        <v>11</v>
      </c>
      <c r="C2106" s="57">
        <v>5.31</v>
      </c>
      <c r="D2106" s="4">
        <v>5.21</v>
      </c>
      <c r="E2106" s="4">
        <v>5.18</v>
      </c>
      <c r="F2106" s="4">
        <v>5.16</v>
      </c>
      <c r="G2106" s="4">
        <v>5.16</v>
      </c>
      <c r="H2106" s="4">
        <v>5.15</v>
      </c>
      <c r="I2106" s="4">
        <v>5.15</v>
      </c>
    </row>
    <row r="2107" spans="2:9" ht="18" customHeight="1" x14ac:dyDescent="0.25">
      <c r="B2107" s="38" t="s">
        <v>12</v>
      </c>
      <c r="C2107" s="57">
        <v>0</v>
      </c>
      <c r="D2107" s="4">
        <v>0</v>
      </c>
      <c r="E2107" s="4">
        <v>0</v>
      </c>
      <c r="F2107" s="4">
        <v>1</v>
      </c>
      <c r="G2107" s="4">
        <v>1</v>
      </c>
      <c r="H2107" s="4">
        <v>0</v>
      </c>
      <c r="I2107" s="4">
        <v>0</v>
      </c>
    </row>
    <row r="2108" spans="2:9" ht="18" customHeight="1" x14ac:dyDescent="0.25">
      <c r="B2108" s="38" t="s">
        <v>13</v>
      </c>
      <c r="C2108" s="57">
        <v>0</v>
      </c>
      <c r="D2108" s="4">
        <v>0</v>
      </c>
      <c r="E2108" s="4">
        <v>0</v>
      </c>
      <c r="F2108" s="4">
        <v>0</v>
      </c>
      <c r="G2108" s="4">
        <v>0</v>
      </c>
      <c r="H2108" s="4">
        <v>0</v>
      </c>
      <c r="I2108" s="4">
        <v>0</v>
      </c>
    </row>
    <row r="2109" spans="2:9" ht="18" customHeight="1" x14ac:dyDescent="0.25">
      <c r="B2109" s="38" t="s">
        <v>14</v>
      </c>
      <c r="C2109" s="56"/>
      <c r="D2109"/>
      <c r="E2109"/>
      <c r="F2109"/>
      <c r="G2109"/>
      <c r="H2109"/>
      <c r="I2109"/>
    </row>
    <row r="2110" spans="2:9" ht="18" customHeight="1" x14ac:dyDescent="0.25">
      <c r="B2110" s="36" t="s">
        <v>41</v>
      </c>
      <c r="C2110" s="72" t="s">
        <v>172</v>
      </c>
      <c r="D2110" s="4" t="s">
        <v>42</v>
      </c>
      <c r="E2110" s="4" t="s">
        <v>42</v>
      </c>
      <c r="F2110" s="4" t="s">
        <v>42</v>
      </c>
      <c r="G2110" s="4" t="s">
        <v>42</v>
      </c>
      <c r="H2110" s="4" t="s">
        <v>42</v>
      </c>
      <c r="I2110" s="4" t="s">
        <v>42</v>
      </c>
    </row>
    <row r="2111" spans="2:9" ht="18" customHeight="1" x14ac:dyDescent="0.25">
      <c r="B2111" s="37" t="s">
        <v>15</v>
      </c>
      <c r="C2111" s="56"/>
      <c r="D2111"/>
      <c r="E2111"/>
      <c r="F2111"/>
      <c r="G2111"/>
      <c r="H2111"/>
      <c r="I2111"/>
    </row>
    <row r="2112" spans="2:9" ht="18" customHeight="1" x14ac:dyDescent="0.25">
      <c r="B2112" s="38" t="s">
        <v>17</v>
      </c>
      <c r="C2112" s="57" t="s">
        <v>67</v>
      </c>
      <c r="D2112" s="4" t="s">
        <v>67</v>
      </c>
      <c r="E2112" s="4" t="s">
        <v>67</v>
      </c>
      <c r="F2112" s="4" t="s">
        <v>67</v>
      </c>
      <c r="G2112" s="4" t="s">
        <v>67</v>
      </c>
      <c r="H2112" s="4" t="s">
        <v>67</v>
      </c>
      <c r="I2112" s="4" t="s">
        <v>67</v>
      </c>
    </row>
    <row r="2113" spans="2:9" ht="18" customHeight="1" x14ac:dyDescent="0.25">
      <c r="B2113" s="38" t="s">
        <v>18</v>
      </c>
      <c r="C2113" s="57" t="s">
        <v>330</v>
      </c>
      <c r="D2113" s="4" t="s">
        <v>330</v>
      </c>
      <c r="E2113" s="4" t="s">
        <v>330</v>
      </c>
      <c r="F2113" s="4" t="s">
        <v>330</v>
      </c>
      <c r="G2113" s="4" t="s">
        <v>330</v>
      </c>
      <c r="H2113" s="4" t="s">
        <v>330</v>
      </c>
      <c r="I2113" s="4" t="s">
        <v>330</v>
      </c>
    </row>
    <row r="2114" spans="2:9" ht="18" customHeight="1" x14ac:dyDescent="0.25">
      <c r="B2114" s="24"/>
      <c r="C2114" s="56"/>
      <c r="D2114"/>
      <c r="E2114"/>
      <c r="F2114"/>
      <c r="G2114"/>
      <c r="H2114"/>
      <c r="I2114"/>
    </row>
    <row r="2115" spans="2:9" ht="18" customHeight="1" x14ac:dyDescent="0.25">
      <c r="B2115" s="31" t="s">
        <v>19</v>
      </c>
      <c r="C2115" s="57">
        <v>2.5</v>
      </c>
      <c r="D2115" s="4">
        <v>2.5</v>
      </c>
      <c r="E2115" s="4">
        <v>2.5</v>
      </c>
      <c r="F2115" s="4">
        <v>2.5</v>
      </c>
      <c r="G2115" s="4">
        <v>2.5</v>
      </c>
      <c r="H2115" s="4">
        <v>2.5</v>
      </c>
      <c r="I2115" s="4">
        <v>2.5</v>
      </c>
    </row>
    <row r="2116" spans="2:9" ht="18" customHeight="1" x14ac:dyDescent="0.25">
      <c r="B2116" s="38" t="s">
        <v>20</v>
      </c>
      <c r="C2116" s="57">
        <v>0.35</v>
      </c>
      <c r="D2116" s="4">
        <v>0.35</v>
      </c>
      <c r="E2116" s="4">
        <v>0.35</v>
      </c>
      <c r="F2116" s="4">
        <v>0.35</v>
      </c>
      <c r="G2116" s="4">
        <v>0.35</v>
      </c>
      <c r="H2116" s="4">
        <v>0.35</v>
      </c>
      <c r="I2116" s="4">
        <v>0.35</v>
      </c>
    </row>
    <row r="2117" spans="2:9" ht="18" customHeight="1" x14ac:dyDescent="0.25">
      <c r="B2117" s="38" t="s">
        <v>21</v>
      </c>
      <c r="C2117" s="57">
        <v>3.5</v>
      </c>
      <c r="D2117" s="4">
        <v>3.5</v>
      </c>
      <c r="E2117" s="4">
        <v>3.5</v>
      </c>
      <c r="F2117" s="4">
        <v>3.5</v>
      </c>
      <c r="G2117" s="4">
        <v>3.5</v>
      </c>
      <c r="H2117" s="4">
        <v>3.5</v>
      </c>
      <c r="I2117" s="4">
        <v>3.5</v>
      </c>
    </row>
    <row r="2118" spans="2:9" ht="18" customHeight="1" x14ac:dyDescent="0.25">
      <c r="B2118" s="38" t="s">
        <v>22</v>
      </c>
      <c r="C2118" s="57">
        <v>0.35</v>
      </c>
      <c r="D2118" s="4">
        <v>0.35</v>
      </c>
      <c r="E2118" s="4">
        <v>0.35</v>
      </c>
      <c r="F2118" s="4">
        <v>0.35</v>
      </c>
      <c r="G2118" s="4">
        <v>0.35</v>
      </c>
      <c r="H2118" s="4">
        <v>0.35</v>
      </c>
      <c r="I2118" s="4">
        <v>0.35</v>
      </c>
    </row>
    <row r="2119" spans="2:9" ht="18" customHeight="1" x14ac:dyDescent="0.25">
      <c r="B2119" s="38" t="s">
        <v>23</v>
      </c>
      <c r="C2119" s="66"/>
      <c r="D2119" s="24"/>
      <c r="E2119" s="24"/>
      <c r="F2119" s="24"/>
      <c r="G2119" s="24"/>
      <c r="H2119" s="24"/>
      <c r="I2119" s="24"/>
    </row>
    <row r="2120" spans="2:9" ht="18" customHeight="1" x14ac:dyDescent="0.25">
      <c r="B2120" s="38" t="s">
        <v>24</v>
      </c>
      <c r="C2120" s="66"/>
      <c r="D2120"/>
      <c r="E2120"/>
      <c r="F2120"/>
      <c r="G2120"/>
      <c r="H2120"/>
      <c r="I2120"/>
    </row>
    <row r="2121" spans="2:9" ht="18" customHeight="1" x14ac:dyDescent="0.25">
      <c r="B2121" s="24"/>
      <c r="C2121" s="66"/>
      <c r="D2121"/>
      <c r="E2121"/>
      <c r="F2121"/>
      <c r="G2121"/>
      <c r="H2121"/>
      <c r="I2121"/>
    </row>
    <row r="2122" spans="2:9" ht="18" customHeight="1" x14ac:dyDescent="0.25">
      <c r="B2122" s="19" t="s">
        <v>33</v>
      </c>
      <c r="C2122" s="56"/>
      <c r="D2122"/>
      <c r="E2122"/>
      <c r="F2122"/>
      <c r="G2122"/>
      <c r="H2122"/>
      <c r="I2122"/>
    </row>
    <row r="2123" spans="2:9" ht="18" customHeight="1" x14ac:dyDescent="0.25">
      <c r="C2123" s="56"/>
      <c r="D2123"/>
      <c r="E2123"/>
      <c r="F2123"/>
      <c r="G2123"/>
      <c r="H2123"/>
      <c r="I2123"/>
    </row>
    <row r="2124" spans="2:9" ht="18" customHeight="1" x14ac:dyDescent="0.25">
      <c r="C2124" s="56"/>
      <c r="D2124"/>
      <c r="E2124"/>
      <c r="F2124"/>
      <c r="G2124"/>
      <c r="H2124"/>
      <c r="I2124"/>
    </row>
    <row r="2125" spans="2:9" ht="18" customHeight="1" x14ac:dyDescent="0.25">
      <c r="B2125" s="31" t="s">
        <v>0</v>
      </c>
      <c r="C2125" s="66" t="s">
        <v>331</v>
      </c>
      <c r="D2125"/>
      <c r="E2125"/>
      <c r="F2125"/>
      <c r="G2125"/>
      <c r="H2125"/>
      <c r="I2125"/>
    </row>
    <row r="2126" spans="2:9" ht="18" customHeight="1" x14ac:dyDescent="0.25">
      <c r="B2126" s="36" t="s">
        <v>3</v>
      </c>
      <c r="C2126" s="66">
        <v>1</v>
      </c>
      <c r="D2126"/>
      <c r="E2126"/>
      <c r="F2126"/>
      <c r="G2126"/>
      <c r="H2126"/>
      <c r="I2126"/>
    </row>
    <row r="2127" spans="2:9" ht="18" customHeight="1" x14ac:dyDescent="0.25">
      <c r="B2127" s="36"/>
      <c r="C2127" s="56"/>
      <c r="D2127"/>
      <c r="E2127"/>
      <c r="F2127"/>
      <c r="G2127"/>
      <c r="H2127"/>
      <c r="I2127"/>
    </row>
    <row r="2128" spans="2:9" ht="18" customHeight="1" x14ac:dyDescent="0.25">
      <c r="B2128" s="36" t="s">
        <v>6</v>
      </c>
      <c r="C2128" s="71">
        <v>39017</v>
      </c>
      <c r="D2128"/>
      <c r="E2128"/>
      <c r="F2128"/>
      <c r="G2128"/>
      <c r="H2128"/>
      <c r="I2128"/>
    </row>
    <row r="2129" spans="2:9" ht="18" customHeight="1" x14ac:dyDescent="0.25">
      <c r="B2129" s="37" t="s">
        <v>9</v>
      </c>
      <c r="C2129" s="65">
        <v>40995</v>
      </c>
      <c r="D2129" s="25">
        <v>41184</v>
      </c>
      <c r="E2129" s="25">
        <v>41291</v>
      </c>
      <c r="F2129" s="25">
        <v>41494</v>
      </c>
      <c r="G2129" s="25">
        <v>41496</v>
      </c>
      <c r="H2129" s="25">
        <v>41569</v>
      </c>
      <c r="I2129" s="25">
        <v>41584</v>
      </c>
    </row>
    <row r="2130" spans="2:9" ht="18" customHeight="1" x14ac:dyDescent="0.25">
      <c r="B2130" s="37" t="s">
        <v>8</v>
      </c>
      <c r="C2130" s="71"/>
      <c r="D2130"/>
      <c r="E2130" s="27"/>
      <c r="F2130"/>
      <c r="G2130"/>
      <c r="H2130"/>
      <c r="I2130"/>
    </row>
    <row r="2131" spans="2:9" ht="18" customHeight="1" x14ac:dyDescent="0.25">
      <c r="B2131" s="38" t="s">
        <v>11</v>
      </c>
      <c r="C2131" s="57">
        <v>5.15</v>
      </c>
      <c r="D2131" s="4">
        <v>5.14</v>
      </c>
      <c r="E2131" s="4">
        <v>5.1100000000000003</v>
      </c>
      <c r="F2131" s="4">
        <v>5.01</v>
      </c>
      <c r="G2131" s="4">
        <v>5.01</v>
      </c>
      <c r="H2131" s="4">
        <v>4.45</v>
      </c>
      <c r="I2131" s="4">
        <v>4.4400000000000004</v>
      </c>
    </row>
    <row r="2132" spans="2:9" ht="18" customHeight="1" x14ac:dyDescent="0.25">
      <c r="B2132" s="38" t="s">
        <v>12</v>
      </c>
      <c r="C2132" s="56"/>
      <c r="D2132"/>
      <c r="E2132"/>
      <c r="F2132"/>
      <c r="G2132"/>
      <c r="H2132"/>
      <c r="I2132"/>
    </row>
    <row r="2133" spans="2:9" ht="18" customHeight="1" x14ac:dyDescent="0.25">
      <c r="B2133" s="38" t="s">
        <v>13</v>
      </c>
      <c r="C2133" s="57" t="s">
        <v>332</v>
      </c>
      <c r="D2133" s="4" t="s">
        <v>333</v>
      </c>
      <c r="E2133" s="4" t="s">
        <v>334</v>
      </c>
      <c r="F2133" s="4" t="s">
        <v>335</v>
      </c>
      <c r="G2133" s="4" t="s">
        <v>335</v>
      </c>
      <c r="H2133" s="4" t="s">
        <v>336</v>
      </c>
      <c r="I2133" s="4" t="s">
        <v>337</v>
      </c>
    </row>
    <row r="2134" spans="2:9" ht="18" customHeight="1" x14ac:dyDescent="0.25">
      <c r="B2134" s="38" t="s">
        <v>14</v>
      </c>
      <c r="C2134" s="56"/>
      <c r="D2134"/>
      <c r="E2134"/>
      <c r="F2134"/>
      <c r="G2134"/>
      <c r="H2134"/>
      <c r="I2134"/>
    </row>
    <row r="2135" spans="2:9" ht="18" customHeight="1" x14ac:dyDescent="0.25">
      <c r="B2135" s="36" t="s">
        <v>41</v>
      </c>
      <c r="C2135" s="72" t="s">
        <v>42</v>
      </c>
      <c r="D2135" s="4" t="s">
        <v>42</v>
      </c>
      <c r="E2135" s="30" t="s">
        <v>42</v>
      </c>
      <c r="F2135" s="30" t="s">
        <v>42</v>
      </c>
      <c r="G2135" s="47" t="s">
        <v>338</v>
      </c>
      <c r="H2135" s="47" t="s">
        <v>338</v>
      </c>
      <c r="I2135" s="30" t="s">
        <v>42</v>
      </c>
    </row>
    <row r="2136" spans="2:9" ht="18" customHeight="1" x14ac:dyDescent="0.25">
      <c r="B2136" s="37" t="s">
        <v>15</v>
      </c>
      <c r="C2136" s="56"/>
      <c r="D2136"/>
      <c r="E2136"/>
      <c r="F2136"/>
      <c r="G2136"/>
      <c r="H2136"/>
      <c r="I2136"/>
    </row>
    <row r="2137" spans="2:9" ht="18" customHeight="1" x14ac:dyDescent="0.25">
      <c r="B2137" s="38" t="s">
        <v>17</v>
      </c>
      <c r="C2137" s="57" t="s">
        <v>47</v>
      </c>
      <c r="D2137" s="4" t="s">
        <v>47</v>
      </c>
      <c r="E2137" s="4" t="s">
        <v>47</v>
      </c>
      <c r="F2137" s="4" t="s">
        <v>47</v>
      </c>
      <c r="G2137" s="4" t="s">
        <v>47</v>
      </c>
      <c r="H2137" s="4" t="s">
        <v>47</v>
      </c>
      <c r="I2137" s="4" t="s">
        <v>47</v>
      </c>
    </row>
    <row r="2138" spans="2:9" ht="18" customHeight="1" x14ac:dyDescent="0.25">
      <c r="B2138" s="38" t="s">
        <v>18</v>
      </c>
      <c r="C2138" s="57" t="s">
        <v>65</v>
      </c>
      <c r="D2138" s="4" t="s">
        <v>65</v>
      </c>
      <c r="E2138" s="4" t="s">
        <v>65</v>
      </c>
      <c r="F2138" s="4" t="s">
        <v>65</v>
      </c>
      <c r="G2138" s="4" t="s">
        <v>65</v>
      </c>
      <c r="H2138" s="4" t="s">
        <v>65</v>
      </c>
      <c r="I2138" s="4" t="s">
        <v>65</v>
      </c>
    </row>
    <row r="2139" spans="2:9" ht="18" customHeight="1" x14ac:dyDescent="0.25">
      <c r="B2139" s="24"/>
      <c r="C2139" s="56"/>
      <c r="D2139"/>
      <c r="E2139"/>
      <c r="F2139"/>
      <c r="G2139"/>
      <c r="H2139"/>
      <c r="I2139"/>
    </row>
    <row r="2140" spans="2:9" ht="18" customHeight="1" x14ac:dyDescent="0.25">
      <c r="B2140" s="31" t="s">
        <v>19</v>
      </c>
      <c r="C2140" s="56"/>
      <c r="D2140"/>
      <c r="E2140"/>
      <c r="F2140"/>
      <c r="G2140"/>
      <c r="H2140"/>
      <c r="I2140"/>
    </row>
    <row r="2141" spans="2:9" ht="18" customHeight="1" x14ac:dyDescent="0.25">
      <c r="B2141" s="38" t="s">
        <v>20</v>
      </c>
      <c r="C2141" s="56"/>
      <c r="D2141"/>
      <c r="E2141"/>
      <c r="F2141"/>
      <c r="G2141"/>
      <c r="H2141"/>
      <c r="I2141"/>
    </row>
    <row r="2142" spans="2:9" ht="18" customHeight="1" x14ac:dyDescent="0.25">
      <c r="B2142" s="38" t="s">
        <v>21</v>
      </c>
      <c r="C2142" s="57">
        <v>2.5</v>
      </c>
      <c r="D2142" s="4">
        <v>2.5</v>
      </c>
      <c r="E2142" s="4">
        <v>2.5</v>
      </c>
      <c r="F2142" s="4">
        <v>2.5</v>
      </c>
      <c r="G2142" s="4">
        <v>2.5</v>
      </c>
      <c r="H2142" s="4">
        <v>2.5</v>
      </c>
      <c r="I2142" s="4">
        <v>2.5</v>
      </c>
    </row>
    <row r="2143" spans="2:9" ht="18" customHeight="1" x14ac:dyDescent="0.25">
      <c r="B2143" s="38" t="s">
        <v>22</v>
      </c>
      <c r="C2143" s="57">
        <v>0.35</v>
      </c>
      <c r="D2143" s="4">
        <v>0.35</v>
      </c>
      <c r="E2143" s="4">
        <v>0.35</v>
      </c>
      <c r="F2143" s="4">
        <v>0.35</v>
      </c>
      <c r="G2143" s="4">
        <v>0.35</v>
      </c>
      <c r="H2143" s="4">
        <v>0.35</v>
      </c>
      <c r="I2143" s="4">
        <v>0.35</v>
      </c>
    </row>
    <row r="2144" spans="2:9" ht="18" customHeight="1" x14ac:dyDescent="0.25">
      <c r="B2144" s="38" t="s">
        <v>23</v>
      </c>
      <c r="C2144" s="66"/>
      <c r="D2144" s="24"/>
      <c r="E2144"/>
      <c r="F2144"/>
      <c r="G2144"/>
      <c r="H2144"/>
      <c r="I2144"/>
    </row>
    <row r="2145" spans="2:9" ht="18" customHeight="1" x14ac:dyDescent="0.25">
      <c r="B2145" s="38" t="s">
        <v>24</v>
      </c>
      <c r="C2145" s="66"/>
      <c r="D2145"/>
      <c r="E2145"/>
      <c r="F2145"/>
      <c r="G2145"/>
      <c r="H2145"/>
      <c r="I2145"/>
    </row>
    <row r="2146" spans="2:9" ht="18" customHeight="1" x14ac:dyDescent="0.25">
      <c r="B2146" s="24"/>
      <c r="C2146" s="66"/>
      <c r="D2146"/>
      <c r="E2146"/>
      <c r="F2146"/>
      <c r="G2146"/>
      <c r="H2146"/>
      <c r="I2146"/>
    </row>
    <row r="2147" spans="2:9" ht="18" customHeight="1" x14ac:dyDescent="0.25">
      <c r="B2147" s="19" t="s">
        <v>33</v>
      </c>
      <c r="C2147" s="56"/>
      <c r="D2147"/>
      <c r="E2147"/>
      <c r="F2147"/>
      <c r="G2147"/>
      <c r="H2147"/>
      <c r="I2147"/>
    </row>
    <row r="2148" spans="2:9" ht="18" customHeight="1" x14ac:dyDescent="0.25">
      <c r="C2148" s="56"/>
      <c r="D2148"/>
      <c r="E2148"/>
      <c r="F2148"/>
      <c r="G2148"/>
      <c r="H2148"/>
      <c r="I2148"/>
    </row>
    <row r="2149" spans="2:9" ht="18" customHeight="1" x14ac:dyDescent="0.25">
      <c r="C2149" s="56"/>
      <c r="D2149"/>
      <c r="E2149"/>
      <c r="F2149"/>
      <c r="G2149"/>
      <c r="H2149"/>
      <c r="I2149"/>
    </row>
    <row r="2150" spans="2:9" ht="18" customHeight="1" x14ac:dyDescent="0.25">
      <c r="C2150" s="56"/>
      <c r="D2150"/>
      <c r="E2150"/>
      <c r="F2150"/>
      <c r="G2150"/>
      <c r="H2150"/>
      <c r="I2150"/>
    </row>
    <row r="2151" spans="2:9" ht="18" customHeight="1" x14ac:dyDescent="0.25">
      <c r="B2151" s="31" t="s">
        <v>0</v>
      </c>
      <c r="C2151" s="66" t="s">
        <v>339</v>
      </c>
      <c r="D2151"/>
      <c r="E2151"/>
      <c r="F2151"/>
      <c r="G2151"/>
      <c r="H2151"/>
      <c r="I2151"/>
    </row>
    <row r="2152" spans="2:9" ht="18" customHeight="1" x14ac:dyDescent="0.25">
      <c r="B2152" s="36" t="s">
        <v>3</v>
      </c>
      <c r="C2152" s="66">
        <v>2</v>
      </c>
      <c r="D2152"/>
      <c r="E2152"/>
      <c r="F2152"/>
      <c r="G2152"/>
      <c r="H2152"/>
      <c r="I2152"/>
    </row>
    <row r="2153" spans="2:9" ht="18" customHeight="1" x14ac:dyDescent="0.25">
      <c r="B2153" s="36"/>
      <c r="C2153" s="56"/>
      <c r="D2153"/>
      <c r="E2153"/>
      <c r="F2153"/>
      <c r="G2153"/>
      <c r="H2153"/>
      <c r="I2153"/>
    </row>
    <row r="2154" spans="2:9" ht="18" customHeight="1" x14ac:dyDescent="0.25">
      <c r="B2154" s="36" t="s">
        <v>6</v>
      </c>
      <c r="C2154" s="73"/>
      <c r="D2154"/>
      <c r="E2154"/>
      <c r="F2154"/>
      <c r="G2154"/>
      <c r="H2154"/>
      <c r="I2154"/>
    </row>
    <row r="2155" spans="2:9" ht="18" customHeight="1" x14ac:dyDescent="0.25">
      <c r="B2155" s="37" t="s">
        <v>9</v>
      </c>
      <c r="C2155" s="65">
        <v>40730</v>
      </c>
      <c r="D2155" s="25">
        <v>40946</v>
      </c>
      <c r="E2155" s="25">
        <v>41009</v>
      </c>
      <c r="F2155" s="25">
        <v>41144</v>
      </c>
      <c r="G2155" s="25">
        <v>41240</v>
      </c>
      <c r="H2155" s="25">
        <v>41352</v>
      </c>
      <c r="I2155" s="25">
        <v>41485</v>
      </c>
    </row>
    <row r="2156" spans="2:9" ht="18" customHeight="1" x14ac:dyDescent="0.25">
      <c r="B2156" s="37" t="s">
        <v>8</v>
      </c>
      <c r="C2156" s="71"/>
      <c r="D2156"/>
      <c r="E2156"/>
      <c r="F2156"/>
      <c r="G2156"/>
      <c r="H2156"/>
      <c r="I2156"/>
    </row>
    <row r="2157" spans="2:9" ht="18" customHeight="1" x14ac:dyDescent="0.25">
      <c r="B2157" s="38" t="s">
        <v>11</v>
      </c>
      <c r="C2157" s="57">
        <v>5.18</v>
      </c>
      <c r="D2157" s="4">
        <v>5.16</v>
      </c>
      <c r="E2157" s="4">
        <v>5.16</v>
      </c>
      <c r="F2157" s="4">
        <v>5.12</v>
      </c>
      <c r="G2157" s="4">
        <v>5.05</v>
      </c>
      <c r="H2157" s="4">
        <v>4.8600000000000003</v>
      </c>
      <c r="I2157" s="4">
        <v>4.58</v>
      </c>
    </row>
    <row r="2158" spans="2:9" ht="18" customHeight="1" x14ac:dyDescent="0.25">
      <c r="B2158" s="38" t="s">
        <v>12</v>
      </c>
      <c r="C2158" s="57" t="s">
        <v>340</v>
      </c>
      <c r="D2158" s="4" t="s">
        <v>341</v>
      </c>
      <c r="E2158" s="4" t="s">
        <v>342</v>
      </c>
      <c r="F2158" s="4" t="s">
        <v>343</v>
      </c>
      <c r="G2158" s="4" t="s">
        <v>344</v>
      </c>
      <c r="H2158" s="4" t="s">
        <v>342</v>
      </c>
      <c r="I2158" s="4" t="s">
        <v>345</v>
      </c>
    </row>
    <row r="2159" spans="2:9" ht="18" customHeight="1" x14ac:dyDescent="0.25">
      <c r="B2159" s="38" t="s">
        <v>13</v>
      </c>
      <c r="C2159" s="57" t="s">
        <v>346</v>
      </c>
      <c r="D2159" s="4" t="s">
        <v>347</v>
      </c>
      <c r="E2159" s="4" t="s">
        <v>348</v>
      </c>
      <c r="F2159" s="4" t="s">
        <v>349</v>
      </c>
      <c r="G2159" s="4" t="s">
        <v>350</v>
      </c>
      <c r="H2159" s="4" t="s">
        <v>349</v>
      </c>
      <c r="I2159" s="4" t="s">
        <v>347</v>
      </c>
    </row>
    <row r="2160" spans="2:9" ht="18" customHeight="1" x14ac:dyDescent="0.25">
      <c r="B2160" s="38" t="s">
        <v>14</v>
      </c>
      <c r="C2160" s="56"/>
      <c r="D2160"/>
      <c r="E2160"/>
      <c r="F2160"/>
      <c r="G2160"/>
      <c r="H2160"/>
      <c r="I2160"/>
    </row>
    <row r="2161" spans="2:9" ht="18" customHeight="1" x14ac:dyDescent="0.25">
      <c r="B2161" s="36" t="s">
        <v>41</v>
      </c>
      <c r="C2161" s="72" t="s">
        <v>42</v>
      </c>
      <c r="D2161" s="30" t="s">
        <v>42</v>
      </c>
      <c r="E2161" s="30" t="s">
        <v>42</v>
      </c>
      <c r="F2161" s="30" t="s">
        <v>42</v>
      </c>
      <c r="G2161" s="30" t="s">
        <v>42</v>
      </c>
      <c r="H2161" s="30" t="s">
        <v>42</v>
      </c>
      <c r="I2161" s="30" t="s">
        <v>42</v>
      </c>
    </row>
    <row r="2162" spans="2:9" ht="18" customHeight="1" x14ac:dyDescent="0.25">
      <c r="B2162" s="37" t="s">
        <v>15</v>
      </c>
      <c r="C2162" s="56"/>
      <c r="D2162"/>
      <c r="E2162"/>
      <c r="F2162"/>
      <c r="G2162"/>
      <c r="H2162"/>
      <c r="I2162"/>
    </row>
    <row r="2163" spans="2:9" ht="18" customHeight="1" x14ac:dyDescent="0.25">
      <c r="B2163" s="38" t="s">
        <v>17</v>
      </c>
      <c r="C2163" s="57" t="s">
        <v>47</v>
      </c>
      <c r="D2163" s="4" t="s">
        <v>47</v>
      </c>
      <c r="E2163" s="4" t="s">
        <v>47</v>
      </c>
      <c r="F2163" s="4" t="s">
        <v>47</v>
      </c>
      <c r="G2163" s="4" t="s">
        <v>47</v>
      </c>
      <c r="H2163" s="4" t="s">
        <v>47</v>
      </c>
      <c r="I2163" s="4" t="s">
        <v>47</v>
      </c>
    </row>
    <row r="2164" spans="2:9" ht="18" customHeight="1" x14ac:dyDescent="0.25">
      <c r="B2164" s="38" t="s">
        <v>18</v>
      </c>
      <c r="C2164" s="57" t="s">
        <v>69</v>
      </c>
      <c r="D2164" s="4" t="s">
        <v>69</v>
      </c>
      <c r="E2164" s="4" t="s">
        <v>69</v>
      </c>
      <c r="F2164" s="4" t="s">
        <v>69</v>
      </c>
      <c r="G2164" s="4" t="s">
        <v>69</v>
      </c>
      <c r="H2164" s="4" t="s">
        <v>69</v>
      </c>
      <c r="I2164" s="4" t="s">
        <v>69</v>
      </c>
    </row>
    <row r="2165" spans="2:9" ht="18" customHeight="1" x14ac:dyDescent="0.25">
      <c r="B2165" s="24"/>
      <c r="C2165" s="56"/>
      <c r="D2165"/>
      <c r="E2165"/>
      <c r="F2165"/>
      <c r="G2165"/>
      <c r="H2165"/>
      <c r="I2165"/>
    </row>
    <row r="2166" spans="2:9" ht="18" customHeight="1" x14ac:dyDescent="0.25">
      <c r="B2166" s="31" t="s">
        <v>19</v>
      </c>
      <c r="C2166" s="57">
        <v>2.5</v>
      </c>
      <c r="D2166" s="4">
        <v>2.5</v>
      </c>
      <c r="E2166" s="4">
        <v>2.5</v>
      </c>
      <c r="F2166" s="4">
        <v>2.5</v>
      </c>
      <c r="G2166" s="4">
        <v>2.5</v>
      </c>
      <c r="H2166" s="4">
        <v>2.5</v>
      </c>
      <c r="I2166" s="4">
        <v>2.5</v>
      </c>
    </row>
    <row r="2167" spans="2:9" ht="18" customHeight="1" x14ac:dyDescent="0.25">
      <c r="B2167" s="38" t="s">
        <v>20</v>
      </c>
      <c r="C2167" s="57">
        <v>0.35</v>
      </c>
      <c r="D2167" s="4">
        <v>0.35</v>
      </c>
      <c r="E2167" s="4">
        <v>0.35</v>
      </c>
      <c r="F2167" s="4">
        <v>0.35</v>
      </c>
      <c r="G2167" s="4">
        <v>0.35</v>
      </c>
      <c r="H2167" s="4">
        <v>0.35</v>
      </c>
      <c r="I2167" s="4">
        <v>0.35</v>
      </c>
    </row>
    <row r="2168" spans="2:9" ht="18" customHeight="1" x14ac:dyDescent="0.25">
      <c r="B2168" s="38" t="s">
        <v>21</v>
      </c>
      <c r="C2168" s="57">
        <v>2.5</v>
      </c>
      <c r="D2168" s="4">
        <v>2.5</v>
      </c>
      <c r="E2168" s="4">
        <v>2.5</v>
      </c>
      <c r="F2168" s="4">
        <v>2.5</v>
      </c>
      <c r="G2168" s="4">
        <v>2.5</v>
      </c>
      <c r="H2168" s="4">
        <v>2.5</v>
      </c>
      <c r="I2168" s="4">
        <v>2.5</v>
      </c>
    </row>
    <row r="2169" spans="2:9" ht="18" customHeight="1" x14ac:dyDescent="0.25">
      <c r="B2169" s="38" t="s">
        <v>22</v>
      </c>
      <c r="C2169" s="57">
        <v>0.35</v>
      </c>
      <c r="D2169" s="4">
        <v>0.35</v>
      </c>
      <c r="E2169" s="4">
        <v>0.35</v>
      </c>
      <c r="F2169" s="4">
        <v>0.35</v>
      </c>
      <c r="G2169" s="4">
        <v>0.35</v>
      </c>
      <c r="H2169" s="4">
        <v>0.35</v>
      </c>
      <c r="I2169" s="4">
        <v>0.35</v>
      </c>
    </row>
    <row r="2170" spans="2:9" ht="18" customHeight="1" x14ac:dyDescent="0.25">
      <c r="B2170" s="38" t="s">
        <v>23</v>
      </c>
      <c r="C2170" s="66"/>
      <c r="D2170" s="24"/>
    </row>
    <row r="2171" spans="2:9" ht="18" customHeight="1" x14ac:dyDescent="0.25">
      <c r="B2171" s="38" t="s">
        <v>24</v>
      </c>
      <c r="C2171" s="66"/>
    </row>
    <row r="2172" spans="2:9" ht="18" customHeight="1" x14ac:dyDescent="0.25">
      <c r="B2172" s="24"/>
      <c r="C2172" s="66"/>
    </row>
    <row r="2173" spans="2:9" ht="18" customHeight="1" x14ac:dyDescent="0.25">
      <c r="B2173" s="19" t="s">
        <v>33</v>
      </c>
    </row>
  </sheetData>
  <autoFilter ref="B1:L2173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2"/>
  <sheetViews>
    <sheetView zoomScale="80" zoomScaleNormal="80" workbookViewId="0">
      <selection activeCell="K59" sqref="K59"/>
    </sheetView>
  </sheetViews>
  <sheetFormatPr baseColWidth="10" defaultColWidth="9.1796875" defaultRowHeight="12.5" x14ac:dyDescent="0.25"/>
  <cols>
    <col min="1" max="1" width="27.26953125"/>
    <col min="2" max="1025" width="8.453125"/>
  </cols>
  <sheetData>
    <row r="4" spans="1:2" x14ac:dyDescent="0.25">
      <c r="A4" s="48" t="s">
        <v>351</v>
      </c>
      <c r="B4">
        <v>4.8</v>
      </c>
    </row>
    <row r="10" spans="1:2" ht="13" x14ac:dyDescent="0.3">
      <c r="A10" s="3" t="s">
        <v>0</v>
      </c>
      <c r="B10" t="s">
        <v>352</v>
      </c>
    </row>
    <row r="11" spans="1:2" x14ac:dyDescent="0.25">
      <c r="A11" s="8" t="s">
        <v>3</v>
      </c>
      <c r="B11" t="s">
        <v>353</v>
      </c>
    </row>
    <row r="12" spans="1:2" x14ac:dyDescent="0.25">
      <c r="A12" s="8" t="s">
        <v>4</v>
      </c>
    </row>
    <row r="13" spans="1:2" x14ac:dyDescent="0.25">
      <c r="A13" s="8" t="s">
        <v>6</v>
      </c>
    </row>
    <row r="14" spans="1:2" ht="13" x14ac:dyDescent="0.3">
      <c r="A14" s="11" t="s">
        <v>9</v>
      </c>
      <c r="B14" t="s">
        <v>354</v>
      </c>
    </row>
    <row r="15" spans="1:2" ht="13" x14ac:dyDescent="0.3">
      <c r="A15" s="11" t="s">
        <v>355</v>
      </c>
    </row>
    <row r="16" spans="1:2" ht="13" x14ac:dyDescent="0.3">
      <c r="A16" s="3" t="s">
        <v>11</v>
      </c>
      <c r="B16" t="s">
        <v>356</v>
      </c>
    </row>
    <row r="17" spans="1:9" ht="13" x14ac:dyDescent="0.3">
      <c r="A17" s="3" t="s">
        <v>12</v>
      </c>
      <c r="B17" t="s">
        <v>357</v>
      </c>
    </row>
    <row r="18" spans="1:9" ht="13" x14ac:dyDescent="0.3">
      <c r="A18" s="3" t="s">
        <v>13</v>
      </c>
      <c r="B18" t="s">
        <v>358</v>
      </c>
    </row>
    <row r="19" spans="1:9" ht="13" x14ac:dyDescent="0.3">
      <c r="A19" s="3" t="s">
        <v>14</v>
      </c>
      <c r="B19" t="s">
        <v>359</v>
      </c>
    </row>
    <row r="20" spans="1:9" x14ac:dyDescent="0.25">
      <c r="A20" s="8"/>
    </row>
    <row r="21" spans="1:9" ht="13" x14ac:dyDescent="0.3">
      <c r="A21" s="11" t="s">
        <v>15</v>
      </c>
      <c r="B21" t="s">
        <v>360</v>
      </c>
      <c r="D21" t="s">
        <v>361</v>
      </c>
      <c r="E21" t="s">
        <v>362</v>
      </c>
      <c r="H21" t="s">
        <v>363</v>
      </c>
      <c r="I21" t="s">
        <v>364</v>
      </c>
    </row>
    <row r="22" spans="1:9" ht="13" x14ac:dyDescent="0.3">
      <c r="A22" s="3" t="s">
        <v>17</v>
      </c>
      <c r="B22" t="s">
        <v>365</v>
      </c>
    </row>
    <row r="23" spans="1:9" ht="13" x14ac:dyDescent="0.3">
      <c r="A23" s="3" t="s">
        <v>18</v>
      </c>
      <c r="B23" t="s">
        <v>366</v>
      </c>
    </row>
    <row r="25" spans="1:9" ht="13" x14ac:dyDescent="0.3">
      <c r="A25" s="3" t="s">
        <v>19</v>
      </c>
      <c r="B25" t="s">
        <v>367</v>
      </c>
    </row>
    <row r="26" spans="1:9" ht="13" x14ac:dyDescent="0.3">
      <c r="A26" s="3" t="s">
        <v>20</v>
      </c>
      <c r="B26" t="s">
        <v>368</v>
      </c>
    </row>
    <row r="27" spans="1:9" ht="13" x14ac:dyDescent="0.3">
      <c r="A27" s="3" t="s">
        <v>21</v>
      </c>
      <c r="B27" t="s">
        <v>369</v>
      </c>
    </row>
    <row r="28" spans="1:9" ht="13" x14ac:dyDescent="0.3">
      <c r="A28" s="3" t="s">
        <v>22</v>
      </c>
      <c r="B28" t="s">
        <v>369</v>
      </c>
    </row>
    <row r="29" spans="1:9" x14ac:dyDescent="0.25">
      <c r="A29" t="s">
        <v>369</v>
      </c>
      <c r="B29" t="s">
        <v>370</v>
      </c>
    </row>
    <row r="30" spans="1:9" x14ac:dyDescent="0.25">
      <c r="A30" t="s">
        <v>369</v>
      </c>
      <c r="B30" t="s">
        <v>370</v>
      </c>
    </row>
    <row r="32" spans="1:9" x14ac:dyDescent="0.25">
      <c r="A32" s="8" t="s">
        <v>33</v>
      </c>
      <c r="B32" t="s">
        <v>371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49" sqref="B49"/>
    </sheetView>
  </sheetViews>
  <sheetFormatPr baseColWidth="10" defaultColWidth="9.1796875" defaultRowHeight="12.5" x14ac:dyDescent="0.25"/>
  <sheetData>
    <row r="1" spans="1:4" ht="13" x14ac:dyDescent="0.3">
      <c r="A1" s="97" t="s">
        <v>378</v>
      </c>
      <c r="B1" s="97" t="s">
        <v>380</v>
      </c>
      <c r="C1" t="s">
        <v>392</v>
      </c>
      <c r="D1" t="s">
        <v>382</v>
      </c>
    </row>
    <row r="2" spans="1:4" x14ac:dyDescent="0.25">
      <c r="A2" s="95">
        <v>501</v>
      </c>
      <c r="B2" s="95">
        <v>1</v>
      </c>
      <c r="C2" s="107">
        <f>A2/365</f>
        <v>1.3726027397260274</v>
      </c>
      <c r="D2" s="109">
        <f>B2/B$11</f>
        <v>1.9230769230769232E-2</v>
      </c>
    </row>
    <row r="3" spans="1:4" x14ac:dyDescent="0.25">
      <c r="A3" s="95">
        <v>917.14285714285711</v>
      </c>
      <c r="B3" s="95">
        <v>0</v>
      </c>
      <c r="C3" s="107">
        <f t="shared" ref="C3:C8" si="0">A3/365</f>
        <v>2.5127201565557731</v>
      </c>
      <c r="D3" s="109">
        <f t="shared" ref="D3:D8" si="1">B3/B$11</f>
        <v>0</v>
      </c>
    </row>
    <row r="4" spans="1:4" x14ac:dyDescent="0.25">
      <c r="A4" s="95">
        <v>1333.2857142857142</v>
      </c>
      <c r="B4" s="95">
        <v>1</v>
      </c>
      <c r="C4" s="107">
        <f t="shared" si="0"/>
        <v>3.6528375733855185</v>
      </c>
      <c r="D4" s="109">
        <f t="shared" si="1"/>
        <v>1.9230769230769232E-2</v>
      </c>
    </row>
    <row r="5" spans="1:4" x14ac:dyDescent="0.25">
      <c r="A5" s="95">
        <v>1749.4285714285716</v>
      </c>
      <c r="B5" s="95">
        <v>3</v>
      </c>
      <c r="C5" s="107">
        <f t="shared" si="0"/>
        <v>4.7929549902152644</v>
      </c>
      <c r="D5" s="109">
        <f t="shared" si="1"/>
        <v>5.7692307692307696E-2</v>
      </c>
    </row>
    <row r="6" spans="1:4" x14ac:dyDescent="0.25">
      <c r="A6" s="95">
        <v>2165.5714285714284</v>
      </c>
      <c r="B6" s="95">
        <v>8</v>
      </c>
      <c r="C6" s="107">
        <f t="shared" si="0"/>
        <v>5.9330724070450094</v>
      </c>
      <c r="D6" s="109">
        <f t="shared" si="1"/>
        <v>0.15384615384615385</v>
      </c>
    </row>
    <row r="7" spans="1:4" x14ac:dyDescent="0.25">
      <c r="A7" s="95">
        <v>2581.7142857142858</v>
      </c>
      <c r="B7" s="95">
        <v>21</v>
      </c>
      <c r="C7" s="107">
        <f t="shared" si="0"/>
        <v>7.0731898238747553</v>
      </c>
      <c r="D7" s="109">
        <f t="shared" si="1"/>
        <v>0.40384615384615385</v>
      </c>
    </row>
    <row r="8" spans="1:4" x14ac:dyDescent="0.25">
      <c r="A8" s="95">
        <v>2997.8571428571431</v>
      </c>
      <c r="B8" s="95">
        <v>14</v>
      </c>
      <c r="C8" s="107">
        <f t="shared" si="0"/>
        <v>8.213307240704502</v>
      </c>
      <c r="D8" s="109">
        <f t="shared" si="1"/>
        <v>0.26923076923076922</v>
      </c>
    </row>
    <row r="9" spans="1:4" ht="13" thickBot="1" x14ac:dyDescent="0.3">
      <c r="A9" s="96" t="s">
        <v>379</v>
      </c>
      <c r="B9" s="96">
        <v>4</v>
      </c>
    </row>
    <row r="11" spans="1:4" x14ac:dyDescent="0.25">
      <c r="A11" t="s">
        <v>381</v>
      </c>
      <c r="B11">
        <f>SUM(B2:B9)</f>
        <v>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F1:X463"/>
  <sheetViews>
    <sheetView topLeftCell="F61" workbookViewId="0">
      <selection activeCell="H43" sqref="H43"/>
    </sheetView>
  </sheetViews>
  <sheetFormatPr baseColWidth="10" defaultColWidth="9.1796875" defaultRowHeight="12.5" x14ac:dyDescent="0.25"/>
  <cols>
    <col min="3" max="3" width="12.81640625" customWidth="1"/>
    <col min="18" max="18" width="12.1796875" customWidth="1"/>
    <col min="19" max="19" width="11.81640625" customWidth="1"/>
  </cols>
  <sheetData>
    <row r="1" spans="6:16" ht="13" x14ac:dyDescent="0.3">
      <c r="J1" s="51" t="s">
        <v>390</v>
      </c>
      <c r="K1" s="51"/>
      <c r="L1" s="51"/>
      <c r="M1" s="51" t="s">
        <v>389</v>
      </c>
      <c r="N1" s="51"/>
      <c r="O1" s="51"/>
      <c r="P1" s="51"/>
    </row>
    <row r="2" spans="6:16" x14ac:dyDescent="0.25">
      <c r="F2" s="24"/>
      <c r="G2" s="104"/>
    </row>
    <row r="3" spans="6:16" hidden="1" x14ac:dyDescent="0.25">
      <c r="F3" s="24"/>
      <c r="G3" s="104"/>
      <c r="H3" s="83"/>
      <c r="I3" s="83"/>
      <c r="J3" s="24" t="s">
        <v>246</v>
      </c>
      <c r="K3" s="104">
        <v>1722</v>
      </c>
      <c r="M3" s="19" t="s">
        <v>201</v>
      </c>
      <c r="N3" s="19">
        <v>2</v>
      </c>
      <c r="O3" s="104">
        <v>2421</v>
      </c>
    </row>
    <row r="4" spans="6:16" hidden="1" x14ac:dyDescent="0.25">
      <c r="F4" s="24"/>
      <c r="G4" s="104"/>
      <c r="H4" s="19"/>
      <c r="I4" s="19"/>
      <c r="J4" s="24" t="s">
        <v>331</v>
      </c>
      <c r="K4" s="104">
        <v>2567</v>
      </c>
      <c r="M4" s="24" t="s">
        <v>209</v>
      </c>
      <c r="N4" s="24">
        <v>2</v>
      </c>
      <c r="O4" s="104">
        <v>3414</v>
      </c>
    </row>
    <row r="5" spans="6:16" hidden="1" x14ac:dyDescent="0.25">
      <c r="F5" s="24"/>
      <c r="G5" s="104"/>
      <c r="H5" s="24"/>
      <c r="I5" s="24"/>
      <c r="J5" s="24" t="s">
        <v>320</v>
      </c>
      <c r="K5" s="104">
        <v>1263</v>
      </c>
      <c r="M5" s="24" t="s">
        <v>287</v>
      </c>
      <c r="N5" s="24">
        <v>2</v>
      </c>
      <c r="O5" s="104">
        <v>2012</v>
      </c>
    </row>
    <row r="6" spans="6:16" hidden="1" x14ac:dyDescent="0.25">
      <c r="F6" s="24"/>
      <c r="G6" s="104"/>
      <c r="H6" s="24"/>
      <c r="I6" s="24"/>
      <c r="J6" s="24" t="s">
        <v>328</v>
      </c>
      <c r="K6" s="104">
        <v>2947</v>
      </c>
      <c r="M6" s="4" t="s">
        <v>107</v>
      </c>
      <c r="N6" s="4">
        <v>2</v>
      </c>
      <c r="O6" s="104">
        <v>2631</v>
      </c>
    </row>
    <row r="7" spans="6:16" hidden="1" x14ac:dyDescent="0.25">
      <c r="F7" s="24"/>
      <c r="G7" s="104"/>
      <c r="H7" s="24"/>
      <c r="I7" s="24"/>
      <c r="J7" s="24" t="s">
        <v>238</v>
      </c>
      <c r="K7" s="104">
        <v>843</v>
      </c>
      <c r="M7" s="24" t="s">
        <v>76</v>
      </c>
      <c r="N7" s="24">
        <v>2</v>
      </c>
      <c r="O7" s="104">
        <v>2647</v>
      </c>
    </row>
    <row r="8" spans="6:16" hidden="1" x14ac:dyDescent="0.25">
      <c r="F8" s="24"/>
      <c r="G8" s="104"/>
      <c r="H8" s="24"/>
      <c r="I8" s="24"/>
      <c r="J8" s="24" t="s">
        <v>162</v>
      </c>
      <c r="K8" s="104">
        <v>1799</v>
      </c>
      <c r="M8" s="24" t="s">
        <v>212</v>
      </c>
      <c r="N8" s="24">
        <v>2</v>
      </c>
      <c r="O8" s="104">
        <v>2922</v>
      </c>
    </row>
    <row r="9" spans="6:16" hidden="1" x14ac:dyDescent="0.25">
      <c r="F9" s="24"/>
      <c r="G9" s="104"/>
      <c r="H9" s="24"/>
      <c r="I9" s="24"/>
      <c r="J9" s="24" t="s">
        <v>248</v>
      </c>
      <c r="K9" s="104">
        <v>2003</v>
      </c>
      <c r="M9" s="24" t="s">
        <v>326</v>
      </c>
      <c r="N9" s="24">
        <v>2</v>
      </c>
      <c r="O9" s="104">
        <v>2247</v>
      </c>
    </row>
    <row r="10" spans="6:16" hidden="1" x14ac:dyDescent="0.25">
      <c r="F10" s="83"/>
      <c r="G10" s="104"/>
      <c r="H10" s="24"/>
      <c r="I10" s="24"/>
      <c r="K10" s="27"/>
      <c r="M10" s="24" t="s">
        <v>260</v>
      </c>
      <c r="N10" s="24">
        <v>2</v>
      </c>
      <c r="O10" s="104">
        <v>1540</v>
      </c>
    </row>
    <row r="11" spans="6:16" hidden="1" x14ac:dyDescent="0.25">
      <c r="F11" s="24"/>
      <c r="G11" s="104"/>
      <c r="H11" s="24"/>
      <c r="I11" s="24"/>
      <c r="K11" s="27"/>
      <c r="M11" s="24" t="s">
        <v>263</v>
      </c>
      <c r="N11" s="24">
        <v>2</v>
      </c>
      <c r="O11" s="104">
        <v>1524</v>
      </c>
    </row>
    <row r="12" spans="6:16" hidden="1" x14ac:dyDescent="0.25">
      <c r="F12" s="24"/>
      <c r="G12" s="104"/>
      <c r="H12" s="24"/>
      <c r="I12" s="24"/>
      <c r="K12" s="27"/>
      <c r="M12" s="24" t="s">
        <v>339</v>
      </c>
      <c r="N12" s="24">
        <v>2</v>
      </c>
      <c r="O12" s="104">
        <v>2689</v>
      </c>
    </row>
    <row r="13" spans="6:16" hidden="1" x14ac:dyDescent="0.25">
      <c r="F13" s="24"/>
      <c r="G13" s="104"/>
      <c r="H13" s="24"/>
      <c r="I13" s="24"/>
      <c r="K13" s="27"/>
      <c r="M13" s="24" t="s">
        <v>329</v>
      </c>
      <c r="N13" s="24">
        <v>2</v>
      </c>
      <c r="O13" s="104">
        <v>2732</v>
      </c>
    </row>
    <row r="14" spans="6:16" hidden="1" x14ac:dyDescent="0.25">
      <c r="F14" s="24"/>
      <c r="G14" s="104"/>
      <c r="H14" s="24"/>
      <c r="I14" s="24"/>
      <c r="K14" s="27"/>
      <c r="M14" s="24" t="s">
        <v>211</v>
      </c>
      <c r="N14" s="24">
        <v>2</v>
      </c>
      <c r="O14" s="104">
        <v>2441</v>
      </c>
    </row>
    <row r="15" spans="6:16" hidden="1" x14ac:dyDescent="0.25">
      <c r="F15" s="24"/>
      <c r="G15" s="104"/>
      <c r="H15" s="24"/>
      <c r="I15" s="24"/>
      <c r="K15" s="27"/>
      <c r="M15" s="4" t="s">
        <v>44</v>
      </c>
      <c r="N15" s="4">
        <v>2</v>
      </c>
      <c r="O15" s="104">
        <v>3047</v>
      </c>
    </row>
    <row r="16" spans="6:16" hidden="1" x14ac:dyDescent="0.25">
      <c r="F16" s="24"/>
      <c r="G16" s="104"/>
      <c r="H16" s="24"/>
      <c r="I16" s="24"/>
      <c r="K16" s="27"/>
      <c r="M16" s="24" t="s">
        <v>267</v>
      </c>
      <c r="N16" s="24">
        <v>2</v>
      </c>
      <c r="O16" s="104">
        <v>1944</v>
      </c>
    </row>
    <row r="17" spans="6:15" hidden="1" x14ac:dyDescent="0.25">
      <c r="F17" s="24"/>
      <c r="G17" s="104"/>
      <c r="H17" s="24"/>
      <c r="I17" s="24"/>
      <c r="K17" s="27"/>
      <c r="M17" s="24" t="s">
        <v>75</v>
      </c>
      <c r="N17" s="24">
        <v>2</v>
      </c>
      <c r="O17" s="104">
        <v>2561</v>
      </c>
    </row>
    <row r="18" spans="6:15" hidden="1" x14ac:dyDescent="0.25">
      <c r="F18" s="24"/>
      <c r="G18" s="104"/>
      <c r="H18" s="24"/>
      <c r="I18" s="24"/>
      <c r="K18" s="27"/>
      <c r="M18" s="24" t="s">
        <v>199</v>
      </c>
      <c r="N18" s="24">
        <v>2</v>
      </c>
      <c r="O18" s="104">
        <v>2905</v>
      </c>
    </row>
    <row r="19" spans="6:15" hidden="1" x14ac:dyDescent="0.25">
      <c r="F19" s="24"/>
      <c r="G19" s="104"/>
      <c r="H19" s="24"/>
      <c r="I19" s="24"/>
      <c r="K19" s="27"/>
      <c r="M19" s="24" t="s">
        <v>135</v>
      </c>
      <c r="N19" s="24">
        <v>2</v>
      </c>
      <c r="O19" s="104">
        <v>2617</v>
      </c>
    </row>
    <row r="20" spans="6:15" hidden="1" x14ac:dyDescent="0.25">
      <c r="F20" s="24"/>
      <c r="G20" s="104"/>
      <c r="H20" s="24"/>
      <c r="I20" s="24"/>
      <c r="K20" s="27"/>
      <c r="M20" s="24" t="s">
        <v>171</v>
      </c>
      <c r="N20" s="24">
        <v>2</v>
      </c>
      <c r="O20" s="104">
        <v>3043</v>
      </c>
    </row>
    <row r="21" spans="6:15" hidden="1" x14ac:dyDescent="0.25">
      <c r="F21" s="24"/>
      <c r="G21" s="104"/>
      <c r="H21" s="24"/>
      <c r="I21" s="24"/>
      <c r="K21" s="27"/>
      <c r="M21" s="24" t="s">
        <v>173</v>
      </c>
      <c r="N21" s="24">
        <v>2</v>
      </c>
      <c r="O21" s="104">
        <v>3040</v>
      </c>
    </row>
    <row r="22" spans="6:15" hidden="1" x14ac:dyDescent="0.25">
      <c r="F22" s="24"/>
      <c r="G22" s="104"/>
      <c r="H22" s="24"/>
      <c r="I22" s="24"/>
      <c r="K22" s="27"/>
      <c r="M22" s="24" t="s">
        <v>311</v>
      </c>
      <c r="N22" s="24">
        <v>2</v>
      </c>
      <c r="O22" s="104">
        <v>2212</v>
      </c>
    </row>
    <row r="23" spans="6:15" hidden="1" x14ac:dyDescent="0.25">
      <c r="F23" s="24"/>
      <c r="G23" s="104"/>
      <c r="H23" s="24"/>
      <c r="I23" s="24"/>
      <c r="K23" s="27"/>
      <c r="M23" s="24" t="s">
        <v>146</v>
      </c>
      <c r="N23" s="24">
        <v>2</v>
      </c>
      <c r="O23" s="104">
        <v>2191</v>
      </c>
    </row>
    <row r="24" spans="6:15" hidden="1" x14ac:dyDescent="0.25">
      <c r="F24" s="24"/>
      <c r="G24" s="104"/>
      <c r="H24" s="24"/>
      <c r="I24" s="24"/>
      <c r="K24" s="27"/>
      <c r="M24" s="24" t="s">
        <v>133</v>
      </c>
      <c r="N24" s="24">
        <v>2</v>
      </c>
      <c r="O24" s="104">
        <v>2212</v>
      </c>
    </row>
    <row r="25" spans="6:15" hidden="1" x14ac:dyDescent="0.25">
      <c r="F25" s="24"/>
      <c r="G25" s="104"/>
      <c r="H25" s="24"/>
      <c r="I25" s="24"/>
      <c r="K25" s="27"/>
      <c r="M25" s="24" t="s">
        <v>163</v>
      </c>
      <c r="N25" s="24">
        <v>2</v>
      </c>
      <c r="O25" s="104">
        <v>2806</v>
      </c>
    </row>
    <row r="26" spans="6:15" hidden="1" x14ac:dyDescent="0.25">
      <c r="F26" s="24"/>
      <c r="G26" s="104"/>
      <c r="H26" s="24"/>
      <c r="I26" s="24"/>
      <c r="K26" s="27"/>
      <c r="M26" s="24" t="s">
        <v>97</v>
      </c>
      <c r="N26" s="24">
        <v>2</v>
      </c>
      <c r="O26" s="104">
        <v>2289</v>
      </c>
    </row>
    <row r="27" spans="6:15" hidden="1" x14ac:dyDescent="0.25">
      <c r="F27" s="24"/>
      <c r="G27" s="104"/>
      <c r="H27" s="24"/>
      <c r="I27" s="24"/>
      <c r="K27" s="13"/>
      <c r="M27" s="24" t="s">
        <v>317</v>
      </c>
      <c r="N27" s="24">
        <v>2</v>
      </c>
      <c r="O27" s="104">
        <v>2794</v>
      </c>
    </row>
    <row r="28" spans="6:15" hidden="1" x14ac:dyDescent="0.25">
      <c r="F28" s="24"/>
      <c r="G28" s="104"/>
      <c r="H28" s="4"/>
      <c r="I28" s="4"/>
      <c r="K28" s="27"/>
      <c r="M28" s="24" t="s">
        <v>257</v>
      </c>
      <c r="N28" s="24">
        <v>2</v>
      </c>
      <c r="O28" s="104">
        <v>941</v>
      </c>
    </row>
    <row r="29" spans="6:15" hidden="1" x14ac:dyDescent="0.25">
      <c r="F29" s="24"/>
      <c r="G29" s="104"/>
      <c r="H29" s="24"/>
      <c r="I29" s="24"/>
      <c r="K29" s="13"/>
      <c r="M29" s="24" t="s">
        <v>247</v>
      </c>
      <c r="N29" s="24">
        <v>2</v>
      </c>
      <c r="O29" s="104">
        <v>2499</v>
      </c>
    </row>
    <row r="30" spans="6:15" hidden="1" x14ac:dyDescent="0.25">
      <c r="F30" s="24"/>
      <c r="G30" s="104"/>
      <c r="H30" s="4"/>
      <c r="I30" s="4"/>
      <c r="K30" s="27"/>
      <c r="M30" s="24" t="s">
        <v>175</v>
      </c>
      <c r="N30" s="24">
        <v>2</v>
      </c>
      <c r="O30" s="104">
        <v>2766</v>
      </c>
    </row>
    <row r="31" spans="6:15" hidden="1" x14ac:dyDescent="0.25">
      <c r="F31" s="24"/>
      <c r="G31" s="104"/>
      <c r="H31" s="24"/>
      <c r="I31" s="24"/>
      <c r="K31" s="13"/>
      <c r="M31" s="24" t="s">
        <v>66</v>
      </c>
      <c r="N31" s="24">
        <v>2</v>
      </c>
      <c r="O31" s="104">
        <v>2631</v>
      </c>
    </row>
    <row r="32" spans="6:15" hidden="1" x14ac:dyDescent="0.25">
      <c r="F32" s="24"/>
      <c r="G32" s="104"/>
      <c r="H32" s="4"/>
      <c r="I32" s="4"/>
      <c r="K32" s="13"/>
      <c r="M32" s="4" t="s">
        <v>66</v>
      </c>
      <c r="N32" s="4">
        <v>2</v>
      </c>
      <c r="O32" s="104">
        <v>2611</v>
      </c>
    </row>
    <row r="33" spans="6:24" hidden="1" x14ac:dyDescent="0.25">
      <c r="F33" s="24"/>
      <c r="G33" s="104"/>
      <c r="H33" s="4"/>
      <c r="I33" s="4"/>
      <c r="K33" s="13"/>
      <c r="M33" s="4" t="s">
        <v>40</v>
      </c>
      <c r="N33" s="4">
        <v>2</v>
      </c>
      <c r="O33" s="104">
        <v>2863</v>
      </c>
    </row>
    <row r="34" spans="6:24" hidden="1" x14ac:dyDescent="0.25">
      <c r="F34" s="24"/>
      <c r="G34" s="104"/>
      <c r="H34" s="4"/>
      <c r="I34" s="4"/>
      <c r="K34" s="13"/>
      <c r="M34" s="24" t="s">
        <v>108</v>
      </c>
      <c r="N34" s="24">
        <v>2</v>
      </c>
      <c r="O34" s="104">
        <v>2728</v>
      </c>
    </row>
    <row r="35" spans="6:24" hidden="1" x14ac:dyDescent="0.25">
      <c r="F35" s="24"/>
      <c r="G35" s="104"/>
      <c r="H35" s="4"/>
      <c r="I35" s="4"/>
      <c r="K35" s="13"/>
      <c r="M35" s="24" t="s">
        <v>144</v>
      </c>
      <c r="N35" s="24">
        <v>2</v>
      </c>
      <c r="O35" s="104">
        <v>2505</v>
      </c>
    </row>
    <row r="36" spans="6:24" hidden="1" x14ac:dyDescent="0.25">
      <c r="F36" s="24"/>
      <c r="G36" s="104"/>
      <c r="H36" s="4"/>
      <c r="I36" s="4"/>
      <c r="K36" s="27"/>
      <c r="M36" s="24" t="s">
        <v>49</v>
      </c>
      <c r="N36" s="24">
        <v>2</v>
      </c>
      <c r="O36" s="104">
        <v>2505</v>
      </c>
    </row>
    <row r="37" spans="6:24" ht="14.5" hidden="1" x14ac:dyDescent="0.25">
      <c r="F37" s="24"/>
      <c r="G37" s="104"/>
      <c r="H37" s="24"/>
      <c r="I37" s="24"/>
      <c r="K37" s="27"/>
      <c r="M37" s="52" t="s">
        <v>174</v>
      </c>
      <c r="N37" s="24">
        <v>2</v>
      </c>
      <c r="O37" s="104">
        <v>2378</v>
      </c>
    </row>
    <row r="38" spans="6:24" hidden="1" x14ac:dyDescent="0.25">
      <c r="F38" s="24"/>
      <c r="G38" s="104"/>
      <c r="H38" s="24"/>
      <c r="I38" s="24"/>
      <c r="K38" s="27"/>
      <c r="M38" s="24" t="s">
        <v>70</v>
      </c>
      <c r="N38" s="24">
        <v>2</v>
      </c>
      <c r="O38" s="104">
        <v>2341</v>
      </c>
    </row>
    <row r="39" spans="6:24" hidden="1" x14ac:dyDescent="0.25">
      <c r="F39" s="24"/>
      <c r="G39" s="104"/>
      <c r="H39" s="24"/>
      <c r="I39" s="24"/>
      <c r="K39" s="27"/>
      <c r="M39" s="24" t="s">
        <v>192</v>
      </c>
      <c r="N39" s="24">
        <v>2</v>
      </c>
      <c r="O39" s="104">
        <v>2274</v>
      </c>
    </row>
    <row r="40" spans="6:24" hidden="1" x14ac:dyDescent="0.25">
      <c r="F40" s="24"/>
      <c r="G40" s="104"/>
      <c r="H40" s="24"/>
      <c r="I40" s="24"/>
      <c r="K40" s="27"/>
      <c r="M40" s="24" t="s">
        <v>269</v>
      </c>
      <c r="N40" s="24">
        <v>2</v>
      </c>
      <c r="O40" s="104">
        <v>2213</v>
      </c>
    </row>
    <row r="41" spans="6:24" hidden="1" x14ac:dyDescent="0.25">
      <c r="F41" s="24"/>
      <c r="G41" s="104"/>
      <c r="H41" s="24"/>
      <c r="I41" s="24"/>
      <c r="K41" s="13"/>
      <c r="M41" s="4" t="s">
        <v>50</v>
      </c>
      <c r="N41" s="4">
        <v>2</v>
      </c>
      <c r="O41" s="104">
        <v>2211</v>
      </c>
    </row>
    <row r="42" spans="6:24" hidden="1" x14ac:dyDescent="0.25">
      <c r="F42" s="24"/>
      <c r="G42" s="104"/>
      <c r="H42" s="4"/>
      <c r="I42" s="4"/>
      <c r="K42" s="27"/>
      <c r="M42" s="4" t="s">
        <v>82</v>
      </c>
      <c r="N42" s="4">
        <v>2</v>
      </c>
      <c r="O42" s="104">
        <v>2472</v>
      </c>
    </row>
    <row r="43" spans="6:24" x14ac:dyDescent="0.25">
      <c r="H43" s="24" t="s">
        <v>331</v>
      </c>
      <c r="I43" s="24">
        <v>1</v>
      </c>
      <c r="J43" s="104">
        <v>2567</v>
      </c>
      <c r="K43" s="13"/>
      <c r="M43" s="24" t="s">
        <v>297</v>
      </c>
      <c r="N43" s="24">
        <v>2</v>
      </c>
      <c r="O43" s="104">
        <v>2396</v>
      </c>
      <c r="R43" s="4" t="s">
        <v>76</v>
      </c>
      <c r="S43" s="4">
        <v>2</v>
      </c>
      <c r="T43" s="104">
        <v>2647</v>
      </c>
      <c r="V43" s="4" t="s">
        <v>39</v>
      </c>
      <c r="W43" s="4">
        <v>3</v>
      </c>
      <c r="X43" s="104">
        <v>1813</v>
      </c>
    </row>
    <row r="44" spans="6:24" x14ac:dyDescent="0.25">
      <c r="H44" s="4"/>
      <c r="I44" s="4"/>
      <c r="K44" s="13"/>
      <c r="M44" s="24" t="s">
        <v>239</v>
      </c>
      <c r="N44" s="24">
        <v>2</v>
      </c>
      <c r="O44" s="104">
        <v>2049</v>
      </c>
      <c r="R44" s="4" t="s">
        <v>76</v>
      </c>
      <c r="S44" s="4">
        <v>2</v>
      </c>
      <c r="T44" s="104">
        <v>2647</v>
      </c>
    </row>
    <row r="45" spans="6:24" x14ac:dyDescent="0.25">
      <c r="H45" s="4"/>
      <c r="I45" s="4"/>
      <c r="K45" s="13"/>
      <c r="M45" s="24" t="s">
        <v>194</v>
      </c>
      <c r="N45" s="24">
        <v>2</v>
      </c>
      <c r="O45" s="104">
        <v>1937</v>
      </c>
      <c r="R45" s="24" t="s">
        <v>212</v>
      </c>
      <c r="S45" s="24">
        <v>2</v>
      </c>
      <c r="T45" s="104">
        <v>2922</v>
      </c>
    </row>
    <row r="46" spans="6:24" x14ac:dyDescent="0.25">
      <c r="H46" s="4"/>
      <c r="I46" s="4"/>
      <c r="K46" s="27"/>
      <c r="M46" s="24" t="s">
        <v>112</v>
      </c>
      <c r="N46" s="24">
        <v>2</v>
      </c>
      <c r="O46" s="104">
        <v>2216</v>
      </c>
      <c r="R46" s="24" t="s">
        <v>339</v>
      </c>
      <c r="S46" s="24">
        <v>2</v>
      </c>
      <c r="T46" s="104">
        <v>2689</v>
      </c>
    </row>
    <row r="47" spans="6:24" x14ac:dyDescent="0.25">
      <c r="H47" s="24"/>
      <c r="I47" s="24"/>
      <c r="K47" s="13"/>
      <c r="M47" s="24" t="s">
        <v>210</v>
      </c>
      <c r="N47" s="24">
        <v>2</v>
      </c>
      <c r="O47" s="104">
        <v>2079</v>
      </c>
      <c r="R47" s="4" t="s">
        <v>44</v>
      </c>
      <c r="S47" s="4">
        <v>2</v>
      </c>
      <c r="T47" s="104">
        <v>3047</v>
      </c>
    </row>
    <row r="48" spans="6:24" x14ac:dyDescent="0.25">
      <c r="H48" s="4"/>
      <c r="I48" s="4"/>
      <c r="K48" s="13"/>
      <c r="M48" s="83" t="s">
        <v>318</v>
      </c>
      <c r="N48" s="83">
        <v>2</v>
      </c>
      <c r="O48" s="104">
        <v>501</v>
      </c>
      <c r="R48" s="24" t="s">
        <v>267</v>
      </c>
      <c r="S48" s="24">
        <v>2</v>
      </c>
      <c r="T48" s="104">
        <v>1944</v>
      </c>
    </row>
    <row r="49" spans="8:20" x14ac:dyDescent="0.25">
      <c r="H49" s="4"/>
      <c r="I49" s="4"/>
      <c r="K49" s="13"/>
      <c r="M49" s="24" t="s">
        <v>215</v>
      </c>
      <c r="N49" s="24">
        <v>2</v>
      </c>
      <c r="O49" s="104">
        <v>2360</v>
      </c>
      <c r="R49" s="24" t="s">
        <v>75</v>
      </c>
      <c r="S49" s="24">
        <v>2</v>
      </c>
      <c r="T49" s="104">
        <v>2561</v>
      </c>
    </row>
    <row r="50" spans="8:20" x14ac:dyDescent="0.25">
      <c r="H50" s="4"/>
      <c r="I50" s="4"/>
      <c r="K50" s="13"/>
      <c r="M50" s="24" t="s">
        <v>71</v>
      </c>
      <c r="N50" s="24">
        <v>2</v>
      </c>
      <c r="O50" s="104">
        <v>2261</v>
      </c>
      <c r="R50" s="24" t="s">
        <v>215</v>
      </c>
      <c r="S50" s="24">
        <v>2</v>
      </c>
      <c r="T50" s="104">
        <v>2360</v>
      </c>
    </row>
    <row r="51" spans="8:20" x14ac:dyDescent="0.25">
      <c r="H51" s="4"/>
      <c r="I51" s="4"/>
      <c r="K51" s="13"/>
      <c r="M51" s="24" t="s">
        <v>176</v>
      </c>
      <c r="N51" s="24">
        <v>2</v>
      </c>
      <c r="O51" s="104">
        <v>1857</v>
      </c>
      <c r="R51" s="24" t="s">
        <v>171</v>
      </c>
      <c r="S51" s="24">
        <v>2</v>
      </c>
      <c r="T51" s="104">
        <v>3043</v>
      </c>
    </row>
    <row r="52" spans="8:20" x14ac:dyDescent="0.25">
      <c r="H52" s="4"/>
      <c r="I52" s="4"/>
      <c r="K52" s="27"/>
      <c r="M52" s="24" t="s">
        <v>147</v>
      </c>
      <c r="N52" s="24">
        <v>2</v>
      </c>
      <c r="O52" s="104">
        <v>2039</v>
      </c>
      <c r="R52" s="24" t="s">
        <v>173</v>
      </c>
      <c r="S52" s="24">
        <v>2</v>
      </c>
      <c r="T52" s="104">
        <v>3040</v>
      </c>
    </row>
    <row r="53" spans="8:20" x14ac:dyDescent="0.25">
      <c r="H53" s="24"/>
      <c r="I53" s="24"/>
      <c r="K53" s="13"/>
      <c r="M53" s="24" t="s">
        <v>122</v>
      </c>
      <c r="N53" s="24">
        <v>2</v>
      </c>
      <c r="O53" s="104">
        <v>2122</v>
      </c>
      <c r="R53" s="24" t="s">
        <v>311</v>
      </c>
      <c r="S53" s="24">
        <v>2</v>
      </c>
      <c r="T53" s="104">
        <v>2212</v>
      </c>
    </row>
    <row r="54" spans="8:20" x14ac:dyDescent="0.25">
      <c r="H54" s="4"/>
      <c r="I54" s="4"/>
      <c r="K54" s="13"/>
      <c r="M54" s="24" t="s">
        <v>153</v>
      </c>
      <c r="N54" s="24">
        <v>2</v>
      </c>
      <c r="O54" s="104">
        <v>1617</v>
      </c>
      <c r="R54" s="24" t="s">
        <v>146</v>
      </c>
      <c r="S54" s="24">
        <v>2</v>
      </c>
      <c r="T54" s="104">
        <v>2191</v>
      </c>
    </row>
    <row r="55" spans="8:20" x14ac:dyDescent="0.25">
      <c r="H55" s="4"/>
      <c r="I55" s="4"/>
      <c r="K55" s="13"/>
      <c r="R55" s="24" t="s">
        <v>133</v>
      </c>
      <c r="S55" s="24">
        <v>2</v>
      </c>
      <c r="T55" s="104">
        <v>2212</v>
      </c>
    </row>
    <row r="56" spans="8:20" x14ac:dyDescent="0.25">
      <c r="H56" s="4"/>
      <c r="I56" s="4"/>
      <c r="K56" s="13"/>
      <c r="M56" s="24" t="s">
        <v>391</v>
      </c>
      <c r="O56" s="108">
        <f>MEDIAN(O3:O54)</f>
        <v>2387</v>
      </c>
      <c r="R56" s="24" t="s">
        <v>97</v>
      </c>
      <c r="S56" s="24">
        <v>2</v>
      </c>
      <c r="T56" s="104">
        <v>2289</v>
      </c>
    </row>
    <row r="57" spans="8:20" x14ac:dyDescent="0.25">
      <c r="H57" s="4"/>
      <c r="I57" s="4"/>
      <c r="K57" s="27"/>
      <c r="R57" s="24" t="s">
        <v>317</v>
      </c>
      <c r="S57" s="24">
        <v>2</v>
      </c>
      <c r="T57" s="104">
        <v>2794</v>
      </c>
    </row>
    <row r="58" spans="8:20" x14ac:dyDescent="0.25">
      <c r="H58" s="24"/>
      <c r="I58" s="24"/>
      <c r="K58" s="27"/>
      <c r="R58" s="24" t="s">
        <v>66</v>
      </c>
      <c r="S58" s="24">
        <v>2</v>
      </c>
      <c r="T58" s="104">
        <v>2631</v>
      </c>
    </row>
    <row r="59" spans="8:20" x14ac:dyDescent="0.25">
      <c r="H59" s="24"/>
      <c r="I59" s="24"/>
      <c r="K59" s="27"/>
      <c r="R59" s="24" t="s">
        <v>144</v>
      </c>
      <c r="S59" s="24">
        <v>2</v>
      </c>
      <c r="T59" s="104">
        <v>2505</v>
      </c>
    </row>
    <row r="60" spans="8:20" x14ac:dyDescent="0.25">
      <c r="H60" s="24"/>
      <c r="I60" s="24"/>
      <c r="K60" s="27"/>
      <c r="R60" s="24" t="s">
        <v>269</v>
      </c>
      <c r="S60" s="24">
        <v>2</v>
      </c>
      <c r="T60" s="104">
        <v>2213</v>
      </c>
    </row>
    <row r="61" spans="8:20" x14ac:dyDescent="0.25">
      <c r="H61" s="24"/>
      <c r="I61" s="24"/>
      <c r="K61" s="27"/>
      <c r="R61" s="4" t="s">
        <v>50</v>
      </c>
      <c r="S61" s="4">
        <v>2</v>
      </c>
      <c r="T61" s="104">
        <v>2211</v>
      </c>
    </row>
    <row r="62" spans="8:20" x14ac:dyDescent="0.25">
      <c r="H62" s="24"/>
      <c r="I62" s="24"/>
      <c r="K62" s="27"/>
      <c r="R62" s="4" t="s">
        <v>82</v>
      </c>
      <c r="S62" s="4">
        <v>2</v>
      </c>
      <c r="T62" s="104">
        <v>2472</v>
      </c>
    </row>
    <row r="63" spans="8:20" x14ac:dyDescent="0.25">
      <c r="H63" s="24"/>
      <c r="I63" s="24"/>
      <c r="K63" s="27"/>
    </row>
    <row r="64" spans="8:20" x14ac:dyDescent="0.25">
      <c r="H64" s="24"/>
      <c r="I64" s="24"/>
      <c r="K64" s="27"/>
    </row>
    <row r="65" spans="8:11" x14ac:dyDescent="0.25">
      <c r="H65" s="24"/>
      <c r="I65" s="24"/>
      <c r="K65" s="27"/>
    </row>
    <row r="66" spans="8:11" x14ac:dyDescent="0.25">
      <c r="H66" s="24"/>
      <c r="I66" s="24"/>
      <c r="K66" s="27"/>
    </row>
    <row r="67" spans="8:11" x14ac:dyDescent="0.25">
      <c r="H67" s="24"/>
      <c r="I67" s="24"/>
      <c r="K67" s="27"/>
    </row>
    <row r="68" spans="8:11" x14ac:dyDescent="0.25">
      <c r="H68" s="24"/>
      <c r="I68" s="24"/>
      <c r="K68" s="27"/>
    </row>
    <row r="69" spans="8:11" x14ac:dyDescent="0.25">
      <c r="H69" s="24"/>
      <c r="I69" s="24"/>
      <c r="K69" s="27"/>
    </row>
    <row r="70" spans="8:11" x14ac:dyDescent="0.25">
      <c r="H70" s="156" t="s">
        <v>1</v>
      </c>
      <c r="I70" s="104">
        <v>2384</v>
      </c>
      <c r="K70" s="27"/>
    </row>
    <row r="71" spans="8:11" x14ac:dyDescent="0.25">
      <c r="H71" s="156" t="s">
        <v>1</v>
      </c>
      <c r="I71" s="104">
        <v>2384</v>
      </c>
      <c r="K71" s="27"/>
    </row>
    <row r="72" spans="8:11" hidden="1" x14ac:dyDescent="0.25">
      <c r="H72" s="156" t="s">
        <v>1</v>
      </c>
      <c r="I72" s="104">
        <v>2384</v>
      </c>
      <c r="K72" s="103"/>
    </row>
    <row r="73" spans="8:11" x14ac:dyDescent="0.25">
      <c r="H73" s="158" t="s">
        <v>209</v>
      </c>
      <c r="I73" s="104">
        <v>3414</v>
      </c>
      <c r="K73" s="103"/>
    </row>
    <row r="74" spans="8:11" hidden="1" x14ac:dyDescent="0.25">
      <c r="H74" s="158" t="s">
        <v>209</v>
      </c>
      <c r="I74" s="104">
        <v>3414</v>
      </c>
      <c r="K74" s="103"/>
    </row>
    <row r="75" spans="8:11" hidden="1" x14ac:dyDescent="0.25">
      <c r="H75" s="158" t="s">
        <v>209</v>
      </c>
      <c r="I75" s="104">
        <v>3414</v>
      </c>
      <c r="K75" s="103"/>
    </row>
    <row r="76" spans="8:11" hidden="1" x14ac:dyDescent="0.25">
      <c r="H76" s="158" t="s">
        <v>209</v>
      </c>
      <c r="I76" s="104">
        <v>3414</v>
      </c>
      <c r="K76" s="103"/>
    </row>
    <row r="77" spans="8:11" hidden="1" x14ac:dyDescent="0.25">
      <c r="H77" s="158" t="s">
        <v>209</v>
      </c>
      <c r="I77" s="104">
        <v>3414</v>
      </c>
      <c r="K77" s="103"/>
    </row>
    <row r="78" spans="8:11" hidden="1" x14ac:dyDescent="0.25">
      <c r="H78" s="158" t="s">
        <v>209</v>
      </c>
      <c r="I78" s="104">
        <v>3414</v>
      </c>
      <c r="K78" s="103"/>
    </row>
    <row r="79" spans="8:11" x14ac:dyDescent="0.25">
      <c r="H79" s="163" t="s">
        <v>287</v>
      </c>
      <c r="I79" s="104">
        <v>2012</v>
      </c>
      <c r="K79" s="27"/>
    </row>
    <row r="80" spans="8:11" hidden="1" x14ac:dyDescent="0.25">
      <c r="H80" s="163" t="s">
        <v>287</v>
      </c>
      <c r="I80" s="104">
        <v>2012</v>
      </c>
      <c r="K80" s="27"/>
    </row>
    <row r="81" spans="8:11" hidden="1" x14ac:dyDescent="0.25">
      <c r="H81" s="163" t="s">
        <v>287</v>
      </c>
      <c r="I81" s="104">
        <v>2012</v>
      </c>
      <c r="K81" s="27"/>
    </row>
    <row r="82" spans="8:11" hidden="1" x14ac:dyDescent="0.25">
      <c r="H82" s="163" t="s">
        <v>287</v>
      </c>
      <c r="I82" s="104">
        <v>2012</v>
      </c>
      <c r="K82" s="27"/>
    </row>
    <row r="83" spans="8:11" x14ac:dyDescent="0.25">
      <c r="H83" s="161" t="s">
        <v>107</v>
      </c>
      <c r="I83" s="104">
        <v>2631</v>
      </c>
      <c r="K83" s="27"/>
    </row>
    <row r="84" spans="8:11" hidden="1" x14ac:dyDescent="0.25">
      <c r="H84" s="161" t="s">
        <v>107</v>
      </c>
      <c r="I84" s="104">
        <v>2631</v>
      </c>
      <c r="K84" s="27"/>
    </row>
    <row r="85" spans="8:11" hidden="1" x14ac:dyDescent="0.25">
      <c r="H85" s="161" t="s">
        <v>107</v>
      </c>
      <c r="I85" s="104">
        <v>2631</v>
      </c>
      <c r="K85" s="27"/>
    </row>
    <row r="86" spans="8:11" hidden="1" x14ac:dyDescent="0.25">
      <c r="H86" s="161" t="s">
        <v>107</v>
      </c>
      <c r="I86" s="104">
        <v>2631</v>
      </c>
      <c r="K86" s="27"/>
    </row>
    <row r="87" spans="8:11" hidden="1" x14ac:dyDescent="0.25">
      <c r="H87" s="162" t="s">
        <v>107</v>
      </c>
      <c r="I87" s="104">
        <v>2631</v>
      </c>
      <c r="K87" s="27"/>
    </row>
    <row r="88" spans="8:11" x14ac:dyDescent="0.25">
      <c r="H88" s="4" t="s">
        <v>76</v>
      </c>
      <c r="I88" s="104">
        <v>2647</v>
      </c>
      <c r="K88" s="27"/>
    </row>
    <row r="89" spans="8:11" hidden="1" x14ac:dyDescent="0.25">
      <c r="H89" s="24" t="s">
        <v>76</v>
      </c>
      <c r="I89" s="104">
        <v>2647</v>
      </c>
      <c r="K89" s="27"/>
    </row>
    <row r="90" spans="8:11" hidden="1" x14ac:dyDescent="0.25">
      <c r="H90" s="4" t="s">
        <v>76</v>
      </c>
      <c r="I90" s="104">
        <v>2647</v>
      </c>
      <c r="K90" s="13"/>
    </row>
    <row r="91" spans="8:11" hidden="1" x14ac:dyDescent="0.25">
      <c r="H91" s="4" t="s">
        <v>76</v>
      </c>
      <c r="I91" s="104">
        <v>2647</v>
      </c>
      <c r="K91" s="13"/>
    </row>
    <row r="92" spans="8:11" hidden="1" x14ac:dyDescent="0.25">
      <c r="H92" s="4" t="s">
        <v>76</v>
      </c>
      <c r="I92" s="104">
        <v>2647</v>
      </c>
      <c r="K92" s="13"/>
    </row>
    <row r="93" spans="8:11" hidden="1" x14ac:dyDescent="0.25">
      <c r="H93" s="4" t="s">
        <v>76</v>
      </c>
      <c r="I93" s="104">
        <v>2647</v>
      </c>
      <c r="K93" s="13"/>
    </row>
    <row r="94" spans="8:11" hidden="1" x14ac:dyDescent="0.25">
      <c r="H94" s="4" t="s">
        <v>76</v>
      </c>
      <c r="I94" s="104">
        <v>2647</v>
      </c>
      <c r="K94" s="13"/>
    </row>
    <row r="95" spans="8:11" hidden="1" x14ac:dyDescent="0.25">
      <c r="H95" s="24" t="s">
        <v>76</v>
      </c>
      <c r="I95" s="104">
        <v>2647</v>
      </c>
      <c r="K95" s="13"/>
    </row>
    <row r="96" spans="8:11" hidden="1" x14ac:dyDescent="0.25">
      <c r="H96" s="4" t="s">
        <v>76</v>
      </c>
      <c r="I96" s="104">
        <v>2647</v>
      </c>
      <c r="K96" s="13"/>
    </row>
    <row r="97" spans="8:11" hidden="1" x14ac:dyDescent="0.25">
      <c r="H97" s="4" t="s">
        <v>76</v>
      </c>
      <c r="I97" s="104">
        <v>2647</v>
      </c>
      <c r="K97" s="13"/>
    </row>
    <row r="98" spans="8:11" hidden="1" x14ac:dyDescent="0.25">
      <c r="H98" s="4" t="s">
        <v>76</v>
      </c>
      <c r="I98" s="104">
        <v>2647</v>
      </c>
      <c r="K98" s="13"/>
    </row>
    <row r="99" spans="8:11" hidden="1" x14ac:dyDescent="0.25">
      <c r="H99" s="4" t="s">
        <v>76</v>
      </c>
      <c r="I99" s="104">
        <v>2647</v>
      </c>
      <c r="K99" s="27"/>
    </row>
    <row r="100" spans="8:11" hidden="1" x14ac:dyDescent="0.25">
      <c r="H100" s="24" t="s">
        <v>76</v>
      </c>
      <c r="I100" s="104">
        <v>2647</v>
      </c>
      <c r="K100" s="27"/>
    </row>
    <row r="101" spans="8:11" x14ac:dyDescent="0.25">
      <c r="H101" s="158" t="s">
        <v>212</v>
      </c>
      <c r="I101" s="104">
        <v>2922</v>
      </c>
      <c r="K101" s="27"/>
    </row>
    <row r="102" spans="8:11" hidden="1" x14ac:dyDescent="0.25">
      <c r="H102" s="158" t="s">
        <v>212</v>
      </c>
      <c r="I102" s="104">
        <v>2922</v>
      </c>
      <c r="K102" s="27"/>
    </row>
    <row r="103" spans="8:11" hidden="1" x14ac:dyDescent="0.25">
      <c r="H103" s="158" t="s">
        <v>212</v>
      </c>
      <c r="I103" s="104">
        <v>2922</v>
      </c>
      <c r="K103" s="27"/>
    </row>
    <row r="104" spans="8:11" hidden="1" x14ac:dyDescent="0.25">
      <c r="H104" s="158" t="s">
        <v>212</v>
      </c>
      <c r="I104" s="104">
        <v>2922</v>
      </c>
      <c r="K104" s="13"/>
    </row>
    <row r="105" spans="8:11" hidden="1" x14ac:dyDescent="0.25">
      <c r="H105" s="158" t="s">
        <v>212</v>
      </c>
      <c r="I105" s="104">
        <v>2922</v>
      </c>
      <c r="K105" s="13"/>
    </row>
    <row r="106" spans="8:11" hidden="1" x14ac:dyDescent="0.25">
      <c r="H106" s="158" t="s">
        <v>212</v>
      </c>
      <c r="I106" s="104">
        <v>2922</v>
      </c>
      <c r="K106" s="13"/>
    </row>
    <row r="107" spans="8:11" x14ac:dyDescent="0.25">
      <c r="H107" s="158" t="s">
        <v>339</v>
      </c>
      <c r="I107" s="104">
        <v>2689</v>
      </c>
      <c r="K107" s="13"/>
    </row>
    <row r="108" spans="8:11" hidden="1" x14ac:dyDescent="0.25">
      <c r="H108" s="158" t="s">
        <v>339</v>
      </c>
      <c r="I108" s="104">
        <v>2689</v>
      </c>
      <c r="K108" s="13"/>
    </row>
    <row r="109" spans="8:11" hidden="1" x14ac:dyDescent="0.25">
      <c r="H109" s="158" t="s">
        <v>339</v>
      </c>
      <c r="I109" s="104">
        <v>2689</v>
      </c>
      <c r="K109" s="13"/>
    </row>
    <row r="110" spans="8:11" hidden="1" x14ac:dyDescent="0.25">
      <c r="H110" s="158" t="s">
        <v>339</v>
      </c>
      <c r="I110" s="104">
        <v>2689</v>
      </c>
      <c r="K110" s="13"/>
    </row>
    <row r="111" spans="8:11" hidden="1" x14ac:dyDescent="0.25">
      <c r="H111" s="158" t="s">
        <v>339</v>
      </c>
      <c r="I111" s="104">
        <v>2689</v>
      </c>
      <c r="K111" s="13"/>
    </row>
    <row r="112" spans="8:11" hidden="1" x14ac:dyDescent="0.25">
      <c r="H112" s="158" t="s">
        <v>339</v>
      </c>
      <c r="I112" s="104">
        <v>2689</v>
      </c>
      <c r="K112" s="13"/>
    </row>
    <row r="113" spans="8:11" x14ac:dyDescent="0.25">
      <c r="H113" s="156" t="s">
        <v>44</v>
      </c>
      <c r="I113" s="104">
        <v>3047</v>
      </c>
      <c r="K113" s="27"/>
    </row>
    <row r="114" spans="8:11" hidden="1" x14ac:dyDescent="0.25">
      <c r="H114" s="156" t="s">
        <v>44</v>
      </c>
      <c r="I114" s="104">
        <v>3047</v>
      </c>
      <c r="K114" s="27"/>
    </row>
    <row r="115" spans="8:11" hidden="1" x14ac:dyDescent="0.25">
      <c r="H115" s="156" t="s">
        <v>44</v>
      </c>
      <c r="I115" s="104">
        <v>3047</v>
      </c>
      <c r="K115" s="27"/>
    </row>
    <row r="116" spans="8:11" x14ac:dyDescent="0.25">
      <c r="H116" s="24" t="s">
        <v>267</v>
      </c>
      <c r="I116" s="104">
        <v>1944</v>
      </c>
      <c r="K116" s="27"/>
    </row>
    <row r="117" spans="8:11" hidden="1" x14ac:dyDescent="0.25">
      <c r="H117" s="24" t="s">
        <v>267</v>
      </c>
      <c r="I117" s="104">
        <v>1944</v>
      </c>
      <c r="K117" s="27"/>
    </row>
    <row r="118" spans="8:11" x14ac:dyDescent="0.25">
      <c r="H118" s="159" t="s">
        <v>75</v>
      </c>
      <c r="I118" s="104">
        <v>2561</v>
      </c>
      <c r="K118" s="27"/>
    </row>
    <row r="119" spans="8:11" hidden="1" x14ac:dyDescent="0.25">
      <c r="H119" s="159" t="s">
        <v>75</v>
      </c>
      <c r="I119" s="104">
        <v>2561</v>
      </c>
      <c r="K119" s="27"/>
    </row>
    <row r="120" spans="8:11" hidden="1" x14ac:dyDescent="0.25">
      <c r="H120" s="159" t="s">
        <v>75</v>
      </c>
      <c r="I120" s="104">
        <v>2561</v>
      </c>
      <c r="K120" s="27"/>
    </row>
    <row r="121" spans="8:11" hidden="1" x14ac:dyDescent="0.25">
      <c r="H121" s="159" t="s">
        <v>75</v>
      </c>
      <c r="I121" s="104">
        <v>2561</v>
      </c>
      <c r="K121" s="27"/>
    </row>
    <row r="122" spans="8:11" hidden="1" x14ac:dyDescent="0.25">
      <c r="H122" s="159" t="s">
        <v>75</v>
      </c>
      <c r="I122" s="104">
        <v>2561</v>
      </c>
      <c r="K122" s="27"/>
    </row>
    <row r="123" spans="8:11" hidden="1" x14ac:dyDescent="0.25">
      <c r="H123" s="159" t="s">
        <v>75</v>
      </c>
      <c r="I123" s="104">
        <v>2561</v>
      </c>
      <c r="K123" s="27"/>
    </row>
    <row r="124" spans="8:11" x14ac:dyDescent="0.25">
      <c r="H124" s="158" t="s">
        <v>331</v>
      </c>
      <c r="I124" s="104">
        <v>2567</v>
      </c>
      <c r="J124" s="24"/>
      <c r="K124" s="23"/>
    </row>
    <row r="125" spans="8:11" hidden="1" x14ac:dyDescent="0.25">
      <c r="H125" s="158" t="s">
        <v>331</v>
      </c>
      <c r="I125" s="104">
        <v>2567</v>
      </c>
      <c r="J125" s="24"/>
      <c r="K125" s="23"/>
    </row>
    <row r="126" spans="8:11" hidden="1" x14ac:dyDescent="0.25">
      <c r="H126" s="158" t="s">
        <v>331</v>
      </c>
      <c r="I126" s="104">
        <v>2567</v>
      </c>
      <c r="J126" s="24"/>
      <c r="K126" s="23"/>
    </row>
    <row r="127" spans="8:11" hidden="1" x14ac:dyDescent="0.25">
      <c r="H127" s="158" t="s">
        <v>331</v>
      </c>
      <c r="I127" s="104">
        <v>2567</v>
      </c>
      <c r="J127" s="24"/>
      <c r="K127" s="23"/>
    </row>
    <row r="128" spans="8:11" hidden="1" x14ac:dyDescent="0.25">
      <c r="H128" s="158" t="s">
        <v>331</v>
      </c>
      <c r="I128" s="104">
        <v>2567</v>
      </c>
      <c r="J128" s="24"/>
      <c r="K128" s="23"/>
    </row>
    <row r="129" spans="8:11" hidden="1" x14ac:dyDescent="0.25">
      <c r="H129" s="160" t="s">
        <v>331</v>
      </c>
      <c r="I129" s="104">
        <v>2567</v>
      </c>
      <c r="J129" s="24"/>
      <c r="K129" s="23"/>
    </row>
    <row r="130" spans="8:11" x14ac:dyDescent="0.25">
      <c r="H130" s="162" t="s">
        <v>171</v>
      </c>
      <c r="I130" s="104">
        <v>3043</v>
      </c>
      <c r="J130" s="24"/>
      <c r="K130" s="23"/>
    </row>
    <row r="131" spans="8:11" hidden="1" x14ac:dyDescent="0.25">
      <c r="H131" s="162" t="s">
        <v>171</v>
      </c>
      <c r="I131" s="104">
        <v>3043</v>
      </c>
      <c r="J131" s="24"/>
      <c r="K131" s="23"/>
    </row>
    <row r="132" spans="8:11" hidden="1" x14ac:dyDescent="0.25">
      <c r="H132" s="162" t="s">
        <v>171</v>
      </c>
      <c r="I132" s="104">
        <v>3043</v>
      </c>
      <c r="K132" s="27"/>
    </row>
    <row r="133" spans="8:11" hidden="1" x14ac:dyDescent="0.25">
      <c r="H133" s="162" t="s">
        <v>171</v>
      </c>
      <c r="I133" s="104">
        <v>3043</v>
      </c>
      <c r="J133" s="24"/>
      <c r="K133" s="42"/>
    </row>
    <row r="134" spans="8:11" hidden="1" x14ac:dyDescent="0.25">
      <c r="H134" s="162" t="s">
        <v>171</v>
      </c>
      <c r="I134" s="104">
        <v>3043</v>
      </c>
      <c r="J134" s="24"/>
      <c r="K134" s="42"/>
    </row>
    <row r="135" spans="8:11" x14ac:dyDescent="0.25">
      <c r="H135" s="157" t="s">
        <v>173</v>
      </c>
      <c r="I135" s="104">
        <v>3040</v>
      </c>
      <c r="J135" s="24"/>
      <c r="K135" s="42"/>
    </row>
    <row r="136" spans="8:11" hidden="1" x14ac:dyDescent="0.25">
      <c r="H136" s="157" t="s">
        <v>173</v>
      </c>
      <c r="I136" s="104">
        <v>3040</v>
      </c>
      <c r="J136" s="24"/>
      <c r="K136" s="42"/>
    </row>
    <row r="137" spans="8:11" hidden="1" x14ac:dyDescent="0.25">
      <c r="H137" s="157" t="s">
        <v>173</v>
      </c>
      <c r="I137" s="104">
        <v>3040</v>
      </c>
      <c r="J137" s="24"/>
      <c r="K137" s="42"/>
    </row>
    <row r="138" spans="8:11" x14ac:dyDescent="0.25">
      <c r="H138" s="150" t="s">
        <v>146</v>
      </c>
      <c r="I138" s="104">
        <v>2191</v>
      </c>
      <c r="J138" s="24"/>
      <c r="K138" s="42"/>
    </row>
    <row r="139" spans="8:11" x14ac:dyDescent="0.25">
      <c r="H139" s="163" t="s">
        <v>133</v>
      </c>
      <c r="I139" s="104">
        <v>2212</v>
      </c>
      <c r="J139" s="24"/>
      <c r="K139" s="42"/>
    </row>
    <row r="140" spans="8:11" hidden="1" x14ac:dyDescent="0.25">
      <c r="H140" s="163" t="s">
        <v>133</v>
      </c>
      <c r="I140" s="104">
        <v>2212</v>
      </c>
      <c r="J140" s="24"/>
      <c r="K140" s="42"/>
    </row>
    <row r="141" spans="8:11" hidden="1" x14ac:dyDescent="0.25">
      <c r="H141" s="163" t="s">
        <v>133</v>
      </c>
      <c r="I141" s="104">
        <v>2212</v>
      </c>
      <c r="J141" s="24"/>
      <c r="K141" s="42"/>
    </row>
    <row r="142" spans="8:11" hidden="1" x14ac:dyDescent="0.25">
      <c r="H142" s="163" t="s">
        <v>133</v>
      </c>
      <c r="I142" s="104">
        <v>2212</v>
      </c>
      <c r="J142" s="24"/>
      <c r="K142" s="42"/>
    </row>
    <row r="143" spans="8:11" x14ac:dyDescent="0.25">
      <c r="H143" s="159" t="s">
        <v>97</v>
      </c>
      <c r="I143" s="104">
        <v>2289</v>
      </c>
      <c r="J143" s="24"/>
      <c r="K143" s="42"/>
    </row>
    <row r="144" spans="8:11" hidden="1" x14ac:dyDescent="0.25">
      <c r="H144" s="159" t="s">
        <v>97</v>
      </c>
      <c r="I144" s="104">
        <v>2289</v>
      </c>
      <c r="J144" s="24"/>
      <c r="K144" s="42"/>
    </row>
    <row r="145" spans="8:11" hidden="1" x14ac:dyDescent="0.25">
      <c r="H145" s="158" t="s">
        <v>97</v>
      </c>
      <c r="I145" s="104">
        <v>2289</v>
      </c>
      <c r="J145" s="24"/>
      <c r="K145" s="42"/>
    </row>
    <row r="146" spans="8:11" hidden="1" x14ac:dyDescent="0.25">
      <c r="H146" s="159" t="s">
        <v>97</v>
      </c>
      <c r="I146" s="104">
        <v>2289</v>
      </c>
      <c r="J146" s="24"/>
      <c r="K146" s="42"/>
    </row>
    <row r="147" spans="8:11" hidden="1" x14ac:dyDescent="0.25">
      <c r="H147" s="159" t="s">
        <v>97</v>
      </c>
      <c r="I147" s="104">
        <v>2289</v>
      </c>
      <c r="J147" s="24"/>
      <c r="K147" s="42"/>
    </row>
    <row r="148" spans="8:11" hidden="1" x14ac:dyDescent="0.25">
      <c r="H148" s="159" t="s">
        <v>97</v>
      </c>
      <c r="I148" s="104">
        <v>2289</v>
      </c>
      <c r="J148" s="24"/>
      <c r="K148" s="42"/>
    </row>
    <row r="149" spans="8:11" x14ac:dyDescent="0.25">
      <c r="H149" s="150" t="s">
        <v>317</v>
      </c>
      <c r="I149" s="104">
        <v>2794</v>
      </c>
      <c r="J149" s="24"/>
      <c r="K149" s="42"/>
    </row>
    <row r="150" spans="8:11" x14ac:dyDescent="0.25">
      <c r="H150" s="161" t="s">
        <v>66</v>
      </c>
      <c r="I150" s="104">
        <v>2611</v>
      </c>
      <c r="J150" s="24"/>
      <c r="K150" s="42"/>
    </row>
    <row r="151" spans="8:11" hidden="1" x14ac:dyDescent="0.25">
      <c r="H151" s="161" t="s">
        <v>66</v>
      </c>
      <c r="I151" s="104">
        <v>2611</v>
      </c>
      <c r="J151" s="24"/>
      <c r="K151" s="42"/>
    </row>
    <row r="152" spans="8:11" hidden="1" x14ac:dyDescent="0.25">
      <c r="H152" s="161" t="s">
        <v>66</v>
      </c>
      <c r="I152" s="104">
        <v>2611</v>
      </c>
      <c r="J152" s="24"/>
      <c r="K152" s="42"/>
    </row>
    <row r="153" spans="8:11" hidden="1" x14ac:dyDescent="0.25">
      <c r="H153" s="161" t="s">
        <v>66</v>
      </c>
      <c r="I153" s="104">
        <v>2611</v>
      </c>
      <c r="K153" s="27"/>
    </row>
    <row r="154" spans="8:11" hidden="1" x14ac:dyDescent="0.25">
      <c r="H154" s="161" t="s">
        <v>66</v>
      </c>
      <c r="I154" s="104">
        <v>2611</v>
      </c>
      <c r="K154" s="27"/>
    </row>
    <row r="155" spans="8:11" x14ac:dyDescent="0.25">
      <c r="H155" s="162" t="s">
        <v>144</v>
      </c>
      <c r="I155" s="104">
        <v>2505</v>
      </c>
      <c r="K155" s="27"/>
    </row>
    <row r="156" spans="8:11" hidden="1" x14ac:dyDescent="0.25">
      <c r="H156" s="162" t="s">
        <v>144</v>
      </c>
      <c r="I156" s="104">
        <v>2505</v>
      </c>
      <c r="K156" s="27"/>
    </row>
    <row r="157" spans="8:11" hidden="1" x14ac:dyDescent="0.25">
      <c r="H157" s="162" t="s">
        <v>144</v>
      </c>
      <c r="I157" s="104">
        <v>2505</v>
      </c>
      <c r="J157" s="24"/>
      <c r="K157" s="23"/>
    </row>
    <row r="158" spans="8:11" hidden="1" x14ac:dyDescent="0.25">
      <c r="H158" s="162" t="s">
        <v>144</v>
      </c>
      <c r="I158" s="104">
        <v>2505</v>
      </c>
      <c r="J158" s="24"/>
      <c r="K158" s="23"/>
    </row>
    <row r="159" spans="8:11" hidden="1" x14ac:dyDescent="0.25">
      <c r="H159" s="162" t="s">
        <v>144</v>
      </c>
      <c r="I159" s="104">
        <v>2505</v>
      </c>
      <c r="J159" s="24"/>
      <c r="K159" s="23"/>
    </row>
    <row r="160" spans="8:11" x14ac:dyDescent="0.25">
      <c r="H160" s="150" t="s">
        <v>269</v>
      </c>
      <c r="I160" s="104">
        <v>2213</v>
      </c>
      <c r="J160" s="24"/>
      <c r="K160" s="23"/>
    </row>
    <row r="161" spans="8:11" x14ac:dyDescent="0.25">
      <c r="H161" s="161" t="s">
        <v>50</v>
      </c>
      <c r="I161" s="104">
        <v>2211</v>
      </c>
      <c r="J161" s="24"/>
      <c r="K161" s="23"/>
    </row>
    <row r="162" spans="8:11" hidden="1" x14ac:dyDescent="0.25">
      <c r="H162" s="161" t="s">
        <v>50</v>
      </c>
      <c r="I162" s="104">
        <v>2211</v>
      </c>
      <c r="J162" s="24"/>
      <c r="K162" s="23"/>
    </row>
    <row r="163" spans="8:11" hidden="1" x14ac:dyDescent="0.25">
      <c r="H163" s="161" t="s">
        <v>50</v>
      </c>
      <c r="I163" s="104">
        <v>2211</v>
      </c>
      <c r="J163" s="24"/>
      <c r="K163" s="23"/>
    </row>
    <row r="164" spans="8:11" hidden="1" x14ac:dyDescent="0.25">
      <c r="H164" s="161" t="s">
        <v>50</v>
      </c>
      <c r="I164" s="104">
        <v>2211</v>
      </c>
      <c r="J164" s="24"/>
      <c r="K164" s="23"/>
    </row>
    <row r="165" spans="8:11" hidden="1" x14ac:dyDescent="0.25">
      <c r="H165" s="161" t="s">
        <v>50</v>
      </c>
      <c r="I165" s="104">
        <v>2211</v>
      </c>
      <c r="K165" s="27"/>
    </row>
    <row r="166" spans="8:11" x14ac:dyDescent="0.25">
      <c r="H166" s="156" t="s">
        <v>82</v>
      </c>
      <c r="I166" s="104">
        <v>2472</v>
      </c>
      <c r="J166" s="24"/>
      <c r="K166" s="27"/>
    </row>
    <row r="167" spans="8:11" hidden="1" x14ac:dyDescent="0.25">
      <c r="H167" s="156" t="s">
        <v>82</v>
      </c>
      <c r="I167" s="104">
        <v>2472</v>
      </c>
      <c r="J167" s="24"/>
      <c r="K167" s="27"/>
    </row>
    <row r="168" spans="8:11" hidden="1" x14ac:dyDescent="0.25">
      <c r="H168" s="156" t="s">
        <v>82</v>
      </c>
      <c r="I168" s="104">
        <v>2472</v>
      </c>
      <c r="K168" s="27"/>
    </row>
    <row r="169" spans="8:11" x14ac:dyDescent="0.25">
      <c r="H169" s="161" t="s">
        <v>39</v>
      </c>
      <c r="I169" s="104">
        <v>1813</v>
      </c>
      <c r="J169" s="24"/>
      <c r="K169" s="27"/>
    </row>
    <row r="170" spans="8:11" hidden="1" x14ac:dyDescent="0.25">
      <c r="H170" s="161" t="s">
        <v>39</v>
      </c>
      <c r="I170" s="104">
        <v>1813</v>
      </c>
      <c r="J170" s="24"/>
      <c r="K170" s="27"/>
    </row>
    <row r="171" spans="8:11" hidden="1" x14ac:dyDescent="0.25">
      <c r="H171" s="161" t="s">
        <v>39</v>
      </c>
      <c r="I171" s="104">
        <v>1813</v>
      </c>
      <c r="J171" s="24"/>
      <c r="K171" s="27"/>
    </row>
    <row r="172" spans="8:11" hidden="1" x14ac:dyDescent="0.25">
      <c r="H172" s="161" t="s">
        <v>39</v>
      </c>
      <c r="I172" s="104">
        <v>1813</v>
      </c>
      <c r="K172" s="27"/>
    </row>
    <row r="173" spans="8:11" hidden="1" x14ac:dyDescent="0.25">
      <c r="H173" s="161" t="s">
        <v>39</v>
      </c>
      <c r="I173" s="104">
        <v>1813</v>
      </c>
      <c r="J173" s="24"/>
      <c r="K173" s="27"/>
    </row>
    <row r="174" spans="8:11" x14ac:dyDescent="0.25">
      <c r="H174" s="162" t="s">
        <v>215</v>
      </c>
      <c r="I174" s="104">
        <v>2360</v>
      </c>
      <c r="J174" s="24"/>
      <c r="K174" s="27"/>
    </row>
    <row r="175" spans="8:11" hidden="1" x14ac:dyDescent="0.25">
      <c r="H175" s="162" t="s">
        <v>215</v>
      </c>
      <c r="I175" s="104">
        <v>2360</v>
      </c>
      <c r="J175" s="24"/>
      <c r="K175" s="27"/>
    </row>
    <row r="176" spans="8:11" hidden="1" x14ac:dyDescent="0.25">
      <c r="H176" s="162" t="s">
        <v>215</v>
      </c>
      <c r="I176" s="104">
        <v>2360</v>
      </c>
      <c r="J176" s="24"/>
      <c r="K176" s="27"/>
    </row>
    <row r="177" spans="8:11" hidden="1" x14ac:dyDescent="0.25">
      <c r="H177" s="162" t="s">
        <v>215</v>
      </c>
      <c r="I177" s="104">
        <v>2360</v>
      </c>
      <c r="J177" s="24"/>
      <c r="K177" s="27"/>
    </row>
    <row r="178" spans="8:11" hidden="1" x14ac:dyDescent="0.25">
      <c r="H178" s="162" t="s">
        <v>215</v>
      </c>
      <c r="I178" s="104">
        <v>2360</v>
      </c>
      <c r="J178" s="24"/>
      <c r="K178" s="27"/>
    </row>
    <row r="179" spans="8:11" x14ac:dyDescent="0.25">
      <c r="H179" s="24"/>
      <c r="I179" s="24"/>
      <c r="J179" s="24"/>
      <c r="K179" s="27"/>
    </row>
    <row r="180" spans="8:11" x14ac:dyDescent="0.25">
      <c r="H180" s="24"/>
      <c r="I180" s="24"/>
      <c r="J180" s="24"/>
      <c r="K180" s="27"/>
    </row>
    <row r="181" spans="8:11" x14ac:dyDescent="0.25">
      <c r="H181" s="24"/>
      <c r="I181" s="24"/>
      <c r="K181" s="27"/>
    </row>
    <row r="182" spans="8:11" x14ac:dyDescent="0.25">
      <c r="H182" s="24"/>
      <c r="I182" s="24"/>
      <c r="K182" s="27"/>
    </row>
    <row r="183" spans="8:11" x14ac:dyDescent="0.25">
      <c r="H183" s="24"/>
      <c r="I183" s="24"/>
      <c r="K183" s="13"/>
    </row>
    <row r="184" spans="8:11" x14ac:dyDescent="0.25">
      <c r="H184" s="4"/>
      <c r="I184" s="4"/>
      <c r="K184" s="13"/>
    </row>
    <row r="185" spans="8:11" x14ac:dyDescent="0.25">
      <c r="H185" s="4"/>
      <c r="I185" s="4"/>
      <c r="K185" s="27"/>
    </row>
    <row r="186" spans="8:11" x14ac:dyDescent="0.25">
      <c r="H186" s="24"/>
      <c r="I186" s="24"/>
      <c r="K186" s="13"/>
    </row>
    <row r="187" spans="8:11" x14ac:dyDescent="0.25">
      <c r="H187" s="4"/>
      <c r="I187" s="4"/>
      <c r="K187" s="13"/>
    </row>
    <row r="188" spans="8:11" x14ac:dyDescent="0.25">
      <c r="H188" s="4"/>
      <c r="I188" s="4"/>
      <c r="K188" s="13"/>
    </row>
    <row r="189" spans="8:11" x14ac:dyDescent="0.25">
      <c r="H189" s="4"/>
      <c r="I189" s="4"/>
      <c r="K189" s="27"/>
    </row>
    <row r="190" spans="8:11" x14ac:dyDescent="0.25">
      <c r="H190" s="24"/>
      <c r="I190" s="24"/>
      <c r="K190" s="27"/>
    </row>
    <row r="191" spans="8:11" x14ac:dyDescent="0.25">
      <c r="H191" s="24"/>
      <c r="I191" s="24"/>
      <c r="K191" s="27"/>
    </row>
    <row r="192" spans="8:11" x14ac:dyDescent="0.25">
      <c r="H192" s="24"/>
      <c r="I192" s="24"/>
      <c r="K192" s="27"/>
    </row>
    <row r="193" spans="8:11" x14ac:dyDescent="0.25">
      <c r="H193" s="24"/>
      <c r="I193" s="24"/>
      <c r="K193" s="27"/>
    </row>
    <row r="194" spans="8:11" x14ac:dyDescent="0.25">
      <c r="H194" s="24"/>
      <c r="I194" s="24"/>
      <c r="K194" s="27"/>
    </row>
    <row r="195" spans="8:11" x14ac:dyDescent="0.25">
      <c r="H195" s="24"/>
      <c r="I195" s="24"/>
      <c r="K195" s="27"/>
    </row>
    <row r="196" spans="8:11" x14ac:dyDescent="0.25">
      <c r="H196" s="24"/>
      <c r="I196" s="24"/>
      <c r="K196" s="27"/>
    </row>
    <row r="197" spans="8:11" x14ac:dyDescent="0.25">
      <c r="H197" s="24"/>
      <c r="I197" s="24"/>
      <c r="K197" s="27"/>
    </row>
    <row r="198" spans="8:11" x14ac:dyDescent="0.25">
      <c r="H198" s="24"/>
      <c r="I198" s="24"/>
      <c r="K198" s="27"/>
    </row>
    <row r="199" spans="8:11" x14ac:dyDescent="0.25">
      <c r="H199" s="24"/>
      <c r="I199" s="24"/>
      <c r="K199" s="27"/>
    </row>
    <row r="200" spans="8:11" x14ac:dyDescent="0.25">
      <c r="H200" s="24"/>
      <c r="I200" s="24"/>
      <c r="K200" s="27"/>
    </row>
    <row r="201" spans="8:11" x14ac:dyDescent="0.25">
      <c r="H201" s="24"/>
      <c r="I201" s="24"/>
      <c r="K201" s="27"/>
    </row>
    <row r="202" spans="8:11" x14ac:dyDescent="0.25">
      <c r="H202" s="24"/>
      <c r="I202" s="24"/>
      <c r="K202" s="27"/>
    </row>
    <row r="203" spans="8:11" x14ac:dyDescent="0.25">
      <c r="H203" s="24"/>
      <c r="I203" s="24"/>
      <c r="K203" s="27"/>
    </row>
    <row r="204" spans="8:11" x14ac:dyDescent="0.25">
      <c r="H204" s="24"/>
      <c r="I204" s="24"/>
      <c r="K204" s="27"/>
    </row>
    <row r="205" spans="8:11" x14ac:dyDescent="0.25">
      <c r="H205" s="24"/>
      <c r="I205" s="24"/>
      <c r="K205" s="27"/>
    </row>
    <row r="206" spans="8:11" x14ac:dyDescent="0.25">
      <c r="H206" s="24"/>
      <c r="I206" s="24"/>
      <c r="K206" s="27"/>
    </row>
    <row r="207" spans="8:11" x14ac:dyDescent="0.25">
      <c r="H207" s="24"/>
      <c r="I207" s="24"/>
      <c r="J207" s="24"/>
      <c r="K207" s="42"/>
    </row>
    <row r="208" spans="8:11" x14ac:dyDescent="0.25">
      <c r="H208" s="24"/>
      <c r="I208" s="24"/>
      <c r="J208" s="24"/>
      <c r="K208" s="42"/>
    </row>
    <row r="209" spans="8:11" x14ac:dyDescent="0.25">
      <c r="H209" s="24"/>
      <c r="I209" s="24"/>
      <c r="J209" s="24"/>
      <c r="K209" s="42"/>
    </row>
    <row r="210" spans="8:11" x14ac:dyDescent="0.25">
      <c r="H210" s="24"/>
      <c r="I210" s="24"/>
      <c r="J210" s="24"/>
      <c r="K210" s="42"/>
    </row>
    <row r="211" spans="8:11" x14ac:dyDescent="0.25">
      <c r="H211" s="24"/>
      <c r="I211" s="24"/>
      <c r="J211" s="24"/>
      <c r="K211" s="42"/>
    </row>
    <row r="212" spans="8:11" x14ac:dyDescent="0.25">
      <c r="H212" s="24"/>
      <c r="I212" s="24"/>
      <c r="J212" s="24"/>
      <c r="K212" s="42"/>
    </row>
    <row r="213" spans="8:11" x14ac:dyDescent="0.25">
      <c r="H213" s="24"/>
      <c r="I213" s="24"/>
      <c r="J213" s="24"/>
      <c r="K213" s="42"/>
    </row>
    <row r="214" spans="8:11" x14ac:dyDescent="0.25">
      <c r="H214" s="24"/>
      <c r="I214" s="24"/>
      <c r="J214" s="24"/>
      <c r="K214" s="42"/>
    </row>
    <row r="215" spans="8:11" x14ac:dyDescent="0.25">
      <c r="H215" s="24"/>
      <c r="I215" s="24"/>
      <c r="J215" s="24"/>
      <c r="K215" s="42"/>
    </row>
    <row r="216" spans="8:11" x14ac:dyDescent="0.25">
      <c r="H216" s="24"/>
      <c r="I216" s="24"/>
      <c r="J216" s="24"/>
      <c r="K216" s="42"/>
    </row>
    <row r="217" spans="8:11" x14ac:dyDescent="0.25">
      <c r="H217" s="24"/>
      <c r="I217" s="24"/>
      <c r="J217" s="24"/>
      <c r="K217" s="42"/>
    </row>
    <row r="218" spans="8:11" x14ac:dyDescent="0.25">
      <c r="H218" s="24"/>
      <c r="I218" s="24"/>
      <c r="J218" s="24"/>
      <c r="K218" s="42"/>
    </row>
    <row r="219" spans="8:11" x14ac:dyDescent="0.25">
      <c r="H219" s="24"/>
      <c r="I219" s="24"/>
      <c r="K219" s="27"/>
    </row>
    <row r="220" spans="8:11" x14ac:dyDescent="0.25">
      <c r="H220" s="24"/>
      <c r="I220" s="24"/>
      <c r="K220" s="13"/>
    </row>
    <row r="221" spans="8:11" x14ac:dyDescent="0.25">
      <c r="H221" s="4"/>
      <c r="I221" s="4"/>
      <c r="K221" s="27"/>
    </row>
    <row r="222" spans="8:11" x14ac:dyDescent="0.25">
      <c r="H222" s="24"/>
      <c r="I222" s="24"/>
      <c r="K222" s="13"/>
    </row>
    <row r="223" spans="8:11" x14ac:dyDescent="0.25">
      <c r="H223" s="4"/>
      <c r="I223" s="4"/>
      <c r="K223" s="13"/>
    </row>
    <row r="224" spans="8:11" x14ac:dyDescent="0.25">
      <c r="H224" s="4"/>
      <c r="I224" s="4"/>
      <c r="K224" s="13"/>
    </row>
    <row r="225" spans="8:11" x14ac:dyDescent="0.25">
      <c r="H225" s="4"/>
      <c r="I225" s="4"/>
      <c r="K225" s="13"/>
    </row>
    <row r="226" spans="8:11" x14ac:dyDescent="0.25">
      <c r="H226" s="4"/>
      <c r="I226" s="4"/>
      <c r="K226" s="13"/>
    </row>
    <row r="227" spans="8:11" x14ac:dyDescent="0.25">
      <c r="H227" s="4"/>
      <c r="I227" s="4"/>
      <c r="K227" s="13"/>
    </row>
    <row r="228" spans="8:11" x14ac:dyDescent="0.25">
      <c r="H228" s="4"/>
      <c r="I228" s="4"/>
      <c r="K228" s="13"/>
    </row>
    <row r="229" spans="8:11" x14ac:dyDescent="0.25">
      <c r="H229" s="4"/>
      <c r="I229" s="4"/>
      <c r="K229" s="13"/>
    </row>
    <row r="230" spans="8:11" x14ac:dyDescent="0.25">
      <c r="H230" s="4"/>
      <c r="I230" s="4"/>
      <c r="K230" s="13"/>
    </row>
    <row r="231" spans="8:11" x14ac:dyDescent="0.25">
      <c r="H231" s="4"/>
      <c r="I231" s="4"/>
      <c r="K231" s="13"/>
    </row>
    <row r="232" spans="8:11" x14ac:dyDescent="0.25">
      <c r="H232" s="4"/>
      <c r="I232" s="4"/>
      <c r="K232" s="13"/>
    </row>
    <row r="233" spans="8:11" x14ac:dyDescent="0.25">
      <c r="H233" s="4"/>
      <c r="I233" s="4"/>
      <c r="K233" s="13"/>
    </row>
    <row r="234" spans="8:11" x14ac:dyDescent="0.25">
      <c r="H234" s="4"/>
      <c r="I234" s="4"/>
      <c r="K234" s="13"/>
    </row>
    <row r="235" spans="8:11" x14ac:dyDescent="0.25">
      <c r="H235" s="4"/>
      <c r="I235" s="4"/>
      <c r="K235" s="13"/>
    </row>
    <row r="236" spans="8:11" x14ac:dyDescent="0.25">
      <c r="H236" s="4"/>
      <c r="I236" s="4"/>
      <c r="K236" s="13"/>
    </row>
    <row r="237" spans="8:11" x14ac:dyDescent="0.25">
      <c r="H237" s="4"/>
      <c r="I237" s="4"/>
      <c r="K237" s="13"/>
    </row>
    <row r="238" spans="8:11" x14ac:dyDescent="0.25">
      <c r="H238" s="4"/>
      <c r="I238" s="4"/>
      <c r="K238" s="13"/>
    </row>
    <row r="239" spans="8:11" x14ac:dyDescent="0.25">
      <c r="H239" s="4"/>
      <c r="I239" s="4"/>
      <c r="K239" s="13"/>
    </row>
    <row r="240" spans="8:11" x14ac:dyDescent="0.25">
      <c r="H240" s="4"/>
      <c r="I240" s="4"/>
      <c r="K240" s="13"/>
    </row>
    <row r="241" spans="8:11" x14ac:dyDescent="0.25">
      <c r="H241" s="4"/>
      <c r="I241" s="4"/>
      <c r="K241" s="27"/>
    </row>
    <row r="242" spans="8:11" x14ac:dyDescent="0.25">
      <c r="H242" s="24"/>
      <c r="I242" s="24"/>
      <c r="J242" s="24"/>
      <c r="K242" s="23"/>
    </row>
    <row r="243" spans="8:11" x14ac:dyDescent="0.25">
      <c r="H243" s="24"/>
      <c r="I243" s="24"/>
      <c r="J243" s="24"/>
      <c r="K243" s="23"/>
    </row>
    <row r="244" spans="8:11" x14ac:dyDescent="0.25">
      <c r="H244" s="24"/>
      <c r="I244" s="24"/>
      <c r="J244" s="24"/>
      <c r="K244" s="23"/>
    </row>
    <row r="245" spans="8:11" x14ac:dyDescent="0.25">
      <c r="H245" s="24"/>
      <c r="I245" s="24"/>
      <c r="J245" s="24"/>
      <c r="K245" s="23"/>
    </row>
    <row r="246" spans="8:11" x14ac:dyDescent="0.25">
      <c r="H246" s="24"/>
      <c r="I246" s="24"/>
      <c r="J246" s="24"/>
      <c r="K246" s="23"/>
    </row>
    <row r="247" spans="8:11" x14ac:dyDescent="0.25">
      <c r="H247" s="24"/>
      <c r="I247" s="24"/>
      <c r="J247" s="24"/>
      <c r="K247" s="23"/>
    </row>
    <row r="248" spans="8:11" x14ac:dyDescent="0.25">
      <c r="H248" s="24"/>
      <c r="I248" s="24"/>
      <c r="J248" s="24"/>
      <c r="K248" s="23"/>
    </row>
    <row r="249" spans="8:11" x14ac:dyDescent="0.25">
      <c r="H249" s="24"/>
      <c r="I249" s="24"/>
      <c r="J249" s="24"/>
      <c r="K249" s="23"/>
    </row>
    <row r="250" spans="8:11" x14ac:dyDescent="0.25">
      <c r="H250" s="24"/>
      <c r="I250" s="24"/>
      <c r="J250" s="24"/>
      <c r="K250" s="23"/>
    </row>
    <row r="251" spans="8:11" x14ac:dyDescent="0.25">
      <c r="H251" s="24"/>
      <c r="I251" s="24"/>
      <c r="J251" s="24"/>
      <c r="K251" s="23"/>
    </row>
    <row r="252" spans="8:11" x14ac:dyDescent="0.25">
      <c r="H252" s="24"/>
      <c r="I252" s="24"/>
      <c r="K252" s="27"/>
    </row>
    <row r="253" spans="8:11" x14ac:dyDescent="0.25">
      <c r="H253" s="24"/>
      <c r="I253" s="24"/>
      <c r="K253" s="27"/>
    </row>
    <row r="254" spans="8:11" x14ac:dyDescent="0.25">
      <c r="H254" s="24"/>
      <c r="I254" s="24"/>
      <c r="K254" s="27"/>
    </row>
    <row r="255" spans="8:11" x14ac:dyDescent="0.25">
      <c r="H255" s="24"/>
      <c r="I255" s="24"/>
      <c r="J255" s="24"/>
      <c r="K255" s="23"/>
    </row>
    <row r="256" spans="8:11" x14ac:dyDescent="0.25">
      <c r="H256" s="24"/>
      <c r="I256" s="24"/>
      <c r="J256" s="24"/>
      <c r="K256" s="23"/>
    </row>
    <row r="257" spans="8:11" x14ac:dyDescent="0.25">
      <c r="H257" s="24"/>
      <c r="I257" s="24"/>
      <c r="J257" s="24"/>
      <c r="K257" s="23"/>
    </row>
    <row r="258" spans="8:11" x14ac:dyDescent="0.25">
      <c r="H258" s="24"/>
      <c r="I258" s="24"/>
      <c r="J258" s="24"/>
      <c r="K258" s="23"/>
    </row>
    <row r="259" spans="8:11" x14ac:dyDescent="0.25">
      <c r="H259" s="24"/>
      <c r="I259" s="24"/>
      <c r="J259" s="24"/>
      <c r="K259" s="23"/>
    </row>
    <row r="260" spans="8:11" x14ac:dyDescent="0.25">
      <c r="H260" s="24"/>
      <c r="I260" s="24"/>
      <c r="J260" s="24"/>
      <c r="K260" s="23"/>
    </row>
    <row r="261" spans="8:11" x14ac:dyDescent="0.25">
      <c r="H261" s="24"/>
      <c r="I261" s="24"/>
      <c r="J261" s="24"/>
      <c r="K261" s="23"/>
    </row>
    <row r="262" spans="8:11" x14ac:dyDescent="0.25">
      <c r="H262" s="24"/>
      <c r="I262" s="24"/>
      <c r="J262" s="24"/>
      <c r="K262" s="23"/>
    </row>
    <row r="263" spans="8:11" x14ac:dyDescent="0.25">
      <c r="H263" s="24"/>
      <c r="I263" s="24"/>
      <c r="J263" s="24"/>
      <c r="K263" s="23"/>
    </row>
    <row r="264" spans="8:11" x14ac:dyDescent="0.25">
      <c r="H264" s="24"/>
      <c r="I264" s="24"/>
      <c r="J264" s="24"/>
      <c r="K264" s="23"/>
    </row>
    <row r="265" spans="8:11" x14ac:dyDescent="0.25">
      <c r="H265" s="24"/>
      <c r="I265" s="24"/>
      <c r="J265" s="24"/>
      <c r="K265" s="23"/>
    </row>
    <row r="266" spans="8:11" x14ac:dyDescent="0.25">
      <c r="H266" s="24"/>
      <c r="I266" s="24"/>
      <c r="K266" s="27"/>
    </row>
    <row r="267" spans="8:11" x14ac:dyDescent="0.25">
      <c r="H267" s="24"/>
      <c r="I267" s="24"/>
      <c r="K267" s="27"/>
    </row>
    <row r="268" spans="8:11" x14ac:dyDescent="0.25">
      <c r="H268" s="24"/>
      <c r="I268" s="24"/>
      <c r="K268" s="27"/>
    </row>
    <row r="269" spans="8:11" x14ac:dyDescent="0.25">
      <c r="H269" s="24"/>
      <c r="I269" s="24"/>
      <c r="K269" s="27"/>
    </row>
    <row r="270" spans="8:11" x14ac:dyDescent="0.25">
      <c r="H270" s="24"/>
      <c r="I270" s="24"/>
      <c r="K270" s="27"/>
    </row>
    <row r="271" spans="8:11" x14ac:dyDescent="0.25">
      <c r="H271" s="24"/>
      <c r="I271" s="24"/>
      <c r="K271" s="13"/>
    </row>
    <row r="272" spans="8:11" x14ac:dyDescent="0.25">
      <c r="H272" s="4"/>
      <c r="I272" s="4"/>
      <c r="K272" s="13"/>
    </row>
    <row r="273" spans="8:11" x14ac:dyDescent="0.25">
      <c r="H273" s="4"/>
      <c r="I273" s="4"/>
      <c r="K273" s="13"/>
    </row>
    <row r="274" spans="8:11" x14ac:dyDescent="0.25">
      <c r="H274" s="4"/>
      <c r="I274" s="4"/>
      <c r="K274" s="13"/>
    </row>
    <row r="275" spans="8:11" x14ac:dyDescent="0.25">
      <c r="H275" s="4"/>
      <c r="I275" s="4"/>
      <c r="K275" s="13"/>
    </row>
    <row r="276" spans="8:11" x14ac:dyDescent="0.25">
      <c r="H276" s="4"/>
      <c r="I276" s="4"/>
      <c r="K276" s="27"/>
    </row>
    <row r="277" spans="8:11" x14ac:dyDescent="0.25">
      <c r="H277" s="24"/>
      <c r="I277" s="24"/>
      <c r="K277" s="13"/>
    </row>
    <row r="278" spans="8:11" x14ac:dyDescent="0.25">
      <c r="H278" s="4"/>
      <c r="I278" s="4"/>
      <c r="K278" s="13"/>
    </row>
    <row r="279" spans="8:11" x14ac:dyDescent="0.25">
      <c r="H279" s="4"/>
      <c r="I279" s="4"/>
      <c r="K279" s="13"/>
    </row>
    <row r="280" spans="8:11" x14ac:dyDescent="0.25">
      <c r="H280" s="4"/>
      <c r="I280" s="4"/>
      <c r="K280" s="27"/>
    </row>
    <row r="281" spans="8:11" x14ac:dyDescent="0.25">
      <c r="H281" s="24"/>
      <c r="I281" s="24"/>
      <c r="J281" s="24"/>
      <c r="K281" s="42"/>
    </row>
    <row r="282" spans="8:11" ht="14.5" x14ac:dyDescent="0.25">
      <c r="H282" s="52"/>
      <c r="I282" s="24"/>
      <c r="J282" s="24"/>
      <c r="K282" s="42"/>
    </row>
    <row r="283" spans="8:11" ht="14.5" x14ac:dyDescent="0.25">
      <c r="H283" s="52"/>
      <c r="I283" s="24"/>
      <c r="J283" s="24"/>
      <c r="K283" s="42"/>
    </row>
    <row r="284" spans="8:11" ht="14.5" x14ac:dyDescent="0.25">
      <c r="H284" s="52"/>
      <c r="I284" s="24"/>
      <c r="J284" s="24"/>
      <c r="K284" s="42"/>
    </row>
    <row r="285" spans="8:11" ht="14.5" x14ac:dyDescent="0.25">
      <c r="H285" s="52"/>
      <c r="I285" s="24"/>
      <c r="J285" s="24"/>
      <c r="K285" s="42"/>
    </row>
    <row r="286" spans="8:11" ht="14.5" x14ac:dyDescent="0.25">
      <c r="H286" s="52"/>
      <c r="I286" s="24"/>
      <c r="J286" s="24"/>
      <c r="K286" s="42"/>
    </row>
    <row r="287" spans="8:11" ht="14.5" x14ac:dyDescent="0.25">
      <c r="H287" s="52"/>
      <c r="I287" s="24"/>
      <c r="J287" s="24"/>
      <c r="K287" s="42"/>
    </row>
    <row r="288" spans="8:11" ht="14.5" x14ac:dyDescent="0.25">
      <c r="H288" s="52"/>
      <c r="I288" s="24"/>
      <c r="J288" s="24"/>
      <c r="K288" s="42"/>
    </row>
    <row r="289" spans="8:11" ht="14.5" x14ac:dyDescent="0.25">
      <c r="H289" s="52"/>
      <c r="I289" s="24"/>
      <c r="K289" s="27"/>
    </row>
    <row r="290" spans="8:11" x14ac:dyDescent="0.25">
      <c r="H290" s="24"/>
      <c r="I290" s="24"/>
      <c r="K290" s="27"/>
    </row>
    <row r="291" spans="8:11" x14ac:dyDescent="0.25">
      <c r="H291" s="24"/>
      <c r="I291" s="24"/>
      <c r="K291" s="27"/>
    </row>
    <row r="292" spans="8:11" x14ac:dyDescent="0.25">
      <c r="H292" s="24"/>
      <c r="I292" s="24"/>
      <c r="K292" s="27"/>
    </row>
    <row r="293" spans="8:11" x14ac:dyDescent="0.25">
      <c r="H293" s="24"/>
      <c r="I293" s="24"/>
      <c r="K293" s="13"/>
    </row>
    <row r="294" spans="8:11" x14ac:dyDescent="0.25">
      <c r="H294" s="4"/>
      <c r="I294" s="4"/>
      <c r="K294" s="13"/>
    </row>
    <row r="295" spans="8:11" x14ac:dyDescent="0.25">
      <c r="H295" s="4"/>
      <c r="I295" s="4"/>
      <c r="K295" s="13"/>
    </row>
    <row r="296" spans="8:11" x14ac:dyDescent="0.25">
      <c r="H296" s="4"/>
      <c r="I296" s="4"/>
      <c r="K296" s="13"/>
    </row>
    <row r="297" spans="8:11" x14ac:dyDescent="0.25">
      <c r="H297" s="4"/>
      <c r="I297" s="4"/>
      <c r="K297" s="13"/>
    </row>
    <row r="298" spans="8:11" x14ac:dyDescent="0.25">
      <c r="H298" s="4"/>
      <c r="I298" s="4"/>
      <c r="K298" s="13"/>
    </row>
    <row r="299" spans="8:11" x14ac:dyDescent="0.25">
      <c r="H299" s="4"/>
      <c r="I299" s="4"/>
      <c r="K299" s="13"/>
    </row>
    <row r="300" spans="8:11" x14ac:dyDescent="0.25">
      <c r="H300" s="4"/>
      <c r="I300" s="4"/>
      <c r="K300" s="13"/>
    </row>
    <row r="301" spans="8:11" x14ac:dyDescent="0.25">
      <c r="H301" s="4"/>
      <c r="I301" s="4"/>
      <c r="K301" s="13"/>
    </row>
    <row r="302" spans="8:11" x14ac:dyDescent="0.25">
      <c r="H302" s="4"/>
      <c r="I302" s="4"/>
      <c r="K302" s="13"/>
    </row>
    <row r="303" spans="8:11" x14ac:dyDescent="0.25">
      <c r="H303" s="4"/>
      <c r="I303" s="4"/>
      <c r="K303" s="13"/>
    </row>
    <row r="304" spans="8:11" x14ac:dyDescent="0.25">
      <c r="H304" s="4"/>
      <c r="I304" s="4"/>
      <c r="K304" s="13"/>
    </row>
    <row r="305" spans="8:11" x14ac:dyDescent="0.25">
      <c r="H305" s="4"/>
      <c r="I305" s="4"/>
      <c r="J305" s="24"/>
      <c r="K305" s="42"/>
    </row>
    <row r="306" spans="8:11" x14ac:dyDescent="0.25">
      <c r="H306" s="24"/>
      <c r="I306" s="24"/>
      <c r="J306" s="24"/>
      <c r="K306" s="42"/>
    </row>
    <row r="307" spans="8:11" x14ac:dyDescent="0.25">
      <c r="H307" s="24"/>
      <c r="I307" s="24"/>
      <c r="J307" s="24"/>
      <c r="K307" s="42"/>
    </row>
    <row r="308" spans="8:11" x14ac:dyDescent="0.25">
      <c r="H308" s="24"/>
      <c r="I308" s="24"/>
      <c r="J308" s="24"/>
      <c r="K308" s="42"/>
    </row>
    <row r="309" spans="8:11" x14ac:dyDescent="0.25">
      <c r="H309" s="24"/>
      <c r="I309" s="24"/>
      <c r="J309" s="24"/>
      <c r="K309" s="42"/>
    </row>
    <row r="310" spans="8:11" x14ac:dyDescent="0.25">
      <c r="H310" s="24"/>
      <c r="I310" s="24"/>
      <c r="J310" s="24"/>
      <c r="K310" s="42"/>
    </row>
    <row r="311" spans="8:11" x14ac:dyDescent="0.25">
      <c r="H311" s="24"/>
      <c r="I311" s="24"/>
      <c r="J311" s="24"/>
      <c r="K311" s="42"/>
    </row>
    <row r="312" spans="8:11" x14ac:dyDescent="0.25">
      <c r="H312" s="24"/>
      <c r="I312" s="24"/>
      <c r="J312" s="24"/>
      <c r="K312" s="42"/>
    </row>
    <row r="313" spans="8:11" x14ac:dyDescent="0.25">
      <c r="H313" s="24"/>
      <c r="I313" s="24"/>
      <c r="J313" s="24"/>
      <c r="K313" s="42"/>
    </row>
    <row r="314" spans="8:11" x14ac:dyDescent="0.25">
      <c r="H314" s="24"/>
      <c r="I314" s="24"/>
      <c r="J314" s="24"/>
      <c r="K314" s="42"/>
    </row>
    <row r="315" spans="8:11" x14ac:dyDescent="0.25">
      <c r="H315" s="24"/>
      <c r="I315" s="24"/>
      <c r="K315" s="27"/>
    </row>
    <row r="316" spans="8:11" x14ac:dyDescent="0.25">
      <c r="H316" s="24"/>
      <c r="I316" s="24"/>
      <c r="K316" s="27"/>
    </row>
    <row r="317" spans="8:11" x14ac:dyDescent="0.25">
      <c r="H317" s="24"/>
      <c r="I317" s="24"/>
      <c r="K317" s="27"/>
    </row>
    <row r="318" spans="8:11" x14ac:dyDescent="0.25">
      <c r="H318" s="24"/>
      <c r="I318" s="24"/>
      <c r="K318" s="27"/>
    </row>
    <row r="319" spans="8:11" x14ac:dyDescent="0.25">
      <c r="H319" s="24"/>
      <c r="I319" s="24"/>
      <c r="K319" s="27"/>
    </row>
    <row r="320" spans="8:11" x14ac:dyDescent="0.25">
      <c r="H320" s="24"/>
      <c r="I320" s="24"/>
      <c r="K320" s="27"/>
    </row>
    <row r="321" spans="8:11" x14ac:dyDescent="0.25">
      <c r="H321" s="24"/>
      <c r="I321" s="24"/>
      <c r="K321" s="27"/>
    </row>
    <row r="322" spans="8:11" x14ac:dyDescent="0.25">
      <c r="H322" s="24"/>
      <c r="I322" s="24"/>
      <c r="K322" s="13"/>
    </row>
    <row r="323" spans="8:11" x14ac:dyDescent="0.25">
      <c r="H323" s="4"/>
      <c r="I323" s="4"/>
      <c r="K323" s="13"/>
    </row>
    <row r="324" spans="8:11" x14ac:dyDescent="0.25">
      <c r="H324" s="4"/>
      <c r="I324" s="4"/>
      <c r="K324" s="13"/>
    </row>
    <row r="325" spans="8:11" x14ac:dyDescent="0.25">
      <c r="H325" s="4"/>
      <c r="I325" s="4"/>
      <c r="K325" s="13"/>
    </row>
    <row r="326" spans="8:11" x14ac:dyDescent="0.25">
      <c r="H326" s="4"/>
      <c r="I326" s="4"/>
      <c r="K326" s="13"/>
    </row>
    <row r="327" spans="8:11" x14ac:dyDescent="0.25">
      <c r="H327" s="4"/>
      <c r="I327" s="4"/>
      <c r="K327" s="13"/>
    </row>
    <row r="328" spans="8:11" x14ac:dyDescent="0.25">
      <c r="H328" s="4"/>
      <c r="I328" s="4"/>
      <c r="K328" s="13"/>
    </row>
    <row r="329" spans="8:11" x14ac:dyDescent="0.25">
      <c r="H329" s="4"/>
      <c r="I329" s="4"/>
      <c r="K329" s="13"/>
    </row>
    <row r="330" spans="8:11" x14ac:dyDescent="0.25">
      <c r="H330" s="4"/>
      <c r="I330" s="4"/>
      <c r="K330" s="13"/>
    </row>
    <row r="331" spans="8:11" x14ac:dyDescent="0.25">
      <c r="H331" s="4"/>
      <c r="I331" s="4"/>
      <c r="K331" s="13"/>
    </row>
    <row r="332" spans="8:11" x14ac:dyDescent="0.25">
      <c r="H332" s="4"/>
      <c r="I332" s="4"/>
      <c r="K332" s="13"/>
    </row>
    <row r="333" spans="8:11" x14ac:dyDescent="0.25">
      <c r="H333" s="4"/>
      <c r="I333" s="4"/>
      <c r="K333" s="13"/>
    </row>
    <row r="334" spans="8:11" x14ac:dyDescent="0.25">
      <c r="H334" s="4"/>
      <c r="I334" s="4"/>
      <c r="K334" s="13"/>
    </row>
    <row r="335" spans="8:11" x14ac:dyDescent="0.25">
      <c r="H335" s="4"/>
      <c r="I335" s="4"/>
      <c r="K335" s="13"/>
    </row>
    <row r="336" spans="8:11" x14ac:dyDescent="0.25">
      <c r="H336" s="4"/>
      <c r="I336" s="4"/>
      <c r="K336" s="13"/>
    </row>
    <row r="337" spans="8:11" x14ac:dyDescent="0.25">
      <c r="H337" s="4"/>
      <c r="I337" s="4"/>
      <c r="K337" s="13"/>
    </row>
    <row r="338" spans="8:11" x14ac:dyDescent="0.25">
      <c r="H338" s="4"/>
      <c r="I338" s="4"/>
      <c r="K338" s="13"/>
    </row>
    <row r="339" spans="8:11" x14ac:dyDescent="0.25">
      <c r="H339" s="4"/>
      <c r="I339" s="4"/>
      <c r="K339" s="13"/>
    </row>
    <row r="340" spans="8:11" x14ac:dyDescent="0.25">
      <c r="H340" s="4"/>
      <c r="I340" s="4"/>
      <c r="K340" s="13"/>
    </row>
    <row r="341" spans="8:11" x14ac:dyDescent="0.25">
      <c r="H341" s="4"/>
      <c r="I341" s="4"/>
      <c r="K341" s="27"/>
    </row>
    <row r="342" spans="8:11" x14ac:dyDescent="0.25">
      <c r="H342" s="24"/>
      <c r="I342" s="24"/>
      <c r="K342" s="27"/>
    </row>
    <row r="343" spans="8:11" x14ac:dyDescent="0.25">
      <c r="H343" s="24"/>
      <c r="I343" s="24"/>
      <c r="K343" s="27"/>
    </row>
    <row r="344" spans="8:11" x14ac:dyDescent="0.25">
      <c r="H344" s="24"/>
      <c r="I344" s="24"/>
      <c r="K344" s="27"/>
    </row>
    <row r="345" spans="8:11" x14ac:dyDescent="0.25">
      <c r="H345" s="24"/>
      <c r="I345" s="24"/>
      <c r="K345" s="27"/>
    </row>
    <row r="346" spans="8:11" x14ac:dyDescent="0.25">
      <c r="H346" s="24"/>
      <c r="I346" s="24"/>
      <c r="K346" s="27"/>
    </row>
    <row r="347" spans="8:11" x14ac:dyDescent="0.25">
      <c r="H347" s="24"/>
      <c r="I347" s="24"/>
      <c r="K347" s="27"/>
    </row>
    <row r="348" spans="8:11" x14ac:dyDescent="0.25">
      <c r="H348" s="24"/>
      <c r="I348" s="24"/>
      <c r="K348" s="27"/>
    </row>
    <row r="349" spans="8:11" x14ac:dyDescent="0.25">
      <c r="H349" s="24"/>
      <c r="I349" s="24"/>
      <c r="K349" s="27"/>
    </row>
    <row r="350" spans="8:11" x14ac:dyDescent="0.25">
      <c r="H350" s="24"/>
      <c r="I350" s="24"/>
      <c r="K350" s="27"/>
    </row>
    <row r="351" spans="8:11" x14ac:dyDescent="0.25">
      <c r="H351" s="24"/>
      <c r="I351" s="24"/>
      <c r="K351" s="27"/>
    </row>
    <row r="352" spans="8:11" x14ac:dyDescent="0.25">
      <c r="H352" s="24"/>
      <c r="I352" s="24"/>
      <c r="K352" s="27"/>
    </row>
    <row r="353" spans="8:11" x14ac:dyDescent="0.25">
      <c r="H353" s="24"/>
      <c r="I353" s="24"/>
      <c r="K353" s="27"/>
    </row>
    <row r="354" spans="8:11" x14ac:dyDescent="0.25">
      <c r="H354" s="24"/>
      <c r="I354" s="24"/>
      <c r="K354" s="27"/>
    </row>
    <row r="355" spans="8:11" x14ac:dyDescent="0.25">
      <c r="H355" s="24"/>
      <c r="I355" s="24"/>
      <c r="K355" s="27"/>
    </row>
    <row r="356" spans="8:11" x14ac:dyDescent="0.25">
      <c r="H356" s="24"/>
      <c r="I356" s="24"/>
      <c r="K356" s="27"/>
    </row>
    <row r="357" spans="8:11" x14ac:dyDescent="0.25">
      <c r="H357" s="24"/>
      <c r="I357" s="24"/>
      <c r="K357" s="27"/>
    </row>
    <row r="358" spans="8:11" x14ac:dyDescent="0.25">
      <c r="H358" s="24"/>
      <c r="I358" s="24"/>
      <c r="J358" s="24"/>
      <c r="K358" s="42"/>
    </row>
    <row r="359" spans="8:11" x14ac:dyDescent="0.25">
      <c r="H359" s="24"/>
      <c r="I359" s="24"/>
      <c r="J359" s="24"/>
      <c r="K359" s="42"/>
    </row>
    <row r="360" spans="8:11" x14ac:dyDescent="0.25">
      <c r="H360" s="24"/>
      <c r="I360" s="24"/>
      <c r="J360" s="24"/>
      <c r="K360" s="42"/>
    </row>
    <row r="361" spans="8:11" x14ac:dyDescent="0.25">
      <c r="H361" s="24"/>
      <c r="I361" s="24"/>
      <c r="J361" s="24"/>
      <c r="K361" s="42"/>
    </row>
    <row r="362" spans="8:11" x14ac:dyDescent="0.25">
      <c r="H362" s="24"/>
      <c r="I362" s="24"/>
      <c r="J362" s="24"/>
      <c r="K362" s="42"/>
    </row>
    <row r="363" spans="8:11" x14ac:dyDescent="0.25">
      <c r="H363" s="24"/>
      <c r="I363" s="24"/>
      <c r="K363" s="88"/>
    </row>
    <row r="364" spans="8:11" x14ac:dyDescent="0.25">
      <c r="H364" s="24"/>
      <c r="I364" s="24"/>
      <c r="K364" s="27"/>
    </row>
    <row r="365" spans="8:11" x14ac:dyDescent="0.25">
      <c r="H365" s="24"/>
      <c r="I365" s="24"/>
      <c r="K365" s="27"/>
    </row>
    <row r="366" spans="8:11" x14ac:dyDescent="0.25">
      <c r="H366" s="24"/>
      <c r="I366" s="24"/>
      <c r="J366" s="24"/>
      <c r="K366" s="23"/>
    </row>
    <row r="367" spans="8:11" x14ac:dyDescent="0.25">
      <c r="H367" s="24"/>
      <c r="I367" s="24"/>
      <c r="J367" s="24"/>
      <c r="K367" s="23"/>
    </row>
    <row r="368" spans="8:11" x14ac:dyDescent="0.25">
      <c r="H368" s="24"/>
      <c r="I368" s="24"/>
      <c r="J368" s="24"/>
      <c r="K368" s="23"/>
    </row>
    <row r="369" spans="8:11" x14ac:dyDescent="0.25">
      <c r="H369" s="24"/>
      <c r="I369" s="24"/>
      <c r="J369" s="24"/>
      <c r="K369" s="23"/>
    </row>
    <row r="370" spans="8:11" x14ac:dyDescent="0.25">
      <c r="H370" s="24"/>
      <c r="I370" s="24"/>
      <c r="J370" s="24"/>
      <c r="K370" s="23"/>
    </row>
    <row r="371" spans="8:11" x14ac:dyDescent="0.25">
      <c r="H371" s="24"/>
      <c r="I371" s="24"/>
      <c r="J371" s="24"/>
      <c r="K371" s="23"/>
    </row>
    <row r="372" spans="8:11" x14ac:dyDescent="0.25">
      <c r="H372" s="24"/>
      <c r="I372" s="24"/>
      <c r="J372" s="24"/>
      <c r="K372" s="23"/>
    </row>
    <row r="373" spans="8:11" x14ac:dyDescent="0.25">
      <c r="H373" s="24"/>
      <c r="I373" s="24"/>
      <c r="J373" s="24"/>
      <c r="K373" s="23"/>
    </row>
    <row r="374" spans="8:11" x14ac:dyDescent="0.25">
      <c r="H374" s="24"/>
      <c r="I374" s="24"/>
      <c r="J374" s="24"/>
      <c r="K374" s="23"/>
    </row>
    <row r="375" spans="8:11" x14ac:dyDescent="0.25">
      <c r="H375" s="24"/>
      <c r="I375" s="24"/>
      <c r="J375" s="24"/>
      <c r="K375" s="23"/>
    </row>
    <row r="376" spans="8:11" x14ac:dyDescent="0.25">
      <c r="H376" s="24"/>
      <c r="I376" s="24"/>
      <c r="K376" s="27"/>
    </row>
    <row r="377" spans="8:11" x14ac:dyDescent="0.25">
      <c r="H377" s="24"/>
      <c r="I377" s="24"/>
      <c r="K377" s="27"/>
    </row>
    <row r="378" spans="8:11" x14ac:dyDescent="0.25">
      <c r="H378" s="24"/>
      <c r="I378" s="24"/>
      <c r="K378" s="27"/>
    </row>
    <row r="379" spans="8:11" x14ac:dyDescent="0.25">
      <c r="H379" s="24"/>
      <c r="I379" s="24"/>
      <c r="K379" s="27"/>
    </row>
    <row r="380" spans="8:11" x14ac:dyDescent="0.25">
      <c r="H380" s="24"/>
      <c r="I380" s="24"/>
      <c r="K380" s="27"/>
    </row>
    <row r="381" spans="8:11" x14ac:dyDescent="0.25">
      <c r="H381" s="24"/>
      <c r="I381" s="24"/>
      <c r="K381" s="27"/>
    </row>
    <row r="382" spans="8:11" x14ac:dyDescent="0.25">
      <c r="H382" s="24"/>
      <c r="I382" s="24"/>
      <c r="K382" s="27"/>
    </row>
    <row r="383" spans="8:11" x14ac:dyDescent="0.25">
      <c r="H383" s="24"/>
      <c r="I383" s="24"/>
      <c r="J383" s="87"/>
      <c r="K383" s="88"/>
    </row>
    <row r="384" spans="8:11" x14ac:dyDescent="0.25">
      <c r="H384" s="83"/>
      <c r="I384" s="83"/>
      <c r="K384" s="88"/>
    </row>
    <row r="385" spans="8:11" x14ac:dyDescent="0.25">
      <c r="H385" s="24"/>
      <c r="I385" s="24"/>
      <c r="K385" s="27"/>
    </row>
    <row r="386" spans="8:11" x14ac:dyDescent="0.25">
      <c r="H386" s="24"/>
      <c r="I386" s="24"/>
      <c r="K386" s="27"/>
    </row>
    <row r="387" spans="8:11" x14ac:dyDescent="0.25">
      <c r="H387" s="24"/>
      <c r="I387" s="24"/>
      <c r="K387" s="27"/>
    </row>
    <row r="388" spans="8:11" x14ac:dyDescent="0.25">
      <c r="H388" s="24"/>
      <c r="I388" s="24"/>
      <c r="K388" s="27"/>
    </row>
    <row r="389" spans="8:11" x14ac:dyDescent="0.25">
      <c r="H389" s="24"/>
      <c r="I389" s="24"/>
      <c r="K389" s="27"/>
    </row>
    <row r="390" spans="8:11" x14ac:dyDescent="0.25">
      <c r="H390" s="24"/>
      <c r="I390" s="24"/>
      <c r="K390" s="27"/>
    </row>
    <row r="391" spans="8:11" x14ac:dyDescent="0.25">
      <c r="H391" s="24"/>
      <c r="I391" s="24"/>
      <c r="K391" s="27"/>
    </row>
    <row r="392" spans="8:11" x14ac:dyDescent="0.25">
      <c r="H392" s="24"/>
      <c r="I392" s="24"/>
      <c r="K392" s="27"/>
    </row>
    <row r="393" spans="8:11" x14ac:dyDescent="0.25">
      <c r="H393" s="24"/>
      <c r="I393" s="24"/>
      <c r="K393" s="27"/>
    </row>
    <row r="394" spans="8:11" x14ac:dyDescent="0.25">
      <c r="H394" s="24"/>
      <c r="I394" s="24"/>
      <c r="K394" s="27"/>
    </row>
    <row r="395" spans="8:11" x14ac:dyDescent="0.25">
      <c r="H395" s="24"/>
      <c r="I395" s="24"/>
      <c r="K395" s="27"/>
    </row>
    <row r="396" spans="8:11" x14ac:dyDescent="0.25">
      <c r="H396" s="24"/>
      <c r="I396" s="24"/>
      <c r="K396" s="27"/>
    </row>
    <row r="397" spans="8:11" x14ac:dyDescent="0.25">
      <c r="H397" s="24"/>
      <c r="I397" s="24"/>
      <c r="K397" s="27"/>
    </row>
    <row r="398" spans="8:11" x14ac:dyDescent="0.25">
      <c r="H398" s="24"/>
      <c r="I398" s="24"/>
      <c r="K398" s="27"/>
    </row>
    <row r="399" spans="8:11" x14ac:dyDescent="0.25">
      <c r="H399" s="24"/>
      <c r="I399" s="24"/>
      <c r="K399" s="27"/>
    </row>
    <row r="400" spans="8:11" x14ac:dyDescent="0.25">
      <c r="H400" s="24"/>
      <c r="I400" s="24"/>
      <c r="K400" s="27"/>
    </row>
    <row r="401" spans="8:11" x14ac:dyDescent="0.25">
      <c r="H401" s="24"/>
      <c r="I401" s="24"/>
      <c r="K401" s="13"/>
    </row>
    <row r="402" spans="8:11" x14ac:dyDescent="0.25">
      <c r="H402" s="4"/>
      <c r="I402" s="4"/>
      <c r="K402" s="13"/>
    </row>
    <row r="403" spans="8:11" x14ac:dyDescent="0.25">
      <c r="H403" s="4"/>
      <c r="I403" s="4"/>
      <c r="K403" s="13"/>
    </row>
    <row r="404" spans="8:11" x14ac:dyDescent="0.25">
      <c r="H404" s="4"/>
      <c r="I404" s="4"/>
      <c r="K404" s="13"/>
    </row>
    <row r="405" spans="8:11" x14ac:dyDescent="0.25">
      <c r="H405" s="4"/>
      <c r="I405" s="4"/>
      <c r="K405" s="13"/>
    </row>
    <row r="406" spans="8:11" x14ac:dyDescent="0.25">
      <c r="H406" s="4"/>
      <c r="I406" s="4"/>
      <c r="K406" s="13"/>
    </row>
    <row r="407" spans="8:11" x14ac:dyDescent="0.25">
      <c r="H407" s="4"/>
      <c r="I407" s="4"/>
      <c r="K407" s="13"/>
    </row>
    <row r="408" spans="8:11" x14ac:dyDescent="0.25">
      <c r="H408" s="4"/>
      <c r="I408" s="4"/>
      <c r="K408" s="13"/>
    </row>
    <row r="409" spans="8:11" x14ac:dyDescent="0.25">
      <c r="H409" s="4"/>
      <c r="I409" s="4"/>
      <c r="J409" s="24"/>
      <c r="K409" s="42"/>
    </row>
    <row r="410" spans="8:11" x14ac:dyDescent="0.25">
      <c r="H410" s="24"/>
      <c r="I410" s="24"/>
      <c r="J410" s="24"/>
      <c r="K410" s="42"/>
    </row>
    <row r="411" spans="8:11" x14ac:dyDescent="0.25">
      <c r="H411" s="24"/>
      <c r="I411" s="24"/>
      <c r="J411" s="24"/>
      <c r="K411" s="42"/>
    </row>
    <row r="412" spans="8:11" x14ac:dyDescent="0.25">
      <c r="H412" s="24"/>
      <c r="I412" s="24"/>
      <c r="J412" s="24"/>
      <c r="K412" s="42"/>
    </row>
    <row r="413" spans="8:11" x14ac:dyDescent="0.25">
      <c r="H413" s="24"/>
      <c r="I413" s="24"/>
      <c r="J413" s="24"/>
      <c r="K413" s="42"/>
    </row>
    <row r="414" spans="8:11" x14ac:dyDescent="0.25">
      <c r="H414" s="24"/>
      <c r="I414" s="24"/>
      <c r="J414" s="24"/>
      <c r="K414" s="42"/>
    </row>
    <row r="415" spans="8:11" x14ac:dyDescent="0.25">
      <c r="H415" s="24"/>
      <c r="I415" s="24"/>
      <c r="J415" s="24"/>
      <c r="K415" s="42"/>
    </row>
    <row r="416" spans="8:11" x14ac:dyDescent="0.25">
      <c r="H416" s="24"/>
      <c r="I416" s="24"/>
      <c r="J416" s="24"/>
      <c r="K416" s="42"/>
    </row>
    <row r="417" spans="8:11" x14ac:dyDescent="0.25">
      <c r="H417" s="24"/>
      <c r="I417" s="24"/>
      <c r="J417" s="24"/>
      <c r="K417" s="42"/>
    </row>
    <row r="418" spans="8:11" x14ac:dyDescent="0.25">
      <c r="H418" s="24"/>
      <c r="I418" s="24"/>
      <c r="J418" s="24"/>
      <c r="K418" s="42"/>
    </row>
    <row r="419" spans="8:11" x14ac:dyDescent="0.25">
      <c r="H419" s="24"/>
      <c r="I419" s="24"/>
      <c r="J419" s="24"/>
      <c r="K419" s="42"/>
    </row>
    <row r="420" spans="8:11" x14ac:dyDescent="0.25">
      <c r="H420" s="24"/>
      <c r="I420" s="24"/>
      <c r="K420" s="27"/>
    </row>
    <row r="421" spans="8:11" x14ac:dyDescent="0.25">
      <c r="H421" s="24"/>
      <c r="I421" s="24"/>
      <c r="K421" s="27"/>
    </row>
    <row r="422" spans="8:11" x14ac:dyDescent="0.25">
      <c r="H422" s="24"/>
      <c r="I422" s="24"/>
      <c r="K422" s="27"/>
    </row>
    <row r="423" spans="8:11" x14ac:dyDescent="0.25">
      <c r="H423" s="24"/>
      <c r="I423" s="24"/>
      <c r="J423" s="24"/>
      <c r="K423" s="23"/>
    </row>
    <row r="424" spans="8:11" x14ac:dyDescent="0.25">
      <c r="H424" s="24"/>
      <c r="I424" s="24"/>
      <c r="J424" s="24"/>
      <c r="K424" s="23"/>
    </row>
    <row r="425" spans="8:11" x14ac:dyDescent="0.25">
      <c r="H425" s="24"/>
      <c r="I425" s="24"/>
      <c r="J425" s="24"/>
      <c r="K425" s="23"/>
    </row>
    <row r="426" spans="8:11" x14ac:dyDescent="0.25">
      <c r="H426" s="24"/>
      <c r="I426" s="24"/>
      <c r="J426" s="24"/>
      <c r="K426" s="23"/>
    </row>
    <row r="427" spans="8:11" x14ac:dyDescent="0.25">
      <c r="H427" s="24"/>
      <c r="I427" s="24"/>
      <c r="J427" s="24"/>
      <c r="K427" s="23"/>
    </row>
    <row r="428" spans="8:11" x14ac:dyDescent="0.25">
      <c r="H428" s="24"/>
      <c r="I428" s="24"/>
      <c r="J428" s="24"/>
      <c r="K428" s="23"/>
    </row>
    <row r="429" spans="8:11" x14ac:dyDescent="0.25">
      <c r="H429" s="24"/>
      <c r="I429" s="24"/>
      <c r="K429" s="27"/>
    </row>
    <row r="430" spans="8:11" x14ac:dyDescent="0.25">
      <c r="H430" s="24"/>
      <c r="I430" s="24"/>
      <c r="J430" s="24"/>
      <c r="K430" s="23"/>
    </row>
    <row r="431" spans="8:11" x14ac:dyDescent="0.25">
      <c r="H431" s="24"/>
      <c r="I431" s="24"/>
      <c r="J431" s="24"/>
      <c r="K431" s="23"/>
    </row>
    <row r="432" spans="8:11" x14ac:dyDescent="0.25">
      <c r="H432" s="24"/>
      <c r="I432" s="24"/>
      <c r="J432" s="24"/>
      <c r="K432" s="23"/>
    </row>
    <row r="433" spans="8:11" x14ac:dyDescent="0.25">
      <c r="H433" s="24"/>
      <c r="I433" s="24"/>
      <c r="K433" s="27"/>
    </row>
    <row r="434" spans="8:11" x14ac:dyDescent="0.25">
      <c r="H434" s="24"/>
      <c r="I434" s="24"/>
      <c r="K434" s="27"/>
    </row>
    <row r="435" spans="8:11" x14ac:dyDescent="0.25">
      <c r="H435" s="24"/>
      <c r="I435" s="24"/>
      <c r="K435" s="27"/>
    </row>
    <row r="436" spans="8:11" x14ac:dyDescent="0.25">
      <c r="H436" s="24"/>
      <c r="I436" s="24"/>
      <c r="K436" s="27"/>
    </row>
    <row r="437" spans="8:11" x14ac:dyDescent="0.25">
      <c r="H437" s="24"/>
      <c r="I437" s="24"/>
      <c r="J437" s="24"/>
      <c r="K437" s="23"/>
    </row>
    <row r="438" spans="8:11" x14ac:dyDescent="0.25">
      <c r="H438" s="24"/>
      <c r="I438" s="24"/>
      <c r="J438" s="24"/>
      <c r="K438" s="23"/>
    </row>
    <row r="439" spans="8:11" x14ac:dyDescent="0.25">
      <c r="H439" s="24"/>
      <c r="I439" s="24"/>
      <c r="K439" s="27"/>
    </row>
    <row r="440" spans="8:11" x14ac:dyDescent="0.25">
      <c r="H440" s="24"/>
      <c r="I440" s="24"/>
      <c r="J440" s="24"/>
      <c r="K440" s="23"/>
    </row>
    <row r="441" spans="8:11" x14ac:dyDescent="0.25">
      <c r="H441" s="24"/>
      <c r="I441" s="24"/>
      <c r="K441" s="27"/>
    </row>
    <row r="442" spans="8:11" x14ac:dyDescent="0.25">
      <c r="H442" s="24"/>
      <c r="I442" s="24"/>
      <c r="J442" s="24"/>
      <c r="K442" s="23"/>
    </row>
    <row r="443" spans="8:11" x14ac:dyDescent="0.25">
      <c r="H443" s="24"/>
      <c r="I443" s="24"/>
      <c r="J443" s="24"/>
      <c r="K443" s="23"/>
    </row>
    <row r="444" spans="8:11" x14ac:dyDescent="0.25">
      <c r="H444" s="24"/>
      <c r="I444" s="24"/>
      <c r="J444" s="24"/>
      <c r="K444" s="23"/>
    </row>
    <row r="445" spans="8:11" x14ac:dyDescent="0.25">
      <c r="H445" s="24"/>
      <c r="I445" s="24"/>
      <c r="J445" s="24"/>
      <c r="K445" s="23"/>
    </row>
    <row r="446" spans="8:11" x14ac:dyDescent="0.25">
      <c r="H446" s="24"/>
      <c r="I446" s="24"/>
      <c r="K446" s="27"/>
    </row>
    <row r="447" spans="8:11" x14ac:dyDescent="0.25">
      <c r="H447" s="24"/>
      <c r="I447" s="24"/>
      <c r="J447" s="24"/>
      <c r="K447" s="23"/>
    </row>
    <row r="448" spans="8:11" x14ac:dyDescent="0.25">
      <c r="H448" s="24"/>
      <c r="I448" s="24"/>
      <c r="J448" s="24"/>
      <c r="K448" s="23"/>
    </row>
    <row r="449" spans="8:11" x14ac:dyDescent="0.25">
      <c r="H449" s="24"/>
      <c r="I449" s="24"/>
      <c r="K449" s="27"/>
    </row>
    <row r="450" spans="8:11" x14ac:dyDescent="0.25">
      <c r="H450" s="24"/>
      <c r="I450" s="24"/>
      <c r="J450" s="24"/>
      <c r="K450" s="23"/>
    </row>
    <row r="451" spans="8:11" x14ac:dyDescent="0.25">
      <c r="H451" s="24"/>
      <c r="I451" s="24"/>
      <c r="J451" s="24"/>
      <c r="K451" s="23"/>
    </row>
    <row r="452" spans="8:11" x14ac:dyDescent="0.25">
      <c r="H452" s="24"/>
      <c r="I452" s="24"/>
      <c r="J452" s="24"/>
      <c r="K452" s="23"/>
    </row>
    <row r="453" spans="8:11" x14ac:dyDescent="0.25">
      <c r="H453" s="24"/>
      <c r="I453" s="24"/>
      <c r="K453" s="27"/>
    </row>
    <row r="454" spans="8:11" x14ac:dyDescent="0.25">
      <c r="H454" s="24"/>
      <c r="I454" s="24"/>
      <c r="J454" s="24"/>
      <c r="K454" s="23"/>
    </row>
    <row r="455" spans="8:11" x14ac:dyDescent="0.25">
      <c r="H455" s="24"/>
      <c r="I455" s="24"/>
      <c r="K455" s="27"/>
    </row>
    <row r="456" spans="8:11" x14ac:dyDescent="0.25">
      <c r="H456" s="24"/>
      <c r="I456" s="24"/>
      <c r="J456" s="24"/>
      <c r="K456" s="23"/>
    </row>
    <row r="457" spans="8:11" x14ac:dyDescent="0.25">
      <c r="H457" s="24"/>
      <c r="I457" s="24"/>
      <c r="J457" s="24"/>
      <c r="K457" s="23"/>
    </row>
    <row r="458" spans="8:11" x14ac:dyDescent="0.25">
      <c r="H458" s="24"/>
      <c r="I458" s="24"/>
      <c r="J458" s="83"/>
      <c r="K458" s="81"/>
    </row>
    <row r="459" spans="8:11" x14ac:dyDescent="0.25">
      <c r="H459" s="83"/>
      <c r="I459" s="83"/>
      <c r="J459" s="19"/>
      <c r="K459" s="22"/>
    </row>
    <row r="460" spans="8:11" x14ac:dyDescent="0.25">
      <c r="H460" s="19"/>
      <c r="I460" s="19"/>
      <c r="J460" s="24"/>
      <c r="K460" s="22"/>
    </row>
    <row r="461" spans="8:11" x14ac:dyDescent="0.25">
      <c r="H461" s="24"/>
      <c r="I461" s="24"/>
      <c r="J461" s="24"/>
      <c r="K461" s="22"/>
    </row>
    <row r="462" spans="8:11" x14ac:dyDescent="0.25">
      <c r="H462" s="24"/>
      <c r="I462" s="24"/>
      <c r="J462" s="24"/>
      <c r="K462" s="22"/>
    </row>
    <row r="463" spans="8:11" x14ac:dyDescent="0.25">
      <c r="H463" s="24"/>
      <c r="I463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27"/>
  <sheetViews>
    <sheetView zoomScale="85" zoomScaleNormal="85" workbookViewId="0">
      <selection activeCell="K34" sqref="K34"/>
    </sheetView>
  </sheetViews>
  <sheetFormatPr baseColWidth="10" defaultColWidth="27.453125" defaultRowHeight="12.5" x14ac:dyDescent="0.25"/>
  <cols>
    <col min="1" max="1" width="22.26953125" customWidth="1"/>
    <col min="2" max="2" width="16.7265625" customWidth="1"/>
    <col min="3" max="3" width="17.1796875" customWidth="1"/>
    <col min="4" max="4" width="17.54296875" customWidth="1"/>
    <col min="5" max="5" width="37.26953125" customWidth="1"/>
    <col min="8" max="8" width="35.81640625" customWidth="1"/>
    <col min="9" max="9" width="30" customWidth="1"/>
  </cols>
  <sheetData>
    <row r="1" spans="1:28" ht="13" x14ac:dyDescent="0.25">
      <c r="A1" s="84" t="s">
        <v>0</v>
      </c>
      <c r="B1" s="85" t="s">
        <v>3</v>
      </c>
      <c r="C1" s="85" t="s">
        <v>4</v>
      </c>
      <c r="D1" s="86" t="s">
        <v>6</v>
      </c>
      <c r="E1" s="86" t="s">
        <v>388</v>
      </c>
      <c r="F1" s="33" t="s">
        <v>9</v>
      </c>
      <c r="G1" s="33" t="s">
        <v>8</v>
      </c>
      <c r="H1" s="33" t="s">
        <v>386</v>
      </c>
      <c r="I1" s="33" t="s">
        <v>405</v>
      </c>
      <c r="J1" s="33" t="s">
        <v>377</v>
      </c>
      <c r="K1" s="33" t="s">
        <v>11</v>
      </c>
      <c r="L1" s="33" t="s">
        <v>401</v>
      </c>
      <c r="M1" s="33" t="s">
        <v>402</v>
      </c>
      <c r="N1" s="33" t="s">
        <v>403</v>
      </c>
      <c r="O1" s="33" t="s">
        <v>404</v>
      </c>
      <c r="P1" s="33" t="s">
        <v>396</v>
      </c>
      <c r="Q1" s="33" t="s">
        <v>397</v>
      </c>
      <c r="R1" s="33" t="s">
        <v>398</v>
      </c>
      <c r="S1" s="122" t="s">
        <v>394</v>
      </c>
      <c r="T1" s="122" t="s">
        <v>393</v>
      </c>
      <c r="U1" s="33" t="s">
        <v>17</v>
      </c>
      <c r="V1" s="33" t="s">
        <v>399</v>
      </c>
      <c r="W1" s="33" t="s">
        <v>19</v>
      </c>
      <c r="X1" s="33" t="s">
        <v>20</v>
      </c>
      <c r="Y1" s="33" t="s">
        <v>21</v>
      </c>
      <c r="Z1" s="33" t="s">
        <v>22</v>
      </c>
      <c r="AA1" s="33" t="s">
        <v>23</v>
      </c>
      <c r="AB1" s="33" t="s">
        <v>24</v>
      </c>
    </row>
    <row r="2" spans="1:28" hidden="1" x14ac:dyDescent="0.25">
      <c r="A2" s="4" t="s">
        <v>1</v>
      </c>
      <c r="B2" s="4">
        <v>3</v>
      </c>
      <c r="C2" s="4" t="s">
        <v>5</v>
      </c>
      <c r="D2" s="53">
        <v>38772</v>
      </c>
      <c r="E2" s="104">
        <v>2384</v>
      </c>
      <c r="F2" s="10">
        <v>40190</v>
      </c>
      <c r="G2" s="10">
        <v>41156</v>
      </c>
      <c r="H2" s="104">
        <v>1418</v>
      </c>
      <c r="I2" s="19">
        <v>966</v>
      </c>
      <c r="J2" s="19" t="s">
        <v>65</v>
      </c>
      <c r="K2" s="12">
        <v>5.22</v>
      </c>
      <c r="L2" s="19">
        <v>1</v>
      </c>
      <c r="M2" s="19">
        <v>1</v>
      </c>
      <c r="N2" s="19">
        <v>1</v>
      </c>
      <c r="O2" s="19">
        <v>1</v>
      </c>
      <c r="P2" s="12">
        <v>19</v>
      </c>
      <c r="Q2" s="12">
        <v>98</v>
      </c>
      <c r="R2" s="12">
        <v>98</v>
      </c>
      <c r="S2" s="124">
        <v>0</v>
      </c>
      <c r="T2" s="124">
        <v>0</v>
      </c>
      <c r="U2" s="12">
        <v>60</v>
      </c>
      <c r="V2" s="12">
        <v>0</v>
      </c>
      <c r="W2" s="12">
        <v>2</v>
      </c>
      <c r="X2" s="12">
        <v>0.35</v>
      </c>
      <c r="Y2" s="12">
        <v>2.5</v>
      </c>
      <c r="Z2" s="12">
        <v>0.35</v>
      </c>
      <c r="AA2" s="12">
        <v>2</v>
      </c>
      <c r="AB2" s="12">
        <v>0.35</v>
      </c>
    </row>
    <row r="3" spans="1:28" hidden="1" x14ac:dyDescent="0.25">
      <c r="A3" s="4" t="s">
        <v>1</v>
      </c>
      <c r="B3" s="4">
        <v>3</v>
      </c>
      <c r="C3" s="4" t="s">
        <v>5</v>
      </c>
      <c r="D3" s="53">
        <v>38772</v>
      </c>
      <c r="E3" s="104">
        <v>2384</v>
      </c>
      <c r="F3" s="10">
        <v>40253</v>
      </c>
      <c r="G3" s="10">
        <v>41156</v>
      </c>
      <c r="H3" s="104">
        <v>1481</v>
      </c>
      <c r="I3" s="19">
        <v>903</v>
      </c>
      <c r="J3" s="19" t="s">
        <v>65</v>
      </c>
      <c r="K3" s="12">
        <v>5.21</v>
      </c>
      <c r="L3" s="19">
        <v>1</v>
      </c>
      <c r="M3" s="19">
        <v>1</v>
      </c>
      <c r="N3" s="19">
        <v>1</v>
      </c>
      <c r="O3" s="19">
        <v>1</v>
      </c>
      <c r="P3" s="12">
        <v>19</v>
      </c>
      <c r="Q3" s="12">
        <v>98</v>
      </c>
      <c r="R3" s="12">
        <v>98</v>
      </c>
      <c r="S3" s="124">
        <v>0</v>
      </c>
      <c r="T3" s="124">
        <v>0</v>
      </c>
      <c r="U3" s="12">
        <v>60</v>
      </c>
      <c r="V3" s="12">
        <v>0</v>
      </c>
      <c r="W3" s="12">
        <v>2</v>
      </c>
      <c r="X3" s="12">
        <v>0.35</v>
      </c>
      <c r="Y3" s="12">
        <v>2.5</v>
      </c>
      <c r="Z3" s="12">
        <v>0.35</v>
      </c>
      <c r="AA3" s="12">
        <v>2</v>
      </c>
      <c r="AB3" s="12">
        <v>0.35</v>
      </c>
    </row>
    <row r="4" spans="1:28" hidden="1" x14ac:dyDescent="0.25">
      <c r="A4" s="4" t="s">
        <v>1</v>
      </c>
      <c r="B4" s="4">
        <v>3</v>
      </c>
      <c r="C4" s="4" t="s">
        <v>5</v>
      </c>
      <c r="D4" s="53">
        <v>38772</v>
      </c>
      <c r="E4" s="104">
        <v>2384</v>
      </c>
      <c r="F4" s="10">
        <v>40351</v>
      </c>
      <c r="G4" s="10">
        <v>41156</v>
      </c>
      <c r="H4" s="104">
        <v>1579</v>
      </c>
      <c r="I4" s="19">
        <v>805</v>
      </c>
      <c r="J4" s="19" t="s">
        <v>65</v>
      </c>
      <c r="K4" s="12">
        <v>5.19</v>
      </c>
      <c r="L4" s="19">
        <v>1</v>
      </c>
      <c r="M4" s="19">
        <v>1</v>
      </c>
      <c r="N4" s="19">
        <v>1</v>
      </c>
      <c r="O4" s="19">
        <v>1</v>
      </c>
      <c r="P4" s="12">
        <v>11</v>
      </c>
      <c r="Q4" s="12">
        <v>99</v>
      </c>
      <c r="R4" s="12">
        <v>99</v>
      </c>
      <c r="S4" s="124">
        <v>0</v>
      </c>
      <c r="T4" s="124">
        <v>0</v>
      </c>
      <c r="U4" s="12">
        <v>60</v>
      </c>
      <c r="V4" s="12">
        <v>0</v>
      </c>
      <c r="W4" s="12">
        <v>2</v>
      </c>
      <c r="X4" s="12">
        <v>0.35</v>
      </c>
      <c r="Y4" s="12">
        <v>2.5</v>
      </c>
      <c r="Z4" s="12">
        <v>0.35</v>
      </c>
      <c r="AA4" s="12">
        <v>2</v>
      </c>
      <c r="AB4" s="12">
        <v>0.35</v>
      </c>
    </row>
    <row r="5" spans="1:28" hidden="1" x14ac:dyDescent="0.25">
      <c r="A5" s="156" t="s">
        <v>1</v>
      </c>
      <c r="B5" s="4">
        <v>3</v>
      </c>
      <c r="C5" s="4" t="s">
        <v>5</v>
      </c>
      <c r="D5" s="53">
        <v>38772</v>
      </c>
      <c r="E5" s="104">
        <v>2384</v>
      </c>
      <c r="F5" s="10">
        <v>40750</v>
      </c>
      <c r="G5" s="10">
        <v>41156</v>
      </c>
      <c r="H5" s="104">
        <v>1978</v>
      </c>
      <c r="I5" s="19">
        <v>406</v>
      </c>
      <c r="J5" s="19" t="s">
        <v>65</v>
      </c>
      <c r="K5" s="12">
        <v>5.1100000000000003</v>
      </c>
      <c r="L5" s="19">
        <v>0</v>
      </c>
      <c r="M5" s="19">
        <v>1</v>
      </c>
      <c r="N5" s="19">
        <v>1</v>
      </c>
      <c r="O5" s="19">
        <v>1</v>
      </c>
      <c r="P5" s="12">
        <v>11</v>
      </c>
      <c r="Q5" s="12">
        <v>98</v>
      </c>
      <c r="R5" s="12">
        <v>98</v>
      </c>
      <c r="S5" s="124">
        <v>0</v>
      </c>
      <c r="T5" s="124">
        <v>0</v>
      </c>
      <c r="U5" s="12">
        <v>60</v>
      </c>
      <c r="V5" s="12">
        <v>0</v>
      </c>
      <c r="W5" s="12">
        <v>2</v>
      </c>
      <c r="X5" s="12">
        <v>0.35</v>
      </c>
      <c r="Y5" s="12">
        <v>2.5</v>
      </c>
      <c r="Z5" s="12">
        <v>0.5</v>
      </c>
      <c r="AA5" s="12">
        <v>2</v>
      </c>
      <c r="AB5" s="12">
        <v>0.35</v>
      </c>
    </row>
    <row r="6" spans="1:28" hidden="1" x14ac:dyDescent="0.25">
      <c r="A6" s="156" t="s">
        <v>1</v>
      </c>
      <c r="B6" s="4">
        <v>3</v>
      </c>
      <c r="C6" s="4" t="s">
        <v>5</v>
      </c>
      <c r="D6" s="53">
        <v>38772</v>
      </c>
      <c r="E6" s="104">
        <v>2384</v>
      </c>
      <c r="F6" s="10">
        <v>40960</v>
      </c>
      <c r="G6" s="10">
        <v>41156</v>
      </c>
      <c r="H6" s="104">
        <v>2188</v>
      </c>
      <c r="I6" s="19">
        <v>196</v>
      </c>
      <c r="J6" s="19" t="s">
        <v>65</v>
      </c>
      <c r="K6" s="12">
        <v>5.07</v>
      </c>
      <c r="L6" s="19">
        <v>0</v>
      </c>
      <c r="M6" s="19">
        <v>0</v>
      </c>
      <c r="N6" s="19">
        <v>1</v>
      </c>
      <c r="O6" s="19">
        <v>1</v>
      </c>
      <c r="P6" s="12">
        <v>10</v>
      </c>
      <c r="Q6" s="12">
        <v>96</v>
      </c>
      <c r="R6" s="12">
        <v>96</v>
      </c>
      <c r="S6" s="124">
        <v>0</v>
      </c>
      <c r="T6" s="124">
        <v>0</v>
      </c>
      <c r="U6" s="12">
        <v>60</v>
      </c>
      <c r="V6" s="12">
        <v>0</v>
      </c>
      <c r="W6" s="12">
        <v>2</v>
      </c>
      <c r="X6" s="12">
        <v>0.35</v>
      </c>
      <c r="Y6" s="12">
        <v>2.5</v>
      </c>
      <c r="Z6" s="12">
        <v>0.35</v>
      </c>
      <c r="AA6" s="12">
        <v>2</v>
      </c>
      <c r="AB6" s="12">
        <v>0.35</v>
      </c>
    </row>
    <row r="7" spans="1:28" x14ac:dyDescent="0.25">
      <c r="A7" s="156" t="s">
        <v>1</v>
      </c>
      <c r="B7" s="4">
        <v>3</v>
      </c>
      <c r="C7" s="4" t="s">
        <v>5</v>
      </c>
      <c r="D7" s="53">
        <v>38772</v>
      </c>
      <c r="E7" s="104">
        <v>2384</v>
      </c>
      <c r="F7" s="10">
        <v>41156</v>
      </c>
      <c r="G7" s="10">
        <v>41156</v>
      </c>
      <c r="H7" s="104">
        <v>2384</v>
      </c>
      <c r="I7" s="19">
        <v>0</v>
      </c>
      <c r="J7" s="19" t="s">
        <v>65</v>
      </c>
      <c r="K7" s="12">
        <v>4.6900000000000004</v>
      </c>
      <c r="L7" s="19">
        <v>0</v>
      </c>
      <c r="M7" s="19">
        <v>0</v>
      </c>
      <c r="N7" s="19">
        <v>0</v>
      </c>
      <c r="O7" s="19">
        <v>0</v>
      </c>
      <c r="P7" s="12">
        <v>19</v>
      </c>
      <c r="Q7" s="12">
        <v>98</v>
      </c>
      <c r="R7" s="12">
        <v>98</v>
      </c>
      <c r="S7" s="124">
        <v>0</v>
      </c>
      <c r="T7" s="124">
        <v>0</v>
      </c>
      <c r="U7" s="12">
        <v>60</v>
      </c>
      <c r="V7" s="12">
        <v>0</v>
      </c>
      <c r="W7" s="12">
        <v>2</v>
      </c>
      <c r="X7" s="12">
        <v>0.35</v>
      </c>
      <c r="Y7" s="12">
        <v>2.5</v>
      </c>
      <c r="Z7" s="12">
        <v>0.35</v>
      </c>
      <c r="AA7" s="12">
        <v>2</v>
      </c>
      <c r="AB7" s="12">
        <v>0.35</v>
      </c>
    </row>
    <row r="8" spans="1:28" hidden="1" x14ac:dyDescent="0.25">
      <c r="A8" s="24" t="s">
        <v>209</v>
      </c>
      <c r="B8" s="24">
        <v>2</v>
      </c>
      <c r="D8" s="27">
        <v>38687</v>
      </c>
      <c r="E8" s="104">
        <v>3414</v>
      </c>
      <c r="F8" s="22">
        <v>40792</v>
      </c>
      <c r="G8" s="80">
        <v>42101</v>
      </c>
      <c r="H8" s="104">
        <v>2105</v>
      </c>
      <c r="I8" s="19">
        <v>1309</v>
      </c>
      <c r="J8" s="19" t="s">
        <v>65</v>
      </c>
      <c r="K8" s="19">
        <v>5.21</v>
      </c>
      <c r="L8" s="19">
        <v>1</v>
      </c>
      <c r="M8" s="19">
        <v>1</v>
      </c>
      <c r="N8" s="19">
        <v>1</v>
      </c>
      <c r="O8" s="19">
        <v>1</v>
      </c>
      <c r="P8" s="19">
        <v>0</v>
      </c>
      <c r="Q8" s="19">
        <v>0</v>
      </c>
      <c r="R8" s="19">
        <v>0</v>
      </c>
      <c r="S8" s="104">
        <v>0</v>
      </c>
      <c r="T8" s="104">
        <v>2</v>
      </c>
      <c r="U8" s="19">
        <v>30</v>
      </c>
      <c r="V8" s="19">
        <v>0</v>
      </c>
      <c r="W8" s="19">
        <v>0</v>
      </c>
      <c r="X8" s="19">
        <v>0</v>
      </c>
      <c r="Y8" s="19">
        <v>2</v>
      </c>
      <c r="Z8" s="19">
        <v>0.35</v>
      </c>
      <c r="AA8" s="19">
        <v>0</v>
      </c>
      <c r="AB8" s="19">
        <v>0</v>
      </c>
    </row>
    <row r="9" spans="1:28" hidden="1" x14ac:dyDescent="0.25">
      <c r="A9" s="24" t="s">
        <v>209</v>
      </c>
      <c r="B9" s="24">
        <v>2</v>
      </c>
      <c r="D9" s="27">
        <v>38687</v>
      </c>
      <c r="E9" s="104">
        <v>3414</v>
      </c>
      <c r="F9" s="80">
        <v>40877</v>
      </c>
      <c r="G9" s="25">
        <v>42101</v>
      </c>
      <c r="H9" s="104">
        <v>2190</v>
      </c>
      <c r="I9" s="19">
        <v>1224</v>
      </c>
      <c r="J9" s="19" t="s">
        <v>65</v>
      </c>
      <c r="K9" s="21">
        <v>5.18</v>
      </c>
      <c r="L9" s="19">
        <v>1</v>
      </c>
      <c r="M9" s="19">
        <v>1</v>
      </c>
      <c r="N9" s="19">
        <v>1</v>
      </c>
      <c r="O9" s="19">
        <v>1</v>
      </c>
      <c r="P9" s="12">
        <v>0</v>
      </c>
      <c r="Q9" s="21">
        <v>0</v>
      </c>
      <c r="R9" s="12">
        <v>0</v>
      </c>
      <c r="S9" s="123">
        <v>0</v>
      </c>
      <c r="T9" s="123">
        <v>0</v>
      </c>
      <c r="U9" s="19">
        <v>30</v>
      </c>
      <c r="V9" s="19">
        <v>0</v>
      </c>
      <c r="W9" s="19">
        <v>0</v>
      </c>
      <c r="X9" s="19">
        <v>0</v>
      </c>
      <c r="Y9" s="19">
        <v>2</v>
      </c>
      <c r="Z9" s="19">
        <v>0.35</v>
      </c>
      <c r="AA9" s="12">
        <v>0</v>
      </c>
      <c r="AB9" s="12">
        <v>0</v>
      </c>
    </row>
    <row r="10" spans="1:28" hidden="1" x14ac:dyDescent="0.25">
      <c r="A10" s="24" t="s">
        <v>209</v>
      </c>
      <c r="B10" s="24">
        <v>2</v>
      </c>
      <c r="D10" s="27">
        <v>38687</v>
      </c>
      <c r="E10" s="104">
        <v>3414</v>
      </c>
      <c r="F10" s="80">
        <v>40974</v>
      </c>
      <c r="G10" s="25">
        <v>42101</v>
      </c>
      <c r="H10" s="104">
        <v>2287</v>
      </c>
      <c r="I10" s="19">
        <v>1127</v>
      </c>
      <c r="J10" s="19" t="s">
        <v>65</v>
      </c>
      <c r="K10" s="21">
        <v>5.16</v>
      </c>
      <c r="L10" s="19">
        <v>1</v>
      </c>
      <c r="M10" s="19">
        <v>1</v>
      </c>
      <c r="N10" s="19">
        <v>1</v>
      </c>
      <c r="O10" s="19">
        <v>1</v>
      </c>
      <c r="P10" s="12">
        <v>0</v>
      </c>
      <c r="Q10" s="21">
        <v>0</v>
      </c>
      <c r="R10" s="12">
        <v>0</v>
      </c>
      <c r="S10" s="123">
        <v>0</v>
      </c>
      <c r="T10" s="123">
        <v>0</v>
      </c>
      <c r="U10" s="19">
        <v>30</v>
      </c>
      <c r="V10" s="19">
        <v>0</v>
      </c>
      <c r="W10" s="19">
        <v>0</v>
      </c>
      <c r="X10" s="19">
        <v>0</v>
      </c>
      <c r="Y10" s="19">
        <v>2</v>
      </c>
      <c r="Z10" s="19">
        <v>0.35</v>
      </c>
      <c r="AA10" s="12">
        <v>0</v>
      </c>
      <c r="AB10" s="12">
        <v>0</v>
      </c>
    </row>
    <row r="11" spans="1:28" hidden="1" x14ac:dyDescent="0.25">
      <c r="A11" s="24" t="s">
        <v>209</v>
      </c>
      <c r="B11" s="24">
        <v>2</v>
      </c>
      <c r="D11" s="27">
        <v>38687</v>
      </c>
      <c r="E11" s="104">
        <v>3414</v>
      </c>
      <c r="F11" s="25">
        <v>41170</v>
      </c>
      <c r="G11" s="25">
        <v>42101</v>
      </c>
      <c r="H11" s="104">
        <v>2483</v>
      </c>
      <c r="I11" s="19">
        <v>931</v>
      </c>
      <c r="J11" s="19" t="s">
        <v>65</v>
      </c>
      <c r="K11" s="4">
        <v>5.15</v>
      </c>
      <c r="L11" s="19">
        <v>1</v>
      </c>
      <c r="M11" s="19">
        <v>1</v>
      </c>
      <c r="N11" s="19">
        <v>1</v>
      </c>
      <c r="O11" s="19">
        <v>1</v>
      </c>
      <c r="P11" s="1">
        <v>0</v>
      </c>
      <c r="Q11" s="4">
        <v>0</v>
      </c>
      <c r="R11" s="1">
        <v>0</v>
      </c>
      <c r="S11" s="125">
        <v>0</v>
      </c>
      <c r="T11" s="125">
        <v>0</v>
      </c>
      <c r="U11" s="24">
        <v>30</v>
      </c>
      <c r="V11" s="24">
        <v>0</v>
      </c>
      <c r="W11" s="24">
        <v>0</v>
      </c>
      <c r="X11" s="24">
        <v>0</v>
      </c>
      <c r="Y11" s="24">
        <v>2</v>
      </c>
      <c r="Z11" s="24">
        <v>0.35</v>
      </c>
      <c r="AA11" s="24">
        <v>0</v>
      </c>
      <c r="AB11" s="1"/>
    </row>
    <row r="12" spans="1:28" hidden="1" x14ac:dyDescent="0.25">
      <c r="A12" s="24" t="s">
        <v>209</v>
      </c>
      <c r="B12" s="24">
        <v>2</v>
      </c>
      <c r="D12" s="27">
        <v>38687</v>
      </c>
      <c r="E12" s="104">
        <v>3414</v>
      </c>
      <c r="F12" s="25">
        <v>41373</v>
      </c>
      <c r="G12" s="25">
        <v>42101</v>
      </c>
      <c r="H12" s="104">
        <v>2686</v>
      </c>
      <c r="I12" s="19">
        <v>728</v>
      </c>
      <c r="J12" s="19" t="s">
        <v>65</v>
      </c>
      <c r="K12" s="4">
        <v>5.14</v>
      </c>
      <c r="L12" s="19">
        <v>1</v>
      </c>
      <c r="M12" s="19">
        <v>1</v>
      </c>
      <c r="N12" s="19">
        <v>1</v>
      </c>
      <c r="O12" s="19">
        <v>1</v>
      </c>
      <c r="P12" s="1">
        <v>0</v>
      </c>
      <c r="Q12" s="4">
        <v>0</v>
      </c>
      <c r="R12" s="1">
        <v>0</v>
      </c>
      <c r="S12" s="125">
        <v>0</v>
      </c>
      <c r="T12" s="125">
        <v>0</v>
      </c>
      <c r="U12" s="24">
        <v>30</v>
      </c>
      <c r="V12" s="24">
        <v>0</v>
      </c>
      <c r="W12" s="24">
        <v>0</v>
      </c>
      <c r="X12" s="24">
        <v>0</v>
      </c>
      <c r="Y12" s="24">
        <v>2</v>
      </c>
      <c r="Z12" s="24">
        <v>0.35</v>
      </c>
      <c r="AA12" s="24">
        <v>0</v>
      </c>
      <c r="AB12" s="24">
        <v>0</v>
      </c>
    </row>
    <row r="13" spans="1:28" hidden="1" x14ac:dyDescent="0.25">
      <c r="A13" s="24" t="s">
        <v>209</v>
      </c>
      <c r="B13" s="24">
        <v>2</v>
      </c>
      <c r="D13" s="27">
        <v>38687</v>
      </c>
      <c r="E13" s="104">
        <v>3414</v>
      </c>
      <c r="F13" s="25">
        <v>41478</v>
      </c>
      <c r="G13" s="25">
        <v>42101</v>
      </c>
      <c r="H13" s="104">
        <v>2791</v>
      </c>
      <c r="I13" s="19">
        <v>623</v>
      </c>
      <c r="J13" s="19" t="s">
        <v>65</v>
      </c>
      <c r="K13" s="4">
        <v>5.14</v>
      </c>
      <c r="L13" s="19">
        <v>1</v>
      </c>
      <c r="M13" s="19">
        <v>1</v>
      </c>
      <c r="N13" s="19">
        <v>1</v>
      </c>
      <c r="O13" s="19">
        <v>1</v>
      </c>
      <c r="P13" s="1">
        <v>0</v>
      </c>
      <c r="Q13" s="4">
        <v>0</v>
      </c>
      <c r="R13" s="1">
        <v>0</v>
      </c>
      <c r="S13" s="125">
        <v>0</v>
      </c>
      <c r="T13" s="125">
        <v>0</v>
      </c>
      <c r="U13" s="24">
        <v>30</v>
      </c>
      <c r="V13" s="24">
        <v>0</v>
      </c>
      <c r="W13" s="24">
        <v>0</v>
      </c>
      <c r="X13" s="24">
        <v>0</v>
      </c>
      <c r="Y13" s="24">
        <v>2</v>
      </c>
      <c r="Z13" s="24">
        <v>0.35</v>
      </c>
      <c r="AA13" s="90">
        <v>0</v>
      </c>
      <c r="AB13" s="90">
        <v>0</v>
      </c>
    </row>
    <row r="14" spans="1:28" hidden="1" x14ac:dyDescent="0.25">
      <c r="A14" s="158" t="s">
        <v>209</v>
      </c>
      <c r="B14" s="24">
        <v>2</v>
      </c>
      <c r="D14" s="27">
        <v>38687</v>
      </c>
      <c r="E14" s="104">
        <v>3414</v>
      </c>
      <c r="F14" s="25">
        <v>41624</v>
      </c>
      <c r="G14" s="25">
        <v>42101</v>
      </c>
      <c r="H14" s="104">
        <v>2937</v>
      </c>
      <c r="I14" s="19">
        <v>477</v>
      </c>
      <c r="J14" s="19" t="s">
        <v>65</v>
      </c>
      <c r="K14" s="4">
        <v>5.1100000000000003</v>
      </c>
      <c r="L14" s="19">
        <v>0</v>
      </c>
      <c r="M14" s="19">
        <v>1</v>
      </c>
      <c r="N14" s="19">
        <v>1</v>
      </c>
      <c r="O14" s="19">
        <v>1</v>
      </c>
      <c r="P14" s="1">
        <v>0</v>
      </c>
      <c r="Q14" s="4">
        <v>0</v>
      </c>
      <c r="R14" s="1">
        <v>0</v>
      </c>
      <c r="S14" s="125">
        <v>0</v>
      </c>
      <c r="T14" s="125">
        <v>0</v>
      </c>
      <c r="U14" s="24">
        <v>30</v>
      </c>
      <c r="V14" s="24">
        <v>0</v>
      </c>
      <c r="W14" s="24">
        <v>0</v>
      </c>
      <c r="X14" s="24">
        <v>0</v>
      </c>
      <c r="Y14" s="24">
        <v>2</v>
      </c>
      <c r="Z14" s="24">
        <v>0.35</v>
      </c>
      <c r="AA14" s="90">
        <v>0</v>
      </c>
      <c r="AB14" s="90">
        <v>0</v>
      </c>
    </row>
    <row r="15" spans="1:28" hidden="1" x14ac:dyDescent="0.25">
      <c r="A15" s="158" t="s">
        <v>209</v>
      </c>
      <c r="B15" s="24">
        <v>2</v>
      </c>
      <c r="D15" s="27">
        <v>38687</v>
      </c>
      <c r="E15" s="104">
        <v>3414</v>
      </c>
      <c r="F15" s="27">
        <v>41736</v>
      </c>
      <c r="G15" s="25">
        <v>42101</v>
      </c>
      <c r="H15" s="104">
        <v>3049</v>
      </c>
      <c r="I15" s="19">
        <v>365</v>
      </c>
      <c r="J15" s="19" t="s">
        <v>65</v>
      </c>
      <c r="K15" s="24">
        <v>5.05</v>
      </c>
      <c r="L15" s="19">
        <v>0</v>
      </c>
      <c r="M15" s="19">
        <v>1</v>
      </c>
      <c r="N15" s="19">
        <v>1</v>
      </c>
      <c r="O15" s="19">
        <v>1</v>
      </c>
      <c r="P15" s="1">
        <v>0</v>
      </c>
      <c r="Q15" s="24">
        <v>0</v>
      </c>
      <c r="R15" s="1">
        <v>0</v>
      </c>
      <c r="S15" s="125">
        <v>0</v>
      </c>
      <c r="T15" s="125">
        <v>0</v>
      </c>
      <c r="U15" s="24">
        <v>30</v>
      </c>
      <c r="V15" s="90">
        <v>0</v>
      </c>
      <c r="W15" s="90">
        <v>0</v>
      </c>
      <c r="X15" s="90">
        <v>0</v>
      </c>
      <c r="Y15" s="24">
        <v>2</v>
      </c>
      <c r="Z15" s="24">
        <v>0.35</v>
      </c>
      <c r="AA15" s="90">
        <v>0</v>
      </c>
      <c r="AB15" s="90">
        <v>0</v>
      </c>
    </row>
    <row r="16" spans="1:28" hidden="1" x14ac:dyDescent="0.25">
      <c r="A16" s="158" t="s">
        <v>209</v>
      </c>
      <c r="B16" s="24">
        <v>2</v>
      </c>
      <c r="D16" s="27">
        <v>38687</v>
      </c>
      <c r="E16" s="104">
        <v>3414</v>
      </c>
      <c r="F16" s="25">
        <v>41803</v>
      </c>
      <c r="G16" s="25">
        <v>42101</v>
      </c>
      <c r="H16" s="104">
        <v>3116</v>
      </c>
      <c r="I16" s="19">
        <v>298</v>
      </c>
      <c r="J16" s="19" t="s">
        <v>65</v>
      </c>
      <c r="K16" s="4">
        <v>5</v>
      </c>
      <c r="L16" s="19">
        <v>0</v>
      </c>
      <c r="M16" s="19">
        <v>0</v>
      </c>
      <c r="N16" s="19">
        <v>1</v>
      </c>
      <c r="O16" s="19">
        <v>1</v>
      </c>
      <c r="P16" s="1">
        <v>0</v>
      </c>
      <c r="Q16" s="4">
        <v>0</v>
      </c>
      <c r="R16" s="1">
        <v>0</v>
      </c>
      <c r="S16" s="125">
        <v>0</v>
      </c>
      <c r="T16" s="125">
        <v>0</v>
      </c>
      <c r="U16" s="24">
        <v>30</v>
      </c>
      <c r="V16" s="24">
        <v>0</v>
      </c>
      <c r="W16" s="24">
        <v>0</v>
      </c>
      <c r="X16" s="24">
        <v>0</v>
      </c>
      <c r="Y16" s="24">
        <v>2</v>
      </c>
      <c r="Z16" s="24">
        <v>0.35</v>
      </c>
      <c r="AA16" s="90">
        <v>0</v>
      </c>
      <c r="AB16" s="90">
        <v>0</v>
      </c>
    </row>
    <row r="17" spans="1:28" hidden="1" x14ac:dyDescent="0.25">
      <c r="A17" s="158" t="s">
        <v>209</v>
      </c>
      <c r="B17" s="24">
        <v>2</v>
      </c>
      <c r="D17" s="27">
        <v>38687</v>
      </c>
      <c r="E17" s="104">
        <v>3414</v>
      </c>
      <c r="F17" s="25">
        <v>41870</v>
      </c>
      <c r="G17" s="25">
        <v>42101</v>
      </c>
      <c r="H17" s="104">
        <v>3183</v>
      </c>
      <c r="I17" s="19">
        <v>231</v>
      </c>
      <c r="J17" s="19" t="s">
        <v>65</v>
      </c>
      <c r="K17" s="4">
        <v>4.88</v>
      </c>
      <c r="L17" s="19">
        <v>0</v>
      </c>
      <c r="M17" s="19">
        <v>0</v>
      </c>
      <c r="N17" s="19">
        <v>1</v>
      </c>
      <c r="O17" s="19">
        <v>1</v>
      </c>
      <c r="P17" s="1">
        <v>0</v>
      </c>
      <c r="Q17" s="4">
        <v>0</v>
      </c>
      <c r="R17" s="1">
        <v>0</v>
      </c>
      <c r="S17" s="125">
        <v>0</v>
      </c>
      <c r="T17" s="125">
        <v>0</v>
      </c>
      <c r="U17" s="24">
        <v>30</v>
      </c>
      <c r="V17" s="24">
        <v>0</v>
      </c>
      <c r="W17" s="24">
        <v>0</v>
      </c>
      <c r="X17" s="24">
        <v>0</v>
      </c>
      <c r="Y17" s="24">
        <v>2</v>
      </c>
      <c r="Z17" s="24">
        <v>0.35</v>
      </c>
      <c r="AA17" s="90">
        <v>0</v>
      </c>
      <c r="AB17" s="90">
        <v>0</v>
      </c>
    </row>
    <row r="18" spans="1:28" x14ac:dyDescent="0.25">
      <c r="A18" s="158" t="s">
        <v>209</v>
      </c>
      <c r="B18" s="24">
        <v>2</v>
      </c>
      <c r="D18" s="27">
        <v>38687</v>
      </c>
      <c r="E18" s="104">
        <v>3414</v>
      </c>
      <c r="F18" s="89">
        <v>41968</v>
      </c>
      <c r="G18" s="25">
        <v>42101</v>
      </c>
      <c r="H18" s="104">
        <v>3281</v>
      </c>
      <c r="I18" s="19">
        <v>133</v>
      </c>
      <c r="J18" s="19" t="s">
        <v>65</v>
      </c>
      <c r="K18" s="92">
        <v>4.6900000000000004</v>
      </c>
      <c r="L18" s="19">
        <v>0</v>
      </c>
      <c r="M18" s="19">
        <v>0</v>
      </c>
      <c r="N18" s="19">
        <v>0</v>
      </c>
      <c r="O18" s="19">
        <v>1</v>
      </c>
      <c r="P18" s="82">
        <v>0</v>
      </c>
      <c r="Q18" s="92">
        <v>0</v>
      </c>
      <c r="R18" s="82">
        <v>0</v>
      </c>
      <c r="S18" s="126">
        <v>0</v>
      </c>
      <c r="T18" s="126">
        <v>1</v>
      </c>
      <c r="U18" s="83">
        <v>30</v>
      </c>
      <c r="V18" s="83">
        <v>0</v>
      </c>
      <c r="W18" s="83">
        <v>0</v>
      </c>
      <c r="X18" s="83">
        <v>0</v>
      </c>
      <c r="Y18" s="83">
        <v>2</v>
      </c>
      <c r="Z18" s="83">
        <v>0.35</v>
      </c>
      <c r="AA18" s="90">
        <v>0</v>
      </c>
      <c r="AB18" s="90">
        <v>0</v>
      </c>
    </row>
    <row r="19" spans="1:28" x14ac:dyDescent="0.25">
      <c r="A19" s="158" t="s">
        <v>209</v>
      </c>
      <c r="B19" s="24">
        <v>2</v>
      </c>
      <c r="D19" s="27">
        <v>38687</v>
      </c>
      <c r="E19" s="104">
        <v>3414</v>
      </c>
      <c r="F19" s="89">
        <v>42101</v>
      </c>
      <c r="G19" s="89">
        <v>42101</v>
      </c>
      <c r="H19" s="104">
        <v>3414</v>
      </c>
      <c r="I19" s="19">
        <v>0</v>
      </c>
      <c r="J19" s="19" t="s">
        <v>65</v>
      </c>
      <c r="K19" s="92">
        <v>4.4800000000000004</v>
      </c>
      <c r="L19" s="19">
        <v>0</v>
      </c>
      <c r="M19" s="19">
        <v>0</v>
      </c>
      <c r="N19" s="19">
        <v>0</v>
      </c>
      <c r="O19" s="19">
        <v>0</v>
      </c>
      <c r="P19" s="98">
        <v>0</v>
      </c>
      <c r="Q19" s="92">
        <v>0</v>
      </c>
      <c r="R19" s="98">
        <v>0</v>
      </c>
      <c r="S19" s="126">
        <v>0</v>
      </c>
      <c r="T19" s="126">
        <v>2</v>
      </c>
      <c r="U19" s="92">
        <v>30</v>
      </c>
      <c r="V19" s="90">
        <v>0</v>
      </c>
      <c r="W19" s="90">
        <v>0</v>
      </c>
      <c r="X19" s="90">
        <v>0</v>
      </c>
      <c r="Y19" s="83">
        <v>2</v>
      </c>
      <c r="Z19" s="83">
        <v>0.35</v>
      </c>
      <c r="AA19" s="90">
        <v>0</v>
      </c>
      <c r="AB19" s="90">
        <v>0</v>
      </c>
    </row>
    <row r="20" spans="1:28" hidden="1" x14ac:dyDescent="0.25">
      <c r="A20" s="24" t="s">
        <v>287</v>
      </c>
      <c r="B20" s="24">
        <v>2</v>
      </c>
      <c r="D20" s="27">
        <v>38730</v>
      </c>
      <c r="E20" s="104">
        <v>2012</v>
      </c>
      <c r="F20" s="25">
        <v>40113</v>
      </c>
      <c r="G20" s="27">
        <v>40742</v>
      </c>
      <c r="H20" s="104">
        <v>1383</v>
      </c>
      <c r="I20" s="19">
        <v>629</v>
      </c>
      <c r="J20" s="19" t="s">
        <v>65</v>
      </c>
      <c r="K20" s="24">
        <v>5.27</v>
      </c>
      <c r="L20" s="19">
        <v>1</v>
      </c>
      <c r="M20" s="19">
        <v>1</v>
      </c>
      <c r="N20" s="19">
        <v>1</v>
      </c>
      <c r="O20" s="19">
        <v>1</v>
      </c>
      <c r="P20" s="24">
        <v>0</v>
      </c>
      <c r="Q20" s="24">
        <v>46</v>
      </c>
      <c r="R20" s="24">
        <v>0</v>
      </c>
      <c r="S20" s="127">
        <v>0</v>
      </c>
      <c r="T20" s="127">
        <v>1</v>
      </c>
      <c r="U20" s="24">
        <v>60</v>
      </c>
      <c r="V20" s="24">
        <v>0</v>
      </c>
      <c r="W20" s="24">
        <v>2</v>
      </c>
      <c r="X20" s="24">
        <v>0.35</v>
      </c>
      <c r="Y20" s="24">
        <v>4</v>
      </c>
      <c r="Z20" s="24">
        <v>0.5</v>
      </c>
      <c r="AA20" s="24">
        <v>0</v>
      </c>
      <c r="AB20" s="24">
        <v>0</v>
      </c>
    </row>
    <row r="21" spans="1:28" hidden="1" x14ac:dyDescent="0.25">
      <c r="A21" s="163" t="s">
        <v>287</v>
      </c>
      <c r="B21" s="24">
        <v>2</v>
      </c>
      <c r="D21" s="27">
        <v>38730</v>
      </c>
      <c r="E21" s="104">
        <v>2012</v>
      </c>
      <c r="F21" s="25">
        <v>40295</v>
      </c>
      <c r="G21" s="27">
        <v>40742</v>
      </c>
      <c r="H21" s="104">
        <v>1565</v>
      </c>
      <c r="I21" s="19">
        <v>447</v>
      </c>
      <c r="J21" s="19" t="s">
        <v>65</v>
      </c>
      <c r="K21" s="4">
        <v>5.18</v>
      </c>
      <c r="L21" s="19">
        <v>0</v>
      </c>
      <c r="M21" s="19">
        <v>1</v>
      </c>
      <c r="N21" s="19">
        <v>1</v>
      </c>
      <c r="O21" s="19">
        <v>1</v>
      </c>
      <c r="P21" s="24">
        <v>0</v>
      </c>
      <c r="Q21" s="4">
        <v>13</v>
      </c>
      <c r="R21" s="98">
        <v>0</v>
      </c>
      <c r="S21" s="125">
        <v>3</v>
      </c>
      <c r="T21" s="125">
        <v>48</v>
      </c>
      <c r="U21" s="24">
        <v>60</v>
      </c>
      <c r="V21" s="24">
        <v>1</v>
      </c>
      <c r="W21" s="24">
        <v>0</v>
      </c>
      <c r="X21" s="24">
        <v>0</v>
      </c>
      <c r="Y21" s="24">
        <v>4</v>
      </c>
      <c r="Z21" s="24">
        <v>0.5</v>
      </c>
      <c r="AA21" s="24">
        <v>0</v>
      </c>
      <c r="AB21" s="24">
        <v>0</v>
      </c>
    </row>
    <row r="22" spans="1:28" x14ac:dyDescent="0.25">
      <c r="A22" s="163" t="s">
        <v>287</v>
      </c>
      <c r="B22" s="24">
        <v>2</v>
      </c>
      <c r="D22" s="27">
        <v>38730</v>
      </c>
      <c r="E22" s="104">
        <v>2012</v>
      </c>
      <c r="F22" s="25">
        <v>40638</v>
      </c>
      <c r="G22" s="27">
        <v>40742</v>
      </c>
      <c r="H22" s="104">
        <v>1908</v>
      </c>
      <c r="I22" s="19">
        <v>104</v>
      </c>
      <c r="J22" s="19" t="s">
        <v>65</v>
      </c>
      <c r="K22" s="4">
        <v>4.95</v>
      </c>
      <c r="L22" s="19">
        <v>0</v>
      </c>
      <c r="M22" s="19">
        <v>0</v>
      </c>
      <c r="N22" s="19">
        <v>0</v>
      </c>
      <c r="O22" s="19">
        <v>1</v>
      </c>
      <c r="P22" s="24">
        <v>0</v>
      </c>
      <c r="Q22" s="4">
        <v>90</v>
      </c>
      <c r="R22" s="98">
        <v>0</v>
      </c>
      <c r="S22" s="125">
        <v>4</v>
      </c>
      <c r="T22" s="125">
        <v>4</v>
      </c>
      <c r="U22" s="24">
        <v>60</v>
      </c>
      <c r="V22" s="4">
        <v>0</v>
      </c>
      <c r="W22" s="24">
        <v>0</v>
      </c>
      <c r="X22" s="24">
        <v>0</v>
      </c>
      <c r="Y22" s="4">
        <v>4.5</v>
      </c>
      <c r="Z22" s="4">
        <v>0.35</v>
      </c>
      <c r="AA22" s="24">
        <v>0</v>
      </c>
      <c r="AB22" s="24">
        <v>0</v>
      </c>
    </row>
    <row r="23" spans="1:28" x14ac:dyDescent="0.25">
      <c r="A23" s="163" t="s">
        <v>287</v>
      </c>
      <c r="B23" s="24">
        <v>2</v>
      </c>
      <c r="D23" s="27">
        <v>38730</v>
      </c>
      <c r="E23" s="104">
        <v>2012</v>
      </c>
      <c r="F23" s="89">
        <v>40736</v>
      </c>
      <c r="G23" s="88">
        <v>40742</v>
      </c>
      <c r="H23" s="104">
        <v>2006</v>
      </c>
      <c r="I23" s="19">
        <v>6</v>
      </c>
      <c r="J23" s="19" t="s">
        <v>65</v>
      </c>
      <c r="K23" s="92">
        <v>4.58</v>
      </c>
      <c r="L23" s="19">
        <v>0</v>
      </c>
      <c r="M23" s="19">
        <v>0</v>
      </c>
      <c r="N23" s="19">
        <v>0</v>
      </c>
      <c r="O23" s="19">
        <v>0</v>
      </c>
      <c r="P23" s="24">
        <v>0</v>
      </c>
      <c r="Q23" s="92">
        <v>81</v>
      </c>
      <c r="R23" s="98">
        <v>0</v>
      </c>
      <c r="S23" s="126">
        <v>0</v>
      </c>
      <c r="T23" s="126">
        <v>2</v>
      </c>
      <c r="U23" s="24">
        <v>60</v>
      </c>
      <c r="V23" s="92">
        <v>0</v>
      </c>
      <c r="W23" s="83">
        <v>0</v>
      </c>
      <c r="X23" s="83">
        <v>0</v>
      </c>
      <c r="Y23" s="92">
        <v>4.5</v>
      </c>
      <c r="Z23" s="92">
        <v>0.35</v>
      </c>
      <c r="AA23" s="83">
        <v>0</v>
      </c>
      <c r="AB23" s="83">
        <v>0</v>
      </c>
    </row>
    <row r="24" spans="1:28" x14ac:dyDescent="0.25">
      <c r="A24" s="163" t="s">
        <v>287</v>
      </c>
      <c r="B24" s="24">
        <v>2</v>
      </c>
      <c r="D24" s="27">
        <v>38730</v>
      </c>
      <c r="E24" s="104">
        <v>2012</v>
      </c>
      <c r="F24" s="89">
        <v>40742</v>
      </c>
      <c r="G24" s="88">
        <v>40742</v>
      </c>
      <c r="H24" s="104">
        <v>2012</v>
      </c>
      <c r="I24" s="19">
        <v>0</v>
      </c>
      <c r="J24" s="19" t="s">
        <v>65</v>
      </c>
      <c r="K24" s="92">
        <v>4.51</v>
      </c>
      <c r="L24" s="19">
        <v>0</v>
      </c>
      <c r="M24" s="19">
        <v>0</v>
      </c>
      <c r="N24" s="19">
        <v>0</v>
      </c>
      <c r="O24" s="19">
        <v>0</v>
      </c>
      <c r="P24" s="24">
        <v>0</v>
      </c>
      <c r="Q24" s="92">
        <v>70</v>
      </c>
      <c r="R24" s="98">
        <v>0</v>
      </c>
      <c r="S24" s="126">
        <v>0</v>
      </c>
      <c r="T24" s="126">
        <v>3</v>
      </c>
      <c r="U24" s="24">
        <v>60</v>
      </c>
      <c r="V24" s="92">
        <v>0</v>
      </c>
      <c r="W24" s="90">
        <v>0</v>
      </c>
      <c r="X24" s="90">
        <v>0</v>
      </c>
      <c r="Y24" s="92">
        <v>4.5</v>
      </c>
      <c r="Z24" s="92">
        <v>0.35</v>
      </c>
      <c r="AA24" s="90">
        <v>0</v>
      </c>
      <c r="AB24" s="90">
        <v>0</v>
      </c>
    </row>
    <row r="25" spans="1:28" hidden="1" x14ac:dyDescent="0.25">
      <c r="A25" s="4" t="s">
        <v>107</v>
      </c>
      <c r="B25" s="4">
        <v>2</v>
      </c>
      <c r="D25" s="13">
        <v>38832</v>
      </c>
      <c r="E25" s="104">
        <v>2631</v>
      </c>
      <c r="F25" s="13">
        <v>40197</v>
      </c>
      <c r="G25" s="25">
        <v>41463</v>
      </c>
      <c r="H25" s="104">
        <v>1365</v>
      </c>
      <c r="I25" s="19">
        <v>1266</v>
      </c>
      <c r="J25" s="19" t="s">
        <v>65</v>
      </c>
      <c r="K25" s="4">
        <v>5.63</v>
      </c>
      <c r="L25" s="19">
        <v>1</v>
      </c>
      <c r="M25" s="19">
        <v>1</v>
      </c>
      <c r="N25" s="19">
        <v>1</v>
      </c>
      <c r="O25" s="19">
        <v>1</v>
      </c>
      <c r="P25" s="4">
        <v>58</v>
      </c>
      <c r="Q25" s="4">
        <v>0</v>
      </c>
      <c r="R25" s="98">
        <v>0</v>
      </c>
      <c r="S25" s="125">
        <v>0</v>
      </c>
      <c r="T25" s="125">
        <v>0</v>
      </c>
      <c r="U25" s="24">
        <v>60</v>
      </c>
      <c r="V25" s="4">
        <v>0</v>
      </c>
      <c r="W25" s="4">
        <v>2.5</v>
      </c>
      <c r="X25" s="4">
        <v>0.5</v>
      </c>
      <c r="Y25" s="4">
        <v>2.5</v>
      </c>
      <c r="Z25" s="4">
        <v>0.5</v>
      </c>
      <c r="AA25" s="90">
        <v>0</v>
      </c>
      <c r="AB25" s="90">
        <v>0</v>
      </c>
    </row>
    <row r="26" spans="1:28" hidden="1" x14ac:dyDescent="0.25">
      <c r="A26" s="24" t="s">
        <v>107</v>
      </c>
      <c r="B26" s="24">
        <v>2</v>
      </c>
      <c r="D26" s="27">
        <v>38832</v>
      </c>
      <c r="E26" s="104">
        <v>2631</v>
      </c>
      <c r="F26" s="25">
        <v>40197</v>
      </c>
      <c r="G26" s="25">
        <v>41463</v>
      </c>
      <c r="H26" s="104">
        <v>1365</v>
      </c>
      <c r="I26" s="19">
        <v>1266</v>
      </c>
      <c r="J26" s="19" t="s">
        <v>65</v>
      </c>
      <c r="K26" s="4">
        <v>5.63</v>
      </c>
      <c r="L26" s="19">
        <v>1</v>
      </c>
      <c r="M26" s="19">
        <v>1</v>
      </c>
      <c r="N26" s="19">
        <v>1</v>
      </c>
      <c r="O26" s="19">
        <v>1</v>
      </c>
      <c r="P26" s="4">
        <v>58</v>
      </c>
      <c r="Q26" s="4">
        <v>0</v>
      </c>
      <c r="R26" s="98">
        <v>0</v>
      </c>
      <c r="S26" s="127">
        <v>0</v>
      </c>
      <c r="T26" s="127">
        <v>0</v>
      </c>
      <c r="U26" s="24">
        <v>60</v>
      </c>
      <c r="V26" s="4">
        <v>0</v>
      </c>
      <c r="W26" s="4">
        <v>2.5</v>
      </c>
      <c r="X26" s="4">
        <v>0.5</v>
      </c>
      <c r="Y26" s="4">
        <v>2.5</v>
      </c>
      <c r="Z26" s="4">
        <v>0.5</v>
      </c>
      <c r="AA26" s="24">
        <v>0</v>
      </c>
      <c r="AB26" s="24">
        <v>0</v>
      </c>
    </row>
    <row r="27" spans="1:28" hidden="1" x14ac:dyDescent="0.25">
      <c r="A27" s="4" t="s">
        <v>107</v>
      </c>
      <c r="B27" s="4">
        <v>2</v>
      </c>
      <c r="D27" s="13">
        <v>38832</v>
      </c>
      <c r="E27" s="104">
        <v>2631</v>
      </c>
      <c r="F27" s="13">
        <v>40652</v>
      </c>
      <c r="G27" s="25">
        <v>41463</v>
      </c>
      <c r="H27" s="104">
        <v>1820</v>
      </c>
      <c r="I27" s="19">
        <v>811</v>
      </c>
      <c r="J27" s="19" t="s">
        <v>65</v>
      </c>
      <c r="K27" s="4">
        <v>5.18</v>
      </c>
      <c r="L27" s="19">
        <v>1</v>
      </c>
      <c r="M27" s="19">
        <v>1</v>
      </c>
      <c r="N27" s="19">
        <v>1</v>
      </c>
      <c r="O27" s="19">
        <v>1</v>
      </c>
      <c r="P27" s="4">
        <v>63</v>
      </c>
      <c r="Q27" s="4">
        <v>0</v>
      </c>
      <c r="R27" s="98">
        <v>0</v>
      </c>
      <c r="S27" s="128">
        <v>0</v>
      </c>
      <c r="T27" s="128">
        <v>0</v>
      </c>
      <c r="U27" s="24">
        <v>60</v>
      </c>
      <c r="V27" s="4">
        <v>0</v>
      </c>
      <c r="W27" s="4">
        <v>2.5</v>
      </c>
      <c r="X27" s="4">
        <v>0.5</v>
      </c>
      <c r="Y27" s="4">
        <v>2.5</v>
      </c>
      <c r="Z27" s="4">
        <v>0.5</v>
      </c>
      <c r="AA27" s="24">
        <v>0</v>
      </c>
      <c r="AB27" s="24">
        <v>0</v>
      </c>
    </row>
    <row r="28" spans="1:28" hidden="1" x14ac:dyDescent="0.25">
      <c r="A28" s="24" t="s">
        <v>107</v>
      </c>
      <c r="B28" s="24">
        <v>2</v>
      </c>
      <c r="D28" s="27">
        <v>38832</v>
      </c>
      <c r="E28" s="104">
        <v>2631</v>
      </c>
      <c r="F28" s="25">
        <v>40652</v>
      </c>
      <c r="G28" s="25">
        <v>41463</v>
      </c>
      <c r="H28" s="104">
        <v>1820</v>
      </c>
      <c r="I28" s="19">
        <v>811</v>
      </c>
      <c r="J28" s="19" t="s">
        <v>65</v>
      </c>
      <c r="K28" s="4">
        <v>5.18</v>
      </c>
      <c r="L28" s="19">
        <v>1</v>
      </c>
      <c r="M28" s="19">
        <v>1</v>
      </c>
      <c r="N28" s="19">
        <v>1</v>
      </c>
      <c r="O28" s="19">
        <v>1</v>
      </c>
      <c r="P28" s="4">
        <v>63</v>
      </c>
      <c r="Q28" s="4">
        <v>0</v>
      </c>
      <c r="R28" s="98">
        <v>0</v>
      </c>
      <c r="S28" s="127">
        <v>0</v>
      </c>
      <c r="T28" s="127">
        <v>0</v>
      </c>
      <c r="U28" s="24">
        <v>60</v>
      </c>
      <c r="V28" s="4">
        <v>0</v>
      </c>
      <c r="W28" s="4">
        <v>2.5</v>
      </c>
      <c r="X28" s="4">
        <v>0.5</v>
      </c>
      <c r="Y28" s="4">
        <v>2.5</v>
      </c>
      <c r="Z28" s="4">
        <v>0.5</v>
      </c>
      <c r="AA28" s="24">
        <v>0</v>
      </c>
      <c r="AB28" s="24">
        <v>0</v>
      </c>
    </row>
    <row r="29" spans="1:28" hidden="1" x14ac:dyDescent="0.25">
      <c r="A29" s="4" t="s">
        <v>107</v>
      </c>
      <c r="B29" s="4">
        <v>2</v>
      </c>
      <c r="D29" s="13">
        <v>38832</v>
      </c>
      <c r="E29" s="104">
        <v>2631</v>
      </c>
      <c r="F29" s="13">
        <v>40862</v>
      </c>
      <c r="G29" s="25">
        <v>41463</v>
      </c>
      <c r="H29" s="104">
        <v>2030</v>
      </c>
      <c r="I29" s="19">
        <v>601</v>
      </c>
      <c r="J29" s="19" t="s">
        <v>65</v>
      </c>
      <c r="K29" s="4">
        <v>5.16</v>
      </c>
      <c r="L29" s="19">
        <v>1</v>
      </c>
      <c r="M29" s="19">
        <v>1</v>
      </c>
      <c r="N29" s="19">
        <v>1</v>
      </c>
      <c r="O29" s="19">
        <v>1</v>
      </c>
      <c r="P29" s="4">
        <v>64</v>
      </c>
      <c r="Q29" s="4">
        <v>0</v>
      </c>
      <c r="R29" s="98">
        <v>0</v>
      </c>
      <c r="S29" s="128">
        <v>0</v>
      </c>
      <c r="T29" s="128">
        <v>0</v>
      </c>
      <c r="U29" s="24">
        <v>60</v>
      </c>
      <c r="V29" s="4">
        <v>0</v>
      </c>
      <c r="W29" s="4">
        <v>2.5</v>
      </c>
      <c r="X29" s="4">
        <v>0.5</v>
      </c>
      <c r="Y29" s="4">
        <v>2.5</v>
      </c>
      <c r="Z29" s="4">
        <v>0.5</v>
      </c>
      <c r="AA29" s="24">
        <v>0</v>
      </c>
      <c r="AB29" s="24">
        <v>0</v>
      </c>
    </row>
    <row r="30" spans="1:28" hidden="1" x14ac:dyDescent="0.25">
      <c r="A30" s="161" t="s">
        <v>107</v>
      </c>
      <c r="B30" s="4">
        <v>2</v>
      </c>
      <c r="D30" s="13">
        <v>38832</v>
      </c>
      <c r="E30" s="104">
        <v>2631</v>
      </c>
      <c r="F30" s="13">
        <v>41051</v>
      </c>
      <c r="G30" s="25">
        <v>41463</v>
      </c>
      <c r="H30" s="104">
        <v>2219</v>
      </c>
      <c r="I30" s="19">
        <v>412</v>
      </c>
      <c r="J30" s="19" t="s">
        <v>65</v>
      </c>
      <c r="K30" s="4">
        <v>5.15</v>
      </c>
      <c r="L30" s="19">
        <v>0</v>
      </c>
      <c r="M30" s="19">
        <v>1</v>
      </c>
      <c r="N30" s="19">
        <v>1</v>
      </c>
      <c r="O30" s="19">
        <v>1</v>
      </c>
      <c r="P30" s="4">
        <v>62</v>
      </c>
      <c r="Q30" s="4">
        <v>0</v>
      </c>
      <c r="R30" s="98">
        <v>0</v>
      </c>
      <c r="S30" s="128">
        <v>0</v>
      </c>
      <c r="T30" s="128">
        <v>0</v>
      </c>
      <c r="U30" s="24">
        <v>60</v>
      </c>
      <c r="V30" s="4">
        <v>0</v>
      </c>
      <c r="W30" s="4">
        <v>2.5</v>
      </c>
      <c r="X30" s="4">
        <v>0.5</v>
      </c>
      <c r="Y30" s="4">
        <v>2.5</v>
      </c>
      <c r="Z30" s="4">
        <v>0.5</v>
      </c>
      <c r="AA30" s="24">
        <v>0</v>
      </c>
      <c r="AB30" s="24">
        <v>0</v>
      </c>
    </row>
    <row r="31" spans="1:28" hidden="1" x14ac:dyDescent="0.25">
      <c r="A31" s="161" t="s">
        <v>107</v>
      </c>
      <c r="B31" s="4">
        <v>2</v>
      </c>
      <c r="D31" s="13">
        <v>38832</v>
      </c>
      <c r="E31" s="104">
        <v>2631</v>
      </c>
      <c r="F31" s="13">
        <v>41240</v>
      </c>
      <c r="G31" s="25">
        <v>41463</v>
      </c>
      <c r="H31" s="104">
        <v>2408</v>
      </c>
      <c r="I31" s="19">
        <v>223</v>
      </c>
      <c r="J31" s="19" t="s">
        <v>65</v>
      </c>
      <c r="K31" s="4">
        <v>5.12</v>
      </c>
      <c r="L31" s="19">
        <v>0</v>
      </c>
      <c r="M31" s="19">
        <v>0</v>
      </c>
      <c r="N31" s="19">
        <v>1</v>
      </c>
      <c r="O31" s="19">
        <v>1</v>
      </c>
      <c r="P31" s="4">
        <v>64</v>
      </c>
      <c r="Q31" s="4">
        <v>0</v>
      </c>
      <c r="R31" s="98">
        <v>0</v>
      </c>
      <c r="S31" s="128">
        <v>0</v>
      </c>
      <c r="T31" s="128">
        <v>0</v>
      </c>
      <c r="U31" s="24">
        <v>60</v>
      </c>
      <c r="V31" s="4">
        <v>0</v>
      </c>
      <c r="W31" s="4">
        <v>2</v>
      </c>
      <c r="X31" s="4">
        <v>0.5</v>
      </c>
      <c r="Y31" s="4">
        <v>2</v>
      </c>
      <c r="Z31" s="4">
        <v>0.5</v>
      </c>
      <c r="AA31" s="24">
        <v>0</v>
      </c>
      <c r="AB31" s="24">
        <v>0</v>
      </c>
    </row>
    <row r="32" spans="1:28" x14ac:dyDescent="0.25">
      <c r="A32" s="161" t="s">
        <v>107</v>
      </c>
      <c r="B32" s="4">
        <v>2</v>
      </c>
      <c r="D32" s="13">
        <v>38832</v>
      </c>
      <c r="E32" s="104">
        <v>2631</v>
      </c>
      <c r="F32" s="25">
        <v>41394</v>
      </c>
      <c r="G32" s="25">
        <v>41463</v>
      </c>
      <c r="H32" s="104">
        <v>2562</v>
      </c>
      <c r="I32" s="19">
        <v>69</v>
      </c>
      <c r="J32" s="19" t="s">
        <v>65</v>
      </c>
      <c r="K32" s="4">
        <v>4.95</v>
      </c>
      <c r="L32" s="19">
        <v>0</v>
      </c>
      <c r="M32" s="19">
        <v>0</v>
      </c>
      <c r="N32" s="19">
        <v>0</v>
      </c>
      <c r="O32" s="19">
        <v>0</v>
      </c>
      <c r="P32" s="4">
        <v>57</v>
      </c>
      <c r="Q32" s="4">
        <v>0</v>
      </c>
      <c r="R32" s="98">
        <v>0</v>
      </c>
      <c r="S32" s="128">
        <v>0</v>
      </c>
      <c r="T32" s="128">
        <v>0</v>
      </c>
      <c r="U32" s="24">
        <v>60</v>
      </c>
      <c r="V32" s="4">
        <v>0</v>
      </c>
      <c r="W32" s="4">
        <v>2</v>
      </c>
      <c r="X32" s="4">
        <v>0.5</v>
      </c>
      <c r="Y32" s="4">
        <v>2</v>
      </c>
      <c r="Z32" s="4">
        <v>0.5</v>
      </c>
      <c r="AA32" s="24">
        <v>0</v>
      </c>
      <c r="AB32" s="24">
        <v>0</v>
      </c>
    </row>
    <row r="33" spans="1:28" x14ac:dyDescent="0.25">
      <c r="A33" s="161" t="s">
        <v>107</v>
      </c>
      <c r="B33" s="4">
        <v>2</v>
      </c>
      <c r="D33" s="13">
        <v>38832</v>
      </c>
      <c r="E33" s="104">
        <v>2631</v>
      </c>
      <c r="F33" s="25">
        <v>41451</v>
      </c>
      <c r="G33" s="25">
        <v>41463</v>
      </c>
      <c r="H33" s="104">
        <v>2619</v>
      </c>
      <c r="I33" s="19">
        <v>12</v>
      </c>
      <c r="J33" s="19" t="s">
        <v>65</v>
      </c>
      <c r="K33" s="4">
        <v>4.87</v>
      </c>
      <c r="L33" s="19">
        <v>0</v>
      </c>
      <c r="M33" s="19">
        <v>0</v>
      </c>
      <c r="N33" s="19">
        <v>0</v>
      </c>
      <c r="O33" s="19">
        <v>0</v>
      </c>
      <c r="P33" s="4">
        <v>60</v>
      </c>
      <c r="Q33" s="4">
        <v>0</v>
      </c>
      <c r="R33" s="98">
        <v>0</v>
      </c>
      <c r="S33" s="128">
        <v>0</v>
      </c>
      <c r="T33" s="128">
        <v>0</v>
      </c>
      <c r="U33" s="24">
        <v>60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24">
        <v>0</v>
      </c>
      <c r="AB33" s="24">
        <v>0</v>
      </c>
    </row>
    <row r="34" spans="1:28" x14ac:dyDescent="0.25">
      <c r="A34" s="162" t="s">
        <v>107</v>
      </c>
      <c r="B34" s="24">
        <v>2</v>
      </c>
      <c r="D34" s="27">
        <v>38832</v>
      </c>
      <c r="E34" s="104">
        <v>2631</v>
      </c>
      <c r="F34" s="25">
        <v>41463</v>
      </c>
      <c r="G34" s="25">
        <v>41463</v>
      </c>
      <c r="H34" s="104">
        <v>2631</v>
      </c>
      <c r="I34" s="19">
        <v>0</v>
      </c>
      <c r="J34" s="19" t="s">
        <v>65</v>
      </c>
      <c r="K34" s="4">
        <v>4.84</v>
      </c>
      <c r="L34" s="19">
        <v>0</v>
      </c>
      <c r="M34" s="19">
        <v>0</v>
      </c>
      <c r="N34" s="19">
        <v>0</v>
      </c>
      <c r="O34" s="19">
        <v>0</v>
      </c>
      <c r="P34" s="4">
        <v>60</v>
      </c>
      <c r="Q34" s="4">
        <v>0</v>
      </c>
      <c r="R34" s="98">
        <v>0</v>
      </c>
      <c r="S34" s="125">
        <v>0</v>
      </c>
      <c r="T34" s="125">
        <v>0</v>
      </c>
      <c r="U34" s="24">
        <v>60</v>
      </c>
      <c r="V34" s="4">
        <v>0</v>
      </c>
      <c r="W34" s="4">
        <v>2</v>
      </c>
      <c r="X34" s="4">
        <v>0.5</v>
      </c>
      <c r="Y34" s="4">
        <v>2</v>
      </c>
      <c r="Z34" s="4">
        <v>0.5</v>
      </c>
      <c r="AA34" s="24">
        <v>0</v>
      </c>
      <c r="AB34" s="24">
        <v>0</v>
      </c>
    </row>
    <row r="35" spans="1:28" hidden="1" x14ac:dyDescent="0.25">
      <c r="A35" s="24" t="s">
        <v>76</v>
      </c>
      <c r="B35" s="24">
        <v>2</v>
      </c>
      <c r="D35" s="27">
        <v>38790</v>
      </c>
      <c r="E35" s="104">
        <v>2647</v>
      </c>
      <c r="F35" s="25">
        <v>40113</v>
      </c>
      <c r="G35" s="27">
        <v>41437</v>
      </c>
      <c r="H35" s="104">
        <v>1323</v>
      </c>
      <c r="I35" s="19">
        <v>1324</v>
      </c>
      <c r="J35" s="19" t="s">
        <v>65</v>
      </c>
      <c r="K35" s="24">
        <v>5.9</v>
      </c>
      <c r="L35" s="19">
        <v>1</v>
      </c>
      <c r="M35" s="19">
        <v>1</v>
      </c>
      <c r="N35" s="19">
        <v>1</v>
      </c>
      <c r="O35" s="19">
        <v>1</v>
      </c>
      <c r="P35" s="24">
        <v>0</v>
      </c>
      <c r="Q35" s="24">
        <v>0</v>
      </c>
      <c r="R35" s="24">
        <v>0</v>
      </c>
      <c r="S35" s="127">
        <v>0</v>
      </c>
      <c r="T35" s="127">
        <v>0</v>
      </c>
      <c r="U35" s="24">
        <v>50</v>
      </c>
      <c r="V35" s="24">
        <v>0</v>
      </c>
      <c r="W35" s="24">
        <v>2.5</v>
      </c>
      <c r="X35" s="24">
        <v>0.5</v>
      </c>
      <c r="Y35" s="24">
        <v>2.5</v>
      </c>
      <c r="Z35" s="24">
        <v>0.5</v>
      </c>
      <c r="AA35" s="24">
        <v>0</v>
      </c>
      <c r="AB35" s="24">
        <v>0</v>
      </c>
    </row>
    <row r="36" spans="1:28" hidden="1" x14ac:dyDescent="0.25">
      <c r="A36" s="24" t="s">
        <v>76</v>
      </c>
      <c r="B36" s="24">
        <v>2</v>
      </c>
      <c r="D36" s="27">
        <v>38790</v>
      </c>
      <c r="E36" s="104">
        <v>2647</v>
      </c>
      <c r="F36" s="25">
        <v>40295</v>
      </c>
      <c r="G36" s="27">
        <v>41437</v>
      </c>
      <c r="H36" s="104">
        <v>1505</v>
      </c>
      <c r="I36" s="19">
        <v>1142</v>
      </c>
      <c r="J36" s="19" t="s">
        <v>65</v>
      </c>
      <c r="K36" s="4">
        <v>5.8</v>
      </c>
      <c r="L36" s="19">
        <v>1</v>
      </c>
      <c r="M36" s="19">
        <v>1</v>
      </c>
      <c r="N36" s="19">
        <v>1</v>
      </c>
      <c r="O36" s="19">
        <v>1</v>
      </c>
      <c r="P36" s="1"/>
      <c r="Q36" s="1"/>
      <c r="R36" s="98">
        <v>0</v>
      </c>
      <c r="S36" s="127">
        <v>0</v>
      </c>
      <c r="T36" s="127">
        <v>0</v>
      </c>
      <c r="U36" s="24">
        <v>50</v>
      </c>
      <c r="V36" s="24">
        <v>0</v>
      </c>
      <c r="W36" s="24">
        <v>2.5</v>
      </c>
      <c r="X36" s="24">
        <v>0.5</v>
      </c>
      <c r="Y36" s="24">
        <v>2.5</v>
      </c>
      <c r="Z36" s="24">
        <v>0.5</v>
      </c>
      <c r="AA36" s="24">
        <v>0</v>
      </c>
      <c r="AB36" s="24">
        <v>0</v>
      </c>
    </row>
    <row r="37" spans="1:28" hidden="1" x14ac:dyDescent="0.25">
      <c r="A37" s="24" t="s">
        <v>76</v>
      </c>
      <c r="B37" s="24">
        <v>2</v>
      </c>
      <c r="D37" s="27">
        <v>38790</v>
      </c>
      <c r="E37" s="104">
        <v>2647</v>
      </c>
      <c r="F37" s="25">
        <v>40487</v>
      </c>
      <c r="G37" s="27">
        <v>41437</v>
      </c>
      <c r="H37" s="104">
        <v>1697</v>
      </c>
      <c r="I37" s="19">
        <v>950</v>
      </c>
      <c r="J37" s="19" t="s">
        <v>65</v>
      </c>
      <c r="K37" s="4">
        <v>5.27</v>
      </c>
      <c r="L37" s="19">
        <v>1</v>
      </c>
      <c r="M37" s="19">
        <v>1</v>
      </c>
      <c r="N37" s="19">
        <v>1</v>
      </c>
      <c r="O37" s="19">
        <v>1</v>
      </c>
      <c r="P37" s="1"/>
      <c r="Q37" s="1"/>
      <c r="R37" s="98">
        <v>0</v>
      </c>
      <c r="S37" s="125">
        <v>1</v>
      </c>
      <c r="T37" s="125">
        <v>3</v>
      </c>
      <c r="U37" s="24">
        <v>50</v>
      </c>
      <c r="V37" s="24">
        <v>0</v>
      </c>
      <c r="W37" s="24">
        <v>2.5</v>
      </c>
      <c r="X37" s="24">
        <v>0.5</v>
      </c>
      <c r="Y37" s="24">
        <v>2.5</v>
      </c>
      <c r="Z37" s="24">
        <v>0.5</v>
      </c>
      <c r="AA37" s="24">
        <v>0</v>
      </c>
      <c r="AB37" s="24">
        <v>0</v>
      </c>
    </row>
    <row r="38" spans="1:28" hidden="1" x14ac:dyDescent="0.25">
      <c r="A38" s="24" t="s">
        <v>76</v>
      </c>
      <c r="B38" s="24">
        <v>2</v>
      </c>
      <c r="D38" s="27">
        <v>38790</v>
      </c>
      <c r="E38" s="104">
        <v>2647</v>
      </c>
      <c r="F38" s="25">
        <v>40494</v>
      </c>
      <c r="G38" s="27">
        <v>41437</v>
      </c>
      <c r="H38" s="104">
        <v>1704</v>
      </c>
      <c r="I38" s="19">
        <v>943</v>
      </c>
      <c r="J38" s="19" t="s">
        <v>65</v>
      </c>
      <c r="K38" s="4">
        <v>5.24</v>
      </c>
      <c r="L38" s="19">
        <v>1</v>
      </c>
      <c r="M38" s="19">
        <v>1</v>
      </c>
      <c r="N38" s="19">
        <v>1</v>
      </c>
      <c r="O38" s="19">
        <v>1</v>
      </c>
      <c r="P38" s="1"/>
      <c r="Q38" s="1"/>
      <c r="R38" s="98">
        <v>0</v>
      </c>
      <c r="S38" s="125">
        <v>0</v>
      </c>
      <c r="T38" s="125">
        <v>0</v>
      </c>
      <c r="U38" s="24">
        <v>50</v>
      </c>
      <c r="V38" s="24">
        <v>0</v>
      </c>
      <c r="W38" s="24">
        <v>2.5</v>
      </c>
      <c r="X38" s="24">
        <v>0.5</v>
      </c>
      <c r="Y38" s="24">
        <v>2.5</v>
      </c>
      <c r="Z38" s="24">
        <v>0.5</v>
      </c>
      <c r="AA38" s="24">
        <v>0</v>
      </c>
      <c r="AB38" s="24">
        <v>0</v>
      </c>
    </row>
    <row r="39" spans="1:28" hidden="1" x14ac:dyDescent="0.25">
      <c r="A39" s="4" t="s">
        <v>76</v>
      </c>
      <c r="B39" s="4">
        <v>2</v>
      </c>
      <c r="D39" s="13">
        <v>38790</v>
      </c>
      <c r="E39" s="104">
        <v>2647</v>
      </c>
      <c r="F39" s="13">
        <v>40673</v>
      </c>
      <c r="G39" s="27">
        <v>41437</v>
      </c>
      <c r="H39" s="104">
        <v>1883</v>
      </c>
      <c r="I39" s="19">
        <v>764</v>
      </c>
      <c r="J39" s="19" t="s">
        <v>65</v>
      </c>
      <c r="K39" s="4">
        <v>5.17</v>
      </c>
      <c r="L39" s="19">
        <v>1</v>
      </c>
      <c r="M39" s="19">
        <v>1</v>
      </c>
      <c r="N39" s="19">
        <v>1</v>
      </c>
      <c r="O39" s="19">
        <v>1</v>
      </c>
      <c r="P39" s="4">
        <v>0</v>
      </c>
      <c r="Q39" s="4">
        <v>0</v>
      </c>
      <c r="R39" s="98">
        <v>0</v>
      </c>
      <c r="S39" s="125">
        <v>0</v>
      </c>
      <c r="T39" s="125">
        <v>0</v>
      </c>
      <c r="U39" s="24">
        <v>50</v>
      </c>
      <c r="V39" s="4">
        <v>0</v>
      </c>
      <c r="W39" s="4">
        <v>2.5</v>
      </c>
      <c r="X39" s="4">
        <v>0.5</v>
      </c>
      <c r="Y39" s="4">
        <v>2.5</v>
      </c>
      <c r="Z39" s="4">
        <v>0.5</v>
      </c>
      <c r="AA39" s="24">
        <v>0</v>
      </c>
      <c r="AB39" s="24">
        <v>0</v>
      </c>
    </row>
    <row r="40" spans="1:28" hidden="1" x14ac:dyDescent="0.25">
      <c r="A40" s="24" t="s">
        <v>76</v>
      </c>
      <c r="B40" s="24">
        <v>2</v>
      </c>
      <c r="D40" s="27">
        <v>38790</v>
      </c>
      <c r="E40" s="104">
        <v>2647</v>
      </c>
      <c r="F40" s="25">
        <v>40710</v>
      </c>
      <c r="G40" s="27">
        <v>41437</v>
      </c>
      <c r="H40" s="104">
        <v>1920</v>
      </c>
      <c r="I40" s="19">
        <v>727</v>
      </c>
      <c r="J40" s="19" t="s">
        <v>65</v>
      </c>
      <c r="K40" s="4">
        <v>5.17</v>
      </c>
      <c r="L40" s="19">
        <v>1</v>
      </c>
      <c r="M40" s="19">
        <v>1</v>
      </c>
      <c r="N40" s="19">
        <v>1</v>
      </c>
      <c r="O40" s="19">
        <v>1</v>
      </c>
      <c r="P40" s="1"/>
      <c r="Q40" s="1"/>
      <c r="R40" s="98">
        <v>0</v>
      </c>
      <c r="S40" s="125">
        <v>5</v>
      </c>
      <c r="T40" s="125">
        <v>13</v>
      </c>
      <c r="U40" s="24">
        <v>50</v>
      </c>
      <c r="V40" s="24">
        <v>0</v>
      </c>
      <c r="W40" s="24">
        <v>2.5</v>
      </c>
      <c r="X40" s="24">
        <v>0.5</v>
      </c>
      <c r="Y40" s="24">
        <v>2.5</v>
      </c>
      <c r="Z40" s="24">
        <v>0.5</v>
      </c>
      <c r="AA40" s="24">
        <v>0</v>
      </c>
      <c r="AB40" s="24">
        <v>0</v>
      </c>
    </row>
    <row r="41" spans="1:28" hidden="1" x14ac:dyDescent="0.25">
      <c r="A41" s="4" t="s">
        <v>76</v>
      </c>
      <c r="B41" s="4">
        <v>2</v>
      </c>
      <c r="D41" s="13">
        <v>38790</v>
      </c>
      <c r="E41" s="104">
        <v>2647</v>
      </c>
      <c r="F41" s="13">
        <v>40813</v>
      </c>
      <c r="G41" s="27">
        <v>41437</v>
      </c>
      <c r="H41" s="104">
        <v>2023</v>
      </c>
      <c r="I41" s="19">
        <v>624</v>
      </c>
      <c r="J41" s="19" t="s">
        <v>65</v>
      </c>
      <c r="K41" s="4">
        <v>5.15</v>
      </c>
      <c r="L41" s="19">
        <v>1</v>
      </c>
      <c r="M41" s="19">
        <v>1</v>
      </c>
      <c r="N41" s="19">
        <v>1</v>
      </c>
      <c r="O41" s="19">
        <v>1</v>
      </c>
      <c r="P41" s="4">
        <v>5</v>
      </c>
      <c r="Q41" s="4">
        <v>0</v>
      </c>
      <c r="R41" s="98">
        <v>0</v>
      </c>
      <c r="S41" s="125">
        <v>0</v>
      </c>
      <c r="T41" s="125">
        <v>0</v>
      </c>
      <c r="U41" s="24">
        <v>50</v>
      </c>
      <c r="V41" s="4">
        <v>0</v>
      </c>
      <c r="W41" s="4">
        <v>2.5</v>
      </c>
      <c r="X41" s="4">
        <v>0.5</v>
      </c>
      <c r="Y41" s="4">
        <v>2.5</v>
      </c>
      <c r="Z41" s="4">
        <v>0.5</v>
      </c>
      <c r="AA41" s="24">
        <v>0</v>
      </c>
      <c r="AB41" s="24">
        <v>0</v>
      </c>
    </row>
    <row r="42" spans="1:28" hidden="1" x14ac:dyDescent="0.25">
      <c r="A42" s="4" t="s">
        <v>76</v>
      </c>
      <c r="B42" s="4">
        <v>2</v>
      </c>
      <c r="D42" s="13">
        <v>38790</v>
      </c>
      <c r="E42" s="104">
        <v>2647</v>
      </c>
      <c r="F42" s="13">
        <v>40897</v>
      </c>
      <c r="G42" s="27">
        <v>41437</v>
      </c>
      <c r="H42" s="104">
        <v>2107</v>
      </c>
      <c r="I42" s="19">
        <v>540</v>
      </c>
      <c r="J42" s="19" t="s">
        <v>65</v>
      </c>
      <c r="K42" s="4">
        <v>5.15</v>
      </c>
      <c r="L42" s="19">
        <v>0</v>
      </c>
      <c r="M42" s="19">
        <v>1</v>
      </c>
      <c r="N42" s="19">
        <v>1</v>
      </c>
      <c r="O42" s="19">
        <v>1</v>
      </c>
      <c r="P42" s="4">
        <v>1</v>
      </c>
      <c r="Q42" s="4">
        <v>0</v>
      </c>
      <c r="R42" s="98">
        <v>0</v>
      </c>
      <c r="S42" s="125">
        <v>0</v>
      </c>
      <c r="T42" s="125">
        <v>0</v>
      </c>
      <c r="U42" s="24">
        <v>50</v>
      </c>
      <c r="V42" s="4">
        <v>0</v>
      </c>
      <c r="W42" s="4">
        <v>2.5</v>
      </c>
      <c r="X42" s="4">
        <v>0.5</v>
      </c>
      <c r="Y42" s="4">
        <v>2.5</v>
      </c>
      <c r="Z42" s="4">
        <v>0.5</v>
      </c>
      <c r="AA42" s="24">
        <v>0</v>
      </c>
      <c r="AB42" s="24">
        <v>0</v>
      </c>
    </row>
    <row r="43" spans="1:28" hidden="1" x14ac:dyDescent="0.25">
      <c r="A43" s="4" t="s">
        <v>76</v>
      </c>
      <c r="B43" s="4">
        <v>2</v>
      </c>
      <c r="D43" s="13">
        <v>38790</v>
      </c>
      <c r="E43" s="104">
        <v>2647</v>
      </c>
      <c r="F43" s="13">
        <v>41023</v>
      </c>
      <c r="G43" s="27">
        <v>41437</v>
      </c>
      <c r="H43" s="104">
        <v>2233</v>
      </c>
      <c r="I43" s="19">
        <v>414</v>
      </c>
      <c r="J43" s="19" t="s">
        <v>65</v>
      </c>
      <c r="K43" s="4">
        <v>5.14</v>
      </c>
      <c r="L43" s="19">
        <v>0</v>
      </c>
      <c r="M43" s="19">
        <v>1</v>
      </c>
      <c r="N43" s="19">
        <v>1</v>
      </c>
      <c r="O43" s="19">
        <v>1</v>
      </c>
      <c r="P43" s="4">
        <v>42</v>
      </c>
      <c r="Q43" s="4">
        <v>0</v>
      </c>
      <c r="R43" s="98">
        <v>0</v>
      </c>
      <c r="S43" s="128">
        <v>0</v>
      </c>
      <c r="T43" s="128">
        <v>0</v>
      </c>
      <c r="U43" s="24">
        <v>50</v>
      </c>
      <c r="V43" s="4">
        <v>0</v>
      </c>
      <c r="W43" s="4">
        <v>2.5</v>
      </c>
      <c r="X43" s="4">
        <v>0.5</v>
      </c>
      <c r="Y43" s="4">
        <v>2.5</v>
      </c>
      <c r="Z43" s="4">
        <v>0.5</v>
      </c>
      <c r="AA43" s="24">
        <v>0</v>
      </c>
      <c r="AB43" s="24">
        <v>0</v>
      </c>
    </row>
    <row r="44" spans="1:28" hidden="1" x14ac:dyDescent="0.25">
      <c r="A44" s="24" t="s">
        <v>76</v>
      </c>
      <c r="B44" s="24">
        <v>2</v>
      </c>
      <c r="D44" s="27">
        <v>38790</v>
      </c>
      <c r="E44" s="104">
        <v>2647</v>
      </c>
      <c r="F44" s="25">
        <v>41074</v>
      </c>
      <c r="G44" s="27">
        <v>41437</v>
      </c>
      <c r="H44" s="104">
        <v>2284</v>
      </c>
      <c r="I44" s="19">
        <v>363</v>
      </c>
      <c r="J44" s="19" t="s">
        <v>65</v>
      </c>
      <c r="K44" s="4">
        <v>5.14</v>
      </c>
      <c r="L44" s="19">
        <v>0</v>
      </c>
      <c r="M44" s="19">
        <v>1</v>
      </c>
      <c r="N44" s="19">
        <v>1</v>
      </c>
      <c r="O44" s="19">
        <v>1</v>
      </c>
      <c r="P44" s="1"/>
      <c r="Q44" s="1"/>
      <c r="R44" s="98">
        <v>0</v>
      </c>
      <c r="S44" s="125">
        <v>2</v>
      </c>
      <c r="T44" s="125">
        <v>4</v>
      </c>
      <c r="U44" s="24">
        <v>60</v>
      </c>
      <c r="V44" s="24">
        <v>0</v>
      </c>
      <c r="W44" s="24">
        <v>2.5</v>
      </c>
      <c r="X44" s="24">
        <v>0.5</v>
      </c>
      <c r="Y44" s="24">
        <v>2.5</v>
      </c>
      <c r="Z44" s="24">
        <v>0.5</v>
      </c>
      <c r="AA44" s="24">
        <v>0</v>
      </c>
      <c r="AB44" s="24">
        <v>0</v>
      </c>
    </row>
    <row r="45" spans="1:28" hidden="1" x14ac:dyDescent="0.25">
      <c r="A45" s="4" t="s">
        <v>76</v>
      </c>
      <c r="B45" s="4">
        <v>2</v>
      </c>
      <c r="D45" s="13">
        <v>38790</v>
      </c>
      <c r="E45" s="104">
        <v>2647</v>
      </c>
      <c r="F45" s="13">
        <v>41086</v>
      </c>
      <c r="G45" s="27">
        <v>41437</v>
      </c>
      <c r="H45" s="104">
        <v>2296</v>
      </c>
      <c r="I45" s="19">
        <v>351</v>
      </c>
      <c r="J45" s="19" t="s">
        <v>65</v>
      </c>
      <c r="K45" s="4">
        <v>5.14</v>
      </c>
      <c r="L45" s="19">
        <v>0</v>
      </c>
      <c r="M45" s="19">
        <v>0</v>
      </c>
      <c r="N45" s="19">
        <v>1</v>
      </c>
      <c r="O45" s="19">
        <v>1</v>
      </c>
      <c r="P45" s="4">
        <v>65</v>
      </c>
      <c r="Q45" s="4">
        <v>0</v>
      </c>
      <c r="R45" s="98">
        <v>0</v>
      </c>
      <c r="S45" s="128">
        <v>0</v>
      </c>
      <c r="T45" s="128">
        <v>0</v>
      </c>
      <c r="U45" s="24">
        <v>60</v>
      </c>
      <c r="V45" s="4">
        <v>0</v>
      </c>
      <c r="W45" s="4">
        <v>2.5</v>
      </c>
      <c r="X45" s="4">
        <v>0.5</v>
      </c>
      <c r="Y45" s="4">
        <v>2.5</v>
      </c>
      <c r="Z45" s="4">
        <v>0.5</v>
      </c>
      <c r="AA45" s="24">
        <v>0</v>
      </c>
      <c r="AB45" s="24">
        <v>0</v>
      </c>
    </row>
    <row r="46" spans="1:28" hidden="1" x14ac:dyDescent="0.25">
      <c r="A46" s="4" t="s">
        <v>76</v>
      </c>
      <c r="B46" s="4">
        <v>2</v>
      </c>
      <c r="D46" s="13">
        <v>38790</v>
      </c>
      <c r="E46" s="104">
        <v>2647</v>
      </c>
      <c r="F46" s="13">
        <v>41163</v>
      </c>
      <c r="G46" s="27">
        <v>41437</v>
      </c>
      <c r="H46" s="104">
        <v>2373</v>
      </c>
      <c r="I46" s="19">
        <v>274</v>
      </c>
      <c r="J46" s="19" t="s">
        <v>65</v>
      </c>
      <c r="K46" s="4">
        <v>5.13</v>
      </c>
      <c r="L46" s="19">
        <v>0</v>
      </c>
      <c r="M46" s="19">
        <v>0</v>
      </c>
      <c r="N46" s="19">
        <v>1</v>
      </c>
      <c r="O46" s="19">
        <v>1</v>
      </c>
      <c r="P46" s="4">
        <v>50</v>
      </c>
      <c r="Q46" s="1"/>
      <c r="R46" s="98">
        <v>0</v>
      </c>
      <c r="S46" s="128">
        <v>0</v>
      </c>
      <c r="T46" s="128">
        <v>0</v>
      </c>
      <c r="U46" s="24">
        <v>60</v>
      </c>
      <c r="V46" s="4">
        <v>0</v>
      </c>
      <c r="W46" s="4">
        <v>2.5</v>
      </c>
      <c r="X46" s="4">
        <v>0.5</v>
      </c>
      <c r="Y46" s="4">
        <v>2.5</v>
      </c>
      <c r="Z46" s="4">
        <v>0.5</v>
      </c>
      <c r="AA46" s="24">
        <v>0</v>
      </c>
      <c r="AB46" s="24">
        <v>0</v>
      </c>
    </row>
    <row r="47" spans="1:28" hidden="1" x14ac:dyDescent="0.25">
      <c r="A47" s="4" t="s">
        <v>76</v>
      </c>
      <c r="B47" s="4">
        <v>2</v>
      </c>
      <c r="D47" s="13">
        <v>38790</v>
      </c>
      <c r="E47" s="104">
        <v>2647</v>
      </c>
      <c r="F47" s="13">
        <v>41222</v>
      </c>
      <c r="G47" s="27">
        <v>41437</v>
      </c>
      <c r="H47" s="104">
        <v>2432</v>
      </c>
      <c r="I47" s="19">
        <v>215</v>
      </c>
      <c r="J47" s="19" t="s">
        <v>65</v>
      </c>
      <c r="K47" s="4">
        <v>5.0999999999999996</v>
      </c>
      <c r="L47" s="19">
        <v>0</v>
      </c>
      <c r="M47" s="19">
        <v>0</v>
      </c>
      <c r="N47" s="19">
        <v>1</v>
      </c>
      <c r="O47" s="19">
        <v>1</v>
      </c>
      <c r="P47" s="4">
        <v>59</v>
      </c>
      <c r="Q47" s="1"/>
      <c r="R47" s="98">
        <v>0</v>
      </c>
      <c r="S47" s="125">
        <v>1</v>
      </c>
      <c r="T47" s="125">
        <v>2</v>
      </c>
      <c r="U47" s="24">
        <v>60</v>
      </c>
      <c r="V47" s="4">
        <v>0</v>
      </c>
      <c r="W47" s="4">
        <v>2.5</v>
      </c>
      <c r="X47" s="4">
        <v>0.5</v>
      </c>
      <c r="Y47" s="4">
        <v>2.5</v>
      </c>
      <c r="Z47" s="4">
        <v>0.5</v>
      </c>
      <c r="AA47" s="24">
        <v>0</v>
      </c>
      <c r="AB47" s="24">
        <v>0</v>
      </c>
    </row>
    <row r="48" spans="1:28" x14ac:dyDescent="0.25">
      <c r="A48" s="4" t="s">
        <v>76</v>
      </c>
      <c r="B48" s="4">
        <v>2</v>
      </c>
      <c r="D48" s="13">
        <v>38790</v>
      </c>
      <c r="E48" s="104">
        <v>2647</v>
      </c>
      <c r="F48" s="27">
        <v>41268</v>
      </c>
      <c r="G48" s="27">
        <v>41437</v>
      </c>
      <c r="H48" s="104">
        <v>2478</v>
      </c>
      <c r="I48" s="19">
        <v>169</v>
      </c>
      <c r="J48" s="19" t="s">
        <v>65</v>
      </c>
      <c r="K48" s="24">
        <v>5.0999999999999996</v>
      </c>
      <c r="L48" s="19">
        <v>0</v>
      </c>
      <c r="M48" s="19">
        <v>0</v>
      </c>
      <c r="N48" s="19">
        <v>0</v>
      </c>
      <c r="O48" s="19">
        <v>1</v>
      </c>
      <c r="P48" s="24">
        <v>59</v>
      </c>
      <c r="Q48" s="1"/>
      <c r="R48" s="98">
        <v>0</v>
      </c>
      <c r="S48" s="127">
        <v>2</v>
      </c>
      <c r="T48" s="127">
        <v>4</v>
      </c>
      <c r="U48" s="24">
        <v>60</v>
      </c>
      <c r="V48" s="4">
        <v>0</v>
      </c>
      <c r="W48" s="4">
        <v>2.5</v>
      </c>
      <c r="X48" s="4">
        <v>0.5</v>
      </c>
      <c r="Y48" s="4">
        <v>2.5</v>
      </c>
      <c r="Z48" s="4">
        <v>0.5</v>
      </c>
      <c r="AA48" s="24">
        <v>0</v>
      </c>
      <c r="AB48" s="24">
        <v>0</v>
      </c>
    </row>
    <row r="49" spans="1:28" x14ac:dyDescent="0.25">
      <c r="A49" s="4" t="s">
        <v>76</v>
      </c>
      <c r="B49" s="4">
        <v>2</v>
      </c>
      <c r="D49" s="13">
        <v>38790</v>
      </c>
      <c r="E49" s="104">
        <v>2647</v>
      </c>
      <c r="F49" s="25">
        <v>41272</v>
      </c>
      <c r="G49" s="27">
        <v>41437</v>
      </c>
      <c r="H49" s="104">
        <v>2482</v>
      </c>
      <c r="I49" s="19">
        <v>165</v>
      </c>
      <c r="J49" s="19" t="s">
        <v>65</v>
      </c>
      <c r="K49" s="4">
        <v>5.08</v>
      </c>
      <c r="L49" s="19">
        <v>0</v>
      </c>
      <c r="M49" s="19">
        <v>0</v>
      </c>
      <c r="N49" s="19">
        <v>0</v>
      </c>
      <c r="O49" s="19">
        <v>1</v>
      </c>
      <c r="P49" s="4">
        <v>73</v>
      </c>
      <c r="Q49" s="1"/>
      <c r="R49" s="98">
        <v>0</v>
      </c>
      <c r="S49" s="125">
        <v>2</v>
      </c>
      <c r="T49" s="125">
        <v>4</v>
      </c>
      <c r="U49" s="24">
        <v>60</v>
      </c>
      <c r="V49" s="4">
        <v>0</v>
      </c>
      <c r="W49" s="4">
        <v>2.5</v>
      </c>
      <c r="X49" s="4">
        <v>0.5</v>
      </c>
      <c r="Y49" s="4">
        <v>2.5</v>
      </c>
      <c r="Z49" s="4">
        <v>0.5</v>
      </c>
      <c r="AA49" s="24">
        <v>0</v>
      </c>
      <c r="AB49" s="24">
        <v>0</v>
      </c>
    </row>
    <row r="50" spans="1:28" x14ac:dyDescent="0.25">
      <c r="A50" s="24" t="s">
        <v>76</v>
      </c>
      <c r="B50" s="24">
        <v>2</v>
      </c>
      <c r="D50" s="27">
        <v>38790</v>
      </c>
      <c r="E50" s="104">
        <v>2647</v>
      </c>
      <c r="F50" s="25">
        <v>41272</v>
      </c>
      <c r="G50" s="27">
        <v>41437</v>
      </c>
      <c r="H50" s="104">
        <v>2482</v>
      </c>
      <c r="I50" s="19">
        <v>165</v>
      </c>
      <c r="J50" s="19" t="s">
        <v>65</v>
      </c>
      <c r="K50" s="4">
        <v>5.08</v>
      </c>
      <c r="L50" s="19">
        <v>0</v>
      </c>
      <c r="M50" s="19">
        <v>0</v>
      </c>
      <c r="N50" s="19">
        <v>0</v>
      </c>
      <c r="O50" s="19">
        <v>1</v>
      </c>
      <c r="P50" s="1"/>
      <c r="Q50" s="1"/>
      <c r="R50" s="98">
        <v>0</v>
      </c>
      <c r="S50" s="125">
        <v>1</v>
      </c>
      <c r="T50" s="125">
        <v>9</v>
      </c>
      <c r="U50" s="24">
        <v>60</v>
      </c>
      <c r="V50" s="24">
        <v>0</v>
      </c>
      <c r="W50" s="24">
        <v>2.5</v>
      </c>
      <c r="X50" s="24">
        <v>0.5</v>
      </c>
      <c r="Y50" s="24">
        <v>2.5</v>
      </c>
      <c r="Z50" s="24">
        <v>0.5</v>
      </c>
      <c r="AA50" s="24">
        <v>0</v>
      </c>
      <c r="AB50" s="24">
        <v>0</v>
      </c>
    </row>
    <row r="51" spans="1:28" x14ac:dyDescent="0.25">
      <c r="A51" s="4" t="s">
        <v>76</v>
      </c>
      <c r="B51" s="4">
        <v>2</v>
      </c>
      <c r="D51" s="13">
        <v>38790</v>
      </c>
      <c r="E51" s="104">
        <v>2647</v>
      </c>
      <c r="F51" s="25">
        <v>41284</v>
      </c>
      <c r="G51" s="27">
        <v>41437</v>
      </c>
      <c r="H51" s="104">
        <v>2494</v>
      </c>
      <c r="I51" s="19">
        <v>153</v>
      </c>
      <c r="J51" s="19" t="s">
        <v>65</v>
      </c>
      <c r="K51" s="4">
        <v>5.05</v>
      </c>
      <c r="L51" s="19">
        <v>0</v>
      </c>
      <c r="M51" s="19">
        <v>0</v>
      </c>
      <c r="N51" s="19">
        <v>0</v>
      </c>
      <c r="O51" s="19">
        <v>1</v>
      </c>
      <c r="P51" s="4">
        <v>88</v>
      </c>
      <c r="Q51" s="1"/>
      <c r="R51" s="98">
        <v>0</v>
      </c>
      <c r="S51" s="128">
        <v>1</v>
      </c>
      <c r="T51" s="128">
        <v>10</v>
      </c>
      <c r="U51" s="24">
        <v>60</v>
      </c>
      <c r="V51" s="4">
        <v>0</v>
      </c>
      <c r="W51" s="4">
        <v>2.5</v>
      </c>
      <c r="X51" s="4">
        <v>0.5</v>
      </c>
      <c r="Y51" s="4">
        <v>2.5</v>
      </c>
      <c r="Z51" s="4">
        <v>0.5</v>
      </c>
      <c r="AA51" s="24">
        <v>0</v>
      </c>
      <c r="AB51" s="24">
        <v>0</v>
      </c>
    </row>
    <row r="52" spans="1:28" x14ac:dyDescent="0.25">
      <c r="A52" s="4" t="s">
        <v>76</v>
      </c>
      <c r="B52" s="4">
        <v>2</v>
      </c>
      <c r="D52" s="13">
        <v>38790</v>
      </c>
      <c r="E52" s="104">
        <v>2647</v>
      </c>
      <c r="F52" s="25">
        <v>41306</v>
      </c>
      <c r="G52" s="27">
        <v>41437</v>
      </c>
      <c r="H52" s="104">
        <v>2516</v>
      </c>
      <c r="I52" s="19">
        <v>131</v>
      </c>
      <c r="J52" s="19" t="s">
        <v>65</v>
      </c>
      <c r="K52" s="4">
        <v>5.03</v>
      </c>
      <c r="L52" s="19">
        <v>0</v>
      </c>
      <c r="M52" s="19">
        <v>0</v>
      </c>
      <c r="N52" s="19">
        <v>0</v>
      </c>
      <c r="O52" s="19">
        <v>1</v>
      </c>
      <c r="P52" s="4">
        <v>89</v>
      </c>
      <c r="Q52" s="1"/>
      <c r="R52" s="98">
        <v>0</v>
      </c>
      <c r="S52" s="125">
        <v>1</v>
      </c>
      <c r="T52" s="125">
        <v>10</v>
      </c>
      <c r="U52" s="24">
        <v>60</v>
      </c>
      <c r="V52" s="4">
        <v>0</v>
      </c>
      <c r="W52" s="4">
        <v>2.5</v>
      </c>
      <c r="X52" s="4">
        <v>0.5</v>
      </c>
      <c r="Y52" s="4">
        <v>2.5</v>
      </c>
      <c r="Z52" s="4">
        <v>0.5</v>
      </c>
      <c r="AA52" s="24">
        <v>0</v>
      </c>
      <c r="AB52" s="24">
        <v>0</v>
      </c>
    </row>
    <row r="53" spans="1:28" x14ac:dyDescent="0.25">
      <c r="A53" s="4" t="s">
        <v>76</v>
      </c>
      <c r="B53" s="4">
        <v>2</v>
      </c>
      <c r="D53" s="13" t="s">
        <v>5</v>
      </c>
      <c r="E53" s="104">
        <v>2647</v>
      </c>
      <c r="F53" s="25">
        <v>41366</v>
      </c>
      <c r="G53" s="27">
        <v>41437</v>
      </c>
      <c r="H53" s="104">
        <v>2576</v>
      </c>
      <c r="I53" s="19">
        <v>71</v>
      </c>
      <c r="J53" s="19" t="s">
        <v>65</v>
      </c>
      <c r="K53" s="4">
        <v>4.9000000000000004</v>
      </c>
      <c r="L53" s="19">
        <v>0</v>
      </c>
      <c r="M53" s="19">
        <v>0</v>
      </c>
      <c r="N53" s="19">
        <v>0</v>
      </c>
      <c r="O53" s="19">
        <v>0</v>
      </c>
      <c r="P53" s="4">
        <v>74</v>
      </c>
      <c r="Q53" s="1"/>
      <c r="R53" s="98">
        <v>0</v>
      </c>
      <c r="S53" s="128">
        <v>0</v>
      </c>
      <c r="T53" s="128">
        <v>0</v>
      </c>
      <c r="U53" s="24">
        <v>60</v>
      </c>
      <c r="V53" s="4">
        <v>0</v>
      </c>
      <c r="W53" s="4">
        <v>2.5</v>
      </c>
      <c r="X53" s="4">
        <v>0.5</v>
      </c>
      <c r="Y53" s="4">
        <v>2.5</v>
      </c>
      <c r="Z53" s="4">
        <v>0.5</v>
      </c>
      <c r="AA53" s="24">
        <v>0</v>
      </c>
      <c r="AB53" s="24">
        <v>0</v>
      </c>
    </row>
    <row r="54" spans="1:28" x14ac:dyDescent="0.25">
      <c r="A54" s="4" t="s">
        <v>76</v>
      </c>
      <c r="B54" s="4">
        <v>2</v>
      </c>
      <c r="D54" s="13">
        <v>38790</v>
      </c>
      <c r="E54" s="104">
        <v>2647</v>
      </c>
      <c r="F54" s="25">
        <v>41428</v>
      </c>
      <c r="G54" s="27">
        <v>41437</v>
      </c>
      <c r="H54" s="104">
        <v>2638</v>
      </c>
      <c r="I54" s="19">
        <v>9</v>
      </c>
      <c r="J54" s="19" t="s">
        <v>65</v>
      </c>
      <c r="K54" s="4">
        <v>4.7699999999999996</v>
      </c>
      <c r="L54" s="19">
        <v>0</v>
      </c>
      <c r="M54" s="19">
        <v>0</v>
      </c>
      <c r="N54" s="19">
        <v>0</v>
      </c>
      <c r="O54" s="19">
        <v>0</v>
      </c>
      <c r="P54" s="4">
        <v>62</v>
      </c>
      <c r="Q54" s="1"/>
      <c r="R54" s="98">
        <v>0</v>
      </c>
      <c r="S54" s="128">
        <v>0</v>
      </c>
      <c r="T54" s="128">
        <v>0</v>
      </c>
      <c r="U54" s="24">
        <v>60</v>
      </c>
      <c r="V54" s="4">
        <v>0</v>
      </c>
      <c r="W54" s="4">
        <v>2</v>
      </c>
      <c r="X54" s="4">
        <v>0.5</v>
      </c>
      <c r="Y54" s="4">
        <v>2.5</v>
      </c>
      <c r="Z54" s="4">
        <v>0.5</v>
      </c>
      <c r="AA54" s="24">
        <v>0</v>
      </c>
      <c r="AB54" s="24">
        <v>0</v>
      </c>
    </row>
    <row r="55" spans="1:28" x14ac:dyDescent="0.25">
      <c r="A55" s="24" t="s">
        <v>76</v>
      </c>
      <c r="B55" s="24">
        <v>2</v>
      </c>
      <c r="D55" s="27">
        <v>38790</v>
      </c>
      <c r="E55" s="104">
        <v>2647</v>
      </c>
      <c r="F55" s="27">
        <v>41437</v>
      </c>
      <c r="G55" s="27">
        <v>41437</v>
      </c>
      <c r="H55" s="104">
        <v>2647</v>
      </c>
      <c r="I55" s="19">
        <v>0</v>
      </c>
      <c r="J55" s="19" t="s">
        <v>65</v>
      </c>
      <c r="K55" s="24">
        <v>4.76</v>
      </c>
      <c r="L55" s="19">
        <v>0</v>
      </c>
      <c r="M55" s="19">
        <v>0</v>
      </c>
      <c r="N55" s="19">
        <v>0</v>
      </c>
      <c r="O55" s="19">
        <v>0</v>
      </c>
      <c r="P55" s="1"/>
      <c r="Q55" s="1"/>
      <c r="R55" s="98">
        <v>0</v>
      </c>
      <c r="S55" s="129">
        <v>0</v>
      </c>
      <c r="T55" s="129">
        <v>0</v>
      </c>
      <c r="U55" s="24">
        <v>60</v>
      </c>
      <c r="V55" s="24">
        <v>0</v>
      </c>
      <c r="W55" s="24">
        <v>2.5</v>
      </c>
      <c r="X55" s="24">
        <v>0.5</v>
      </c>
      <c r="Y55" s="24">
        <v>2.5</v>
      </c>
      <c r="Z55" s="24">
        <v>0.5</v>
      </c>
      <c r="AA55" s="24">
        <v>0</v>
      </c>
      <c r="AB55" s="24">
        <v>0</v>
      </c>
    </row>
    <row r="56" spans="1:28" hidden="1" x14ac:dyDescent="0.25">
      <c r="A56" s="158" t="s">
        <v>212</v>
      </c>
      <c r="B56" s="24">
        <v>2</v>
      </c>
      <c r="D56" s="27">
        <v>38748</v>
      </c>
      <c r="E56" s="104">
        <v>2922</v>
      </c>
      <c r="F56" s="25">
        <v>41162</v>
      </c>
      <c r="G56" s="25">
        <v>41670</v>
      </c>
      <c r="H56" s="104">
        <v>2414</v>
      </c>
      <c r="I56" s="19">
        <v>508</v>
      </c>
      <c r="J56" s="19" t="s">
        <v>65</v>
      </c>
      <c r="K56" s="24">
        <v>5.15</v>
      </c>
      <c r="L56" s="19">
        <v>0</v>
      </c>
      <c r="M56" s="19">
        <v>1</v>
      </c>
      <c r="N56" s="19">
        <v>1</v>
      </c>
      <c r="O56" s="19">
        <v>1</v>
      </c>
      <c r="P56" s="24">
        <v>1</v>
      </c>
      <c r="Q56" s="24">
        <v>0</v>
      </c>
      <c r="R56" s="24">
        <v>0</v>
      </c>
      <c r="S56" s="129">
        <v>0</v>
      </c>
      <c r="T56" s="129">
        <v>1</v>
      </c>
      <c r="U56" s="24">
        <v>45</v>
      </c>
      <c r="V56" s="24">
        <v>0</v>
      </c>
      <c r="W56" s="24">
        <v>2</v>
      </c>
      <c r="X56" s="24">
        <v>0.35</v>
      </c>
      <c r="Y56" s="24">
        <v>2</v>
      </c>
      <c r="Z56" s="24">
        <v>0.35</v>
      </c>
      <c r="AA56" s="24">
        <v>0</v>
      </c>
      <c r="AB56" s="24">
        <v>0</v>
      </c>
    </row>
    <row r="57" spans="1:28" hidden="1" x14ac:dyDescent="0.25">
      <c r="A57" s="158" t="s">
        <v>212</v>
      </c>
      <c r="B57" s="24">
        <v>2</v>
      </c>
      <c r="D57" s="27">
        <v>38748</v>
      </c>
      <c r="E57" s="104">
        <v>2922</v>
      </c>
      <c r="F57" s="25">
        <v>41261</v>
      </c>
      <c r="G57" s="25">
        <v>41670</v>
      </c>
      <c r="H57" s="104">
        <v>2513</v>
      </c>
      <c r="I57" s="19">
        <v>409</v>
      </c>
      <c r="J57" s="19" t="s">
        <v>65</v>
      </c>
      <c r="K57" s="4">
        <v>5.15</v>
      </c>
      <c r="L57" s="19">
        <v>0</v>
      </c>
      <c r="M57" s="19">
        <v>1</v>
      </c>
      <c r="N57" s="19">
        <v>1</v>
      </c>
      <c r="O57" s="19">
        <v>1</v>
      </c>
      <c r="P57" s="4">
        <v>1</v>
      </c>
      <c r="Q57" s="4">
        <v>0</v>
      </c>
      <c r="R57" s="98">
        <v>0</v>
      </c>
      <c r="S57" s="129">
        <v>0</v>
      </c>
      <c r="T57" s="129">
        <v>1</v>
      </c>
      <c r="U57" s="24">
        <v>45</v>
      </c>
      <c r="V57" s="24">
        <v>0</v>
      </c>
      <c r="W57" s="24">
        <v>2</v>
      </c>
      <c r="X57" s="24">
        <v>0.35</v>
      </c>
      <c r="Y57" s="24">
        <v>2</v>
      </c>
      <c r="Z57" s="24">
        <v>0.35</v>
      </c>
      <c r="AA57" s="24">
        <v>0</v>
      </c>
      <c r="AB57" s="24">
        <v>0</v>
      </c>
    </row>
    <row r="58" spans="1:28" hidden="1" x14ac:dyDescent="0.25">
      <c r="A58" s="158" t="s">
        <v>212</v>
      </c>
      <c r="B58" s="24">
        <v>2</v>
      </c>
      <c r="D58" s="27">
        <v>38748</v>
      </c>
      <c r="E58" s="104">
        <v>2922</v>
      </c>
      <c r="F58" s="25">
        <v>41323</v>
      </c>
      <c r="G58" s="25">
        <v>41670</v>
      </c>
      <c r="H58" s="104">
        <v>2575</v>
      </c>
      <c r="I58" s="19">
        <v>347</v>
      </c>
      <c r="J58" s="19" t="s">
        <v>65</v>
      </c>
      <c r="K58" s="4">
        <v>5.13</v>
      </c>
      <c r="L58" s="19">
        <v>0</v>
      </c>
      <c r="M58" s="19">
        <v>0</v>
      </c>
      <c r="N58" s="19">
        <v>1</v>
      </c>
      <c r="O58" s="19">
        <v>1</v>
      </c>
      <c r="P58" s="4">
        <v>1</v>
      </c>
      <c r="Q58" s="4">
        <v>0</v>
      </c>
      <c r="R58" s="98">
        <v>0</v>
      </c>
      <c r="S58" s="125">
        <v>0</v>
      </c>
      <c r="T58" s="125">
        <v>0</v>
      </c>
      <c r="U58" s="24">
        <v>45</v>
      </c>
      <c r="V58" s="24">
        <v>0</v>
      </c>
      <c r="W58" s="24">
        <v>2</v>
      </c>
      <c r="X58" s="24">
        <v>0.35</v>
      </c>
      <c r="Y58" s="24">
        <v>2</v>
      </c>
      <c r="Z58" s="24">
        <v>0.35</v>
      </c>
      <c r="AA58" s="24">
        <v>0</v>
      </c>
      <c r="AB58" s="24">
        <v>0</v>
      </c>
    </row>
    <row r="59" spans="1:28" hidden="1" x14ac:dyDescent="0.25">
      <c r="A59" s="158" t="s">
        <v>212</v>
      </c>
      <c r="B59" s="24">
        <v>2</v>
      </c>
      <c r="D59" s="27">
        <v>38748</v>
      </c>
      <c r="E59" s="104">
        <v>2922</v>
      </c>
      <c r="F59" s="27">
        <v>41415</v>
      </c>
      <c r="G59" s="25">
        <v>41670</v>
      </c>
      <c r="H59" s="104">
        <v>2667</v>
      </c>
      <c r="I59" s="19">
        <v>255</v>
      </c>
      <c r="J59" s="19" t="s">
        <v>65</v>
      </c>
      <c r="K59" s="4">
        <v>5.09</v>
      </c>
      <c r="L59" s="19">
        <v>0</v>
      </c>
      <c r="M59" s="19">
        <v>0</v>
      </c>
      <c r="N59" s="19">
        <v>1</v>
      </c>
      <c r="O59" s="19">
        <v>1</v>
      </c>
      <c r="P59" s="4">
        <v>1</v>
      </c>
      <c r="Q59" s="4">
        <v>0</v>
      </c>
      <c r="R59" s="98">
        <v>0</v>
      </c>
      <c r="S59" s="125">
        <v>0</v>
      </c>
      <c r="T59" s="125">
        <v>0</v>
      </c>
      <c r="U59" s="24">
        <v>45</v>
      </c>
      <c r="V59" s="24">
        <v>0</v>
      </c>
      <c r="W59" s="24">
        <v>2</v>
      </c>
      <c r="X59" s="24">
        <v>0.35</v>
      </c>
      <c r="Y59" s="24">
        <v>2</v>
      </c>
      <c r="Z59" s="24">
        <v>0.35</v>
      </c>
      <c r="AA59" s="24">
        <v>0</v>
      </c>
      <c r="AB59" s="24">
        <v>0</v>
      </c>
    </row>
    <row r="60" spans="1:28" hidden="1" x14ac:dyDescent="0.25">
      <c r="A60" s="158" t="s">
        <v>212</v>
      </c>
      <c r="B60" s="24">
        <v>2</v>
      </c>
      <c r="D60" s="27">
        <v>38748</v>
      </c>
      <c r="E60" s="104">
        <v>2922</v>
      </c>
      <c r="F60" s="25">
        <v>41486</v>
      </c>
      <c r="G60" s="25">
        <v>41670</v>
      </c>
      <c r="H60" s="104">
        <v>2738</v>
      </c>
      <c r="I60" s="19">
        <v>184</v>
      </c>
      <c r="J60" s="19" t="s">
        <v>65</v>
      </c>
      <c r="K60" s="4">
        <v>5.05</v>
      </c>
      <c r="L60" s="19">
        <v>0</v>
      </c>
      <c r="M60" s="19">
        <v>0</v>
      </c>
      <c r="N60" s="19">
        <v>1</v>
      </c>
      <c r="O60" s="19">
        <v>1</v>
      </c>
      <c r="P60" s="4">
        <v>4</v>
      </c>
      <c r="Q60" s="4">
        <v>0</v>
      </c>
      <c r="R60" s="98">
        <v>0</v>
      </c>
      <c r="S60" s="125">
        <v>0</v>
      </c>
      <c r="T60" s="125">
        <v>0</v>
      </c>
      <c r="U60" s="24">
        <v>45</v>
      </c>
      <c r="V60" s="24">
        <v>0</v>
      </c>
      <c r="W60" s="24">
        <v>2</v>
      </c>
      <c r="X60" s="24">
        <v>0.35</v>
      </c>
      <c r="Y60" s="24">
        <v>2</v>
      </c>
      <c r="Z60" s="24">
        <v>0.35</v>
      </c>
      <c r="AA60" s="24">
        <v>0</v>
      </c>
      <c r="AB60" s="24">
        <v>0</v>
      </c>
    </row>
    <row r="61" spans="1:28" x14ac:dyDescent="0.25">
      <c r="A61" s="158" t="s">
        <v>212</v>
      </c>
      <c r="B61" s="24">
        <v>2</v>
      </c>
      <c r="D61" s="27">
        <v>38748</v>
      </c>
      <c r="E61" s="104">
        <v>2922</v>
      </c>
      <c r="F61" s="25">
        <v>41670</v>
      </c>
      <c r="G61" s="25">
        <v>41670</v>
      </c>
      <c r="H61" s="104">
        <v>2922</v>
      </c>
      <c r="I61" s="19">
        <v>0</v>
      </c>
      <c r="J61" s="19" t="s">
        <v>65</v>
      </c>
      <c r="K61" s="4">
        <v>4.79</v>
      </c>
      <c r="L61" s="19">
        <v>0</v>
      </c>
      <c r="M61" s="19">
        <v>0</v>
      </c>
      <c r="N61" s="19">
        <v>0</v>
      </c>
      <c r="O61" s="19">
        <v>0</v>
      </c>
      <c r="P61" s="4">
        <v>2</v>
      </c>
      <c r="Q61" s="4">
        <v>0</v>
      </c>
      <c r="R61" s="98">
        <v>0</v>
      </c>
      <c r="S61" s="125">
        <v>12</v>
      </c>
      <c r="T61" s="125">
        <v>0</v>
      </c>
      <c r="U61" s="24">
        <v>45</v>
      </c>
      <c r="V61" s="24">
        <v>0</v>
      </c>
      <c r="W61" s="24">
        <v>2</v>
      </c>
      <c r="X61" s="24">
        <v>0.35</v>
      </c>
      <c r="Y61" s="24">
        <v>2</v>
      </c>
      <c r="Z61" s="24">
        <v>0.35</v>
      </c>
      <c r="AA61" s="24">
        <v>0</v>
      </c>
      <c r="AB61" s="24">
        <v>0</v>
      </c>
    </row>
    <row r="62" spans="1:28" hidden="1" x14ac:dyDescent="0.25">
      <c r="A62" s="24" t="s">
        <v>339</v>
      </c>
      <c r="B62" s="24">
        <v>2</v>
      </c>
      <c r="D62" s="103">
        <v>38796</v>
      </c>
      <c r="E62" s="104">
        <v>2689</v>
      </c>
      <c r="F62" s="25">
        <v>40730</v>
      </c>
      <c r="G62" s="27">
        <v>41485</v>
      </c>
      <c r="H62" s="104">
        <v>1934</v>
      </c>
      <c r="I62" s="19">
        <v>755</v>
      </c>
      <c r="J62" s="83" t="s">
        <v>65</v>
      </c>
      <c r="K62" s="4">
        <v>5.18</v>
      </c>
      <c r="L62" s="19">
        <v>1</v>
      </c>
      <c r="M62" s="19">
        <v>1</v>
      </c>
      <c r="N62" s="19">
        <v>1</v>
      </c>
      <c r="O62" s="19">
        <v>1</v>
      </c>
      <c r="P62" s="4">
        <v>77</v>
      </c>
      <c r="Q62" s="4">
        <v>100</v>
      </c>
      <c r="R62" s="24">
        <v>0</v>
      </c>
      <c r="S62" s="127">
        <v>0</v>
      </c>
      <c r="T62" s="127">
        <v>0</v>
      </c>
      <c r="U62" s="24">
        <v>60</v>
      </c>
      <c r="V62" s="4">
        <v>0</v>
      </c>
      <c r="W62" s="4">
        <v>2.5</v>
      </c>
      <c r="X62" s="4">
        <v>0.35</v>
      </c>
      <c r="Y62" s="4">
        <v>2.5</v>
      </c>
      <c r="Z62" s="4">
        <v>0.35</v>
      </c>
      <c r="AA62" s="24">
        <v>0</v>
      </c>
      <c r="AB62" s="24">
        <v>0</v>
      </c>
    </row>
    <row r="63" spans="1:28" hidden="1" x14ac:dyDescent="0.25">
      <c r="A63" s="158" t="s">
        <v>339</v>
      </c>
      <c r="B63" s="24">
        <v>2</v>
      </c>
      <c r="D63" s="103">
        <v>38796</v>
      </c>
      <c r="E63" s="104">
        <v>2689</v>
      </c>
      <c r="F63" s="25">
        <v>40946</v>
      </c>
      <c r="G63" s="89">
        <v>41485</v>
      </c>
      <c r="H63" s="104">
        <v>2150</v>
      </c>
      <c r="I63" s="19">
        <v>539</v>
      </c>
      <c r="J63" s="83" t="s">
        <v>65</v>
      </c>
      <c r="K63" s="4">
        <v>5.16</v>
      </c>
      <c r="L63" s="19">
        <v>0</v>
      </c>
      <c r="M63" s="19">
        <v>1</v>
      </c>
      <c r="N63" s="19">
        <v>1</v>
      </c>
      <c r="O63" s="19">
        <v>1</v>
      </c>
      <c r="P63" s="4">
        <v>55</v>
      </c>
      <c r="Q63" s="4">
        <v>100</v>
      </c>
      <c r="R63" s="98">
        <v>0</v>
      </c>
      <c r="S63" s="127">
        <v>0</v>
      </c>
      <c r="T63" s="127">
        <v>0</v>
      </c>
      <c r="U63" s="24">
        <v>60</v>
      </c>
      <c r="V63" s="4">
        <v>0</v>
      </c>
      <c r="W63" s="4">
        <v>2.5</v>
      </c>
      <c r="X63" s="4">
        <v>0.35</v>
      </c>
      <c r="Y63" s="4">
        <v>2.5</v>
      </c>
      <c r="Z63" s="4">
        <v>0.35</v>
      </c>
      <c r="AA63" s="24">
        <v>0</v>
      </c>
      <c r="AB63" s="1">
        <v>0</v>
      </c>
    </row>
    <row r="64" spans="1:28" hidden="1" x14ac:dyDescent="0.25">
      <c r="A64" s="158" t="s">
        <v>339</v>
      </c>
      <c r="B64" s="24">
        <v>2</v>
      </c>
      <c r="D64" s="103">
        <v>38796</v>
      </c>
      <c r="E64" s="104">
        <v>2689</v>
      </c>
      <c r="F64" s="25">
        <v>41009</v>
      </c>
      <c r="G64" s="89">
        <v>41485</v>
      </c>
      <c r="H64" s="104">
        <v>2213</v>
      </c>
      <c r="I64" s="19">
        <v>476</v>
      </c>
      <c r="J64" s="83" t="s">
        <v>65</v>
      </c>
      <c r="K64" s="4">
        <v>5.16</v>
      </c>
      <c r="L64" s="19">
        <v>0</v>
      </c>
      <c r="M64" s="19">
        <v>1</v>
      </c>
      <c r="N64" s="19">
        <v>1</v>
      </c>
      <c r="O64" s="19">
        <v>1</v>
      </c>
      <c r="P64" s="4">
        <v>41</v>
      </c>
      <c r="Q64" s="4">
        <v>99</v>
      </c>
      <c r="R64" s="24">
        <v>0</v>
      </c>
      <c r="S64" s="127">
        <v>0</v>
      </c>
      <c r="T64" s="127">
        <v>0</v>
      </c>
      <c r="U64" s="24">
        <v>60</v>
      </c>
      <c r="V64" s="4">
        <v>0</v>
      </c>
      <c r="W64" s="4">
        <v>2.5</v>
      </c>
      <c r="X64" s="4">
        <v>0.35</v>
      </c>
      <c r="Y64" s="4">
        <v>2.5</v>
      </c>
      <c r="Z64" s="4">
        <v>0.35</v>
      </c>
      <c r="AA64" s="1">
        <v>0</v>
      </c>
      <c r="AB64" s="1">
        <v>0</v>
      </c>
    </row>
    <row r="65" spans="1:28" hidden="1" x14ac:dyDescent="0.25">
      <c r="A65" s="158" t="s">
        <v>339</v>
      </c>
      <c r="B65" s="24">
        <v>2</v>
      </c>
      <c r="D65" s="103">
        <v>38796</v>
      </c>
      <c r="E65" s="104">
        <v>2689</v>
      </c>
      <c r="F65" s="25">
        <v>41144</v>
      </c>
      <c r="G65" s="89">
        <v>41485</v>
      </c>
      <c r="H65" s="104">
        <v>2348</v>
      </c>
      <c r="I65" s="19">
        <v>341</v>
      </c>
      <c r="J65" s="83" t="s">
        <v>65</v>
      </c>
      <c r="K65" s="4">
        <v>5.12</v>
      </c>
      <c r="L65" s="19">
        <v>0</v>
      </c>
      <c r="M65" s="19">
        <v>0</v>
      </c>
      <c r="N65" s="19">
        <v>1</v>
      </c>
      <c r="O65" s="19">
        <v>1</v>
      </c>
      <c r="P65" s="4">
        <v>42</v>
      </c>
      <c r="Q65" s="4">
        <v>100</v>
      </c>
      <c r="R65" s="98">
        <v>0</v>
      </c>
      <c r="S65" s="127">
        <v>0</v>
      </c>
      <c r="T65" s="127">
        <v>0</v>
      </c>
      <c r="U65" s="24">
        <v>60</v>
      </c>
      <c r="V65" s="4">
        <v>0</v>
      </c>
      <c r="W65" s="4">
        <v>2.5</v>
      </c>
      <c r="X65" s="4">
        <v>0.35</v>
      </c>
      <c r="Y65" s="4">
        <v>2.5</v>
      </c>
      <c r="Z65" s="4">
        <v>0.35</v>
      </c>
      <c r="AA65" s="1">
        <v>0</v>
      </c>
      <c r="AB65" s="1">
        <v>0</v>
      </c>
    </row>
    <row r="66" spans="1:28" hidden="1" x14ac:dyDescent="0.25">
      <c r="A66" s="158" t="s">
        <v>339</v>
      </c>
      <c r="B66" s="24">
        <v>2</v>
      </c>
      <c r="D66" s="103">
        <v>38796</v>
      </c>
      <c r="E66" s="104">
        <v>2689</v>
      </c>
      <c r="F66" s="25">
        <v>41240</v>
      </c>
      <c r="G66" s="89">
        <v>41485</v>
      </c>
      <c r="H66" s="104">
        <v>2444</v>
      </c>
      <c r="I66" s="19">
        <v>245</v>
      </c>
      <c r="J66" s="83" t="s">
        <v>65</v>
      </c>
      <c r="K66" s="4">
        <v>5.05</v>
      </c>
      <c r="L66" s="19">
        <v>0</v>
      </c>
      <c r="M66" s="19">
        <v>0</v>
      </c>
      <c r="N66" s="19">
        <v>1</v>
      </c>
      <c r="O66" s="19">
        <v>1</v>
      </c>
      <c r="P66" s="4">
        <v>65</v>
      </c>
      <c r="Q66" s="4">
        <v>100</v>
      </c>
      <c r="R66" s="24">
        <v>0</v>
      </c>
      <c r="S66" s="127">
        <v>0</v>
      </c>
      <c r="T66" s="127">
        <v>0</v>
      </c>
      <c r="U66" s="24">
        <v>60</v>
      </c>
      <c r="V66" s="4">
        <v>0</v>
      </c>
      <c r="W66" s="4">
        <v>2.5</v>
      </c>
      <c r="X66" s="4">
        <v>0.35</v>
      </c>
      <c r="Y66" s="4">
        <v>2.5</v>
      </c>
      <c r="Z66" s="4">
        <v>0.35</v>
      </c>
      <c r="AA66" s="1">
        <v>0</v>
      </c>
      <c r="AB66" s="1">
        <v>0</v>
      </c>
    </row>
    <row r="67" spans="1:28" x14ac:dyDescent="0.25">
      <c r="A67" s="158" t="s">
        <v>339</v>
      </c>
      <c r="B67" s="24">
        <v>2</v>
      </c>
      <c r="D67" s="103">
        <v>38796</v>
      </c>
      <c r="E67" s="104">
        <v>2689</v>
      </c>
      <c r="F67" s="25">
        <v>41352</v>
      </c>
      <c r="G67" s="89">
        <v>41485</v>
      </c>
      <c r="H67" s="104">
        <v>2556</v>
      </c>
      <c r="I67" s="19">
        <v>133</v>
      </c>
      <c r="J67" s="83" t="s">
        <v>65</v>
      </c>
      <c r="K67" s="4">
        <v>4.8600000000000003</v>
      </c>
      <c r="L67" s="19">
        <v>0</v>
      </c>
      <c r="M67" s="19">
        <v>0</v>
      </c>
      <c r="N67" s="19">
        <v>0</v>
      </c>
      <c r="O67" s="19">
        <v>1</v>
      </c>
      <c r="P67" s="4">
        <v>41</v>
      </c>
      <c r="Q67" s="4">
        <v>100</v>
      </c>
      <c r="R67" s="98">
        <v>0</v>
      </c>
      <c r="S67" s="127">
        <v>0</v>
      </c>
      <c r="T67" s="127">
        <v>0</v>
      </c>
      <c r="U67" s="24">
        <v>60</v>
      </c>
      <c r="V67" s="4">
        <v>0</v>
      </c>
      <c r="W67" s="4">
        <v>2.5</v>
      </c>
      <c r="X67" s="4">
        <v>0.35</v>
      </c>
      <c r="Y67" s="4">
        <v>2.5</v>
      </c>
      <c r="Z67" s="4">
        <v>0.35</v>
      </c>
      <c r="AA67" s="1">
        <v>0</v>
      </c>
      <c r="AB67" s="1">
        <v>0</v>
      </c>
    </row>
    <row r="68" spans="1:28" x14ac:dyDescent="0.25">
      <c r="A68" s="158" t="s">
        <v>339</v>
      </c>
      <c r="B68" s="24">
        <v>2</v>
      </c>
      <c r="D68" s="103">
        <v>38796</v>
      </c>
      <c r="E68" s="104">
        <v>2689</v>
      </c>
      <c r="F68" s="89">
        <v>41485</v>
      </c>
      <c r="G68" s="89">
        <v>41485</v>
      </c>
      <c r="H68" s="104">
        <v>2689</v>
      </c>
      <c r="I68" s="19">
        <v>0</v>
      </c>
      <c r="J68" s="83" t="s">
        <v>65</v>
      </c>
      <c r="K68" s="92">
        <v>4.58</v>
      </c>
      <c r="L68" s="19">
        <v>0</v>
      </c>
      <c r="M68" s="19">
        <v>0</v>
      </c>
      <c r="N68" s="19">
        <v>0</v>
      </c>
      <c r="O68" s="19">
        <v>0</v>
      </c>
      <c r="P68" s="92">
        <v>65</v>
      </c>
      <c r="Q68" s="92">
        <v>100</v>
      </c>
      <c r="R68" s="83">
        <v>0</v>
      </c>
      <c r="S68" s="130">
        <v>0</v>
      </c>
      <c r="T68" s="130">
        <v>0</v>
      </c>
      <c r="U68" s="24">
        <v>60</v>
      </c>
      <c r="V68" s="92">
        <v>0</v>
      </c>
      <c r="W68" s="92">
        <v>2.5</v>
      </c>
      <c r="X68" s="92">
        <v>0.35</v>
      </c>
      <c r="Y68" s="92">
        <v>2.5</v>
      </c>
      <c r="Z68" s="92">
        <v>0.35</v>
      </c>
      <c r="AA68" s="82">
        <v>0</v>
      </c>
      <c r="AB68" s="82">
        <v>0</v>
      </c>
    </row>
    <row r="69" spans="1:28" hidden="1" x14ac:dyDescent="0.25">
      <c r="A69" s="4" t="s">
        <v>44</v>
      </c>
      <c r="B69" s="4">
        <v>2</v>
      </c>
      <c r="D69" s="13">
        <v>38903</v>
      </c>
      <c r="E69" s="104">
        <v>3047</v>
      </c>
      <c r="F69" s="13">
        <v>40722</v>
      </c>
      <c r="G69" s="13">
        <v>41950</v>
      </c>
      <c r="H69" s="104">
        <v>1819</v>
      </c>
      <c r="I69" s="19">
        <v>1228</v>
      </c>
      <c r="J69" s="83" t="s">
        <v>65</v>
      </c>
      <c r="K69" s="4">
        <v>4.87</v>
      </c>
      <c r="L69" s="19">
        <v>1</v>
      </c>
      <c r="M69" s="19">
        <v>1</v>
      </c>
      <c r="N69" s="19">
        <v>1</v>
      </c>
      <c r="O69" s="19">
        <v>1</v>
      </c>
      <c r="P69" s="4">
        <v>12</v>
      </c>
      <c r="Q69" s="4">
        <v>5</v>
      </c>
      <c r="R69" s="24">
        <v>0</v>
      </c>
      <c r="S69" s="125">
        <v>0</v>
      </c>
      <c r="T69" s="125">
        <v>0</v>
      </c>
      <c r="U69" s="4">
        <v>60</v>
      </c>
      <c r="V69" s="4">
        <v>0</v>
      </c>
      <c r="W69" s="4">
        <v>2.5</v>
      </c>
      <c r="X69" s="4">
        <v>0.35</v>
      </c>
      <c r="Y69" s="4">
        <v>2.5</v>
      </c>
      <c r="Z69" s="4">
        <v>0.35</v>
      </c>
      <c r="AA69" s="24">
        <v>0</v>
      </c>
      <c r="AB69" s="98">
        <v>0</v>
      </c>
    </row>
    <row r="70" spans="1:28" hidden="1" x14ac:dyDescent="0.25">
      <c r="A70" s="4" t="s">
        <v>44</v>
      </c>
      <c r="B70" s="4">
        <v>2</v>
      </c>
      <c r="D70" s="13">
        <v>38903</v>
      </c>
      <c r="E70" s="104">
        <v>3047</v>
      </c>
      <c r="F70" s="79">
        <v>40841</v>
      </c>
      <c r="G70" s="79">
        <v>41950</v>
      </c>
      <c r="H70" s="104">
        <v>1938</v>
      </c>
      <c r="I70" s="19">
        <v>1109</v>
      </c>
      <c r="J70" s="83" t="s">
        <v>65</v>
      </c>
      <c r="K70" s="92">
        <v>4.62</v>
      </c>
      <c r="L70" s="19">
        <v>1</v>
      </c>
      <c r="M70" s="19">
        <v>1</v>
      </c>
      <c r="N70" s="19">
        <v>1</v>
      </c>
      <c r="O70" s="19">
        <v>1</v>
      </c>
      <c r="P70" s="92">
        <v>19</v>
      </c>
      <c r="Q70" s="92">
        <v>12</v>
      </c>
      <c r="R70" s="98">
        <v>0</v>
      </c>
      <c r="S70" s="134">
        <v>0</v>
      </c>
      <c r="T70" s="134">
        <v>0</v>
      </c>
      <c r="U70" s="4">
        <v>60</v>
      </c>
      <c r="V70" s="92">
        <v>0</v>
      </c>
      <c r="W70" s="92">
        <v>2.5</v>
      </c>
      <c r="X70" s="92">
        <v>0.35</v>
      </c>
      <c r="Y70" s="92">
        <v>2.5</v>
      </c>
      <c r="Z70" s="92">
        <v>0.35</v>
      </c>
      <c r="AA70" s="83">
        <v>0</v>
      </c>
      <c r="AB70" s="98">
        <v>0</v>
      </c>
    </row>
    <row r="71" spans="1:28" hidden="1" x14ac:dyDescent="0.25">
      <c r="A71" s="4" t="s">
        <v>44</v>
      </c>
      <c r="B71" s="4">
        <v>2</v>
      </c>
      <c r="D71" s="13">
        <v>38903</v>
      </c>
      <c r="E71" s="104">
        <v>3047</v>
      </c>
      <c r="F71" s="13">
        <v>40981</v>
      </c>
      <c r="G71" s="13">
        <v>41950</v>
      </c>
      <c r="H71" s="104">
        <v>2078</v>
      </c>
      <c r="I71" s="19">
        <v>969</v>
      </c>
      <c r="J71" s="83" t="s">
        <v>65</v>
      </c>
      <c r="K71" s="4">
        <v>6.3</v>
      </c>
      <c r="L71" s="19">
        <v>1</v>
      </c>
      <c r="M71" s="19">
        <v>1</v>
      </c>
      <c r="N71" s="19">
        <v>1</v>
      </c>
      <c r="O71" s="19">
        <v>1</v>
      </c>
      <c r="P71" s="4">
        <v>2</v>
      </c>
      <c r="Q71" s="4">
        <v>0</v>
      </c>
      <c r="R71" s="24">
        <v>0</v>
      </c>
      <c r="S71" s="125">
        <v>1</v>
      </c>
      <c r="T71" s="125">
        <v>0</v>
      </c>
      <c r="U71" s="4">
        <v>60</v>
      </c>
      <c r="V71" s="4">
        <v>0</v>
      </c>
      <c r="W71" s="4">
        <v>3</v>
      </c>
      <c r="X71" s="4">
        <v>0.35</v>
      </c>
      <c r="Y71" s="4">
        <v>2</v>
      </c>
      <c r="Z71" s="4">
        <v>0.35</v>
      </c>
      <c r="AA71" s="90">
        <v>0</v>
      </c>
      <c r="AB71" s="98">
        <v>0</v>
      </c>
    </row>
    <row r="72" spans="1:28" hidden="1" x14ac:dyDescent="0.25">
      <c r="A72" s="4" t="s">
        <v>44</v>
      </c>
      <c r="B72" s="4">
        <v>2</v>
      </c>
      <c r="D72" s="13">
        <v>38903</v>
      </c>
      <c r="E72" s="104">
        <v>3047</v>
      </c>
      <c r="F72" s="13">
        <v>41044</v>
      </c>
      <c r="G72" s="13">
        <v>41950</v>
      </c>
      <c r="H72" s="104">
        <v>2141</v>
      </c>
      <c r="I72" s="19">
        <v>906</v>
      </c>
      <c r="J72" s="83" t="s">
        <v>65</v>
      </c>
      <c r="K72" s="4">
        <v>6.24</v>
      </c>
      <c r="L72" s="19">
        <v>1</v>
      </c>
      <c r="M72" s="19">
        <v>1</v>
      </c>
      <c r="N72" s="19">
        <v>1</v>
      </c>
      <c r="O72" s="19">
        <v>1</v>
      </c>
      <c r="P72" s="4">
        <v>1</v>
      </c>
      <c r="Q72" s="4">
        <v>0</v>
      </c>
      <c r="R72" s="98">
        <v>0</v>
      </c>
      <c r="S72" s="125">
        <v>0</v>
      </c>
      <c r="T72" s="125">
        <v>0</v>
      </c>
      <c r="U72" s="4">
        <v>60</v>
      </c>
      <c r="V72" s="4">
        <v>0</v>
      </c>
      <c r="W72" s="4">
        <v>3</v>
      </c>
      <c r="X72" s="4">
        <v>0.35</v>
      </c>
      <c r="Y72" s="4">
        <v>2</v>
      </c>
      <c r="Z72" s="4">
        <v>0.35</v>
      </c>
      <c r="AA72" s="90">
        <v>0</v>
      </c>
      <c r="AB72" s="98">
        <v>0</v>
      </c>
    </row>
    <row r="73" spans="1:28" hidden="1" x14ac:dyDescent="0.25">
      <c r="A73" s="4" t="s">
        <v>44</v>
      </c>
      <c r="B73" s="4">
        <v>2</v>
      </c>
      <c r="D73" s="13">
        <v>38903</v>
      </c>
      <c r="E73" s="104">
        <v>3047</v>
      </c>
      <c r="F73" s="13">
        <v>41233</v>
      </c>
      <c r="G73" s="13">
        <v>41950</v>
      </c>
      <c r="H73" s="104">
        <v>2330</v>
      </c>
      <c r="I73" s="19">
        <v>717</v>
      </c>
      <c r="J73" s="83" t="s">
        <v>65</v>
      </c>
      <c r="K73" s="4">
        <v>6.05</v>
      </c>
      <c r="L73" s="19">
        <v>1</v>
      </c>
      <c r="M73" s="19">
        <v>1</v>
      </c>
      <c r="N73" s="19">
        <v>1</v>
      </c>
      <c r="O73" s="19">
        <v>1</v>
      </c>
      <c r="P73" s="4">
        <v>2</v>
      </c>
      <c r="Q73" s="4">
        <v>0</v>
      </c>
      <c r="R73" s="24">
        <v>0</v>
      </c>
      <c r="S73" s="125">
        <v>0</v>
      </c>
      <c r="T73" s="125">
        <v>0</v>
      </c>
      <c r="U73" s="4">
        <v>60</v>
      </c>
      <c r="V73" s="4">
        <v>0</v>
      </c>
      <c r="W73" s="4">
        <v>3</v>
      </c>
      <c r="X73" s="4">
        <v>0.35</v>
      </c>
      <c r="Y73" s="4">
        <v>2</v>
      </c>
      <c r="Z73" s="4">
        <v>0.35</v>
      </c>
      <c r="AA73" s="90">
        <v>0</v>
      </c>
      <c r="AB73" s="98">
        <v>0</v>
      </c>
    </row>
    <row r="74" spans="1:28" hidden="1" x14ac:dyDescent="0.25">
      <c r="A74" s="4" t="s">
        <v>44</v>
      </c>
      <c r="B74" s="4">
        <v>2</v>
      </c>
      <c r="D74" s="13">
        <v>38903</v>
      </c>
      <c r="E74" s="104">
        <v>3047</v>
      </c>
      <c r="F74" s="13">
        <v>41323</v>
      </c>
      <c r="G74" s="13">
        <v>41950</v>
      </c>
      <c r="H74" s="104">
        <v>2420</v>
      </c>
      <c r="I74" s="19">
        <v>627</v>
      </c>
      <c r="J74" s="83" t="s">
        <v>65</v>
      </c>
      <c r="K74" s="4">
        <v>5.93</v>
      </c>
      <c r="L74" s="19">
        <v>1</v>
      </c>
      <c r="M74" s="19">
        <v>1</v>
      </c>
      <c r="N74" s="19">
        <v>1</v>
      </c>
      <c r="O74" s="19">
        <v>1</v>
      </c>
      <c r="P74" s="4">
        <v>2</v>
      </c>
      <c r="Q74" s="4">
        <v>0</v>
      </c>
      <c r="R74" s="98">
        <v>0</v>
      </c>
      <c r="S74" s="125">
        <v>0</v>
      </c>
      <c r="T74" s="125">
        <v>0</v>
      </c>
      <c r="U74" s="4">
        <v>60</v>
      </c>
      <c r="V74" s="4">
        <v>0</v>
      </c>
      <c r="W74" s="4">
        <v>3</v>
      </c>
      <c r="X74" s="4">
        <v>0.35</v>
      </c>
      <c r="Y74" s="4">
        <v>2</v>
      </c>
      <c r="Z74" s="4">
        <v>0.35</v>
      </c>
      <c r="AA74" s="90">
        <v>0</v>
      </c>
      <c r="AB74" s="98">
        <v>0</v>
      </c>
    </row>
    <row r="75" spans="1:28" hidden="1" x14ac:dyDescent="0.25">
      <c r="A75" s="156" t="s">
        <v>44</v>
      </c>
      <c r="B75" s="4">
        <v>2</v>
      </c>
      <c r="D75" s="13">
        <v>38903</v>
      </c>
      <c r="E75" s="104">
        <v>3047</v>
      </c>
      <c r="F75" s="13">
        <v>41520</v>
      </c>
      <c r="G75" s="13">
        <v>41950</v>
      </c>
      <c r="H75" s="104">
        <v>2617</v>
      </c>
      <c r="I75" s="19">
        <v>430</v>
      </c>
      <c r="J75" s="83" t="s">
        <v>65</v>
      </c>
      <c r="K75" s="4">
        <v>5.64</v>
      </c>
      <c r="L75" s="19">
        <v>0</v>
      </c>
      <c r="M75" s="19">
        <v>1</v>
      </c>
      <c r="N75" s="19">
        <v>1</v>
      </c>
      <c r="O75" s="19">
        <v>1</v>
      </c>
      <c r="P75" s="4">
        <v>2</v>
      </c>
      <c r="Q75" s="4">
        <v>0</v>
      </c>
      <c r="R75" s="24">
        <v>0</v>
      </c>
      <c r="S75" s="125">
        <v>0</v>
      </c>
      <c r="T75" s="125">
        <v>0</v>
      </c>
      <c r="U75" s="4">
        <v>60</v>
      </c>
      <c r="V75" s="4">
        <v>0</v>
      </c>
      <c r="W75" s="4">
        <v>3</v>
      </c>
      <c r="X75" s="4">
        <v>0.35</v>
      </c>
      <c r="Y75" s="4">
        <v>2</v>
      </c>
      <c r="Z75" s="4">
        <v>0.35</v>
      </c>
      <c r="AA75" s="90">
        <v>0</v>
      </c>
      <c r="AB75" s="98">
        <v>0</v>
      </c>
    </row>
    <row r="76" spans="1:28" x14ac:dyDescent="0.25">
      <c r="A76" s="156" t="s">
        <v>44</v>
      </c>
      <c r="B76" s="4">
        <v>2</v>
      </c>
      <c r="D76" s="13">
        <v>38903</v>
      </c>
      <c r="E76" s="104">
        <v>3047</v>
      </c>
      <c r="F76" s="23">
        <v>41772</v>
      </c>
      <c r="G76" s="13">
        <v>41950</v>
      </c>
      <c r="H76" s="104">
        <v>2869</v>
      </c>
      <c r="I76" s="19">
        <v>178</v>
      </c>
      <c r="J76" s="83" t="s">
        <v>65</v>
      </c>
      <c r="K76" s="24">
        <v>5.27</v>
      </c>
      <c r="L76" s="19">
        <v>0</v>
      </c>
      <c r="M76" s="19">
        <v>0</v>
      </c>
      <c r="N76" s="19">
        <v>0</v>
      </c>
      <c r="O76" s="19">
        <v>1</v>
      </c>
      <c r="P76" s="24">
        <v>1</v>
      </c>
      <c r="Q76" s="24">
        <v>0</v>
      </c>
      <c r="R76" s="98">
        <v>0</v>
      </c>
      <c r="S76" s="128">
        <v>0</v>
      </c>
      <c r="T76" s="128">
        <v>0</v>
      </c>
      <c r="U76" s="4">
        <v>60</v>
      </c>
      <c r="V76" s="4">
        <v>0</v>
      </c>
      <c r="W76" s="4">
        <v>3</v>
      </c>
      <c r="X76" s="4">
        <v>0.35</v>
      </c>
      <c r="Y76" s="4">
        <v>2</v>
      </c>
      <c r="Z76" s="4">
        <v>0.35</v>
      </c>
      <c r="AA76" s="4">
        <v>0</v>
      </c>
      <c r="AB76" s="98">
        <v>0</v>
      </c>
    </row>
    <row r="77" spans="1:28" x14ac:dyDescent="0.25">
      <c r="A77" s="156" t="s">
        <v>44</v>
      </c>
      <c r="B77" s="4">
        <v>2</v>
      </c>
      <c r="D77" s="13">
        <v>38903</v>
      </c>
      <c r="E77" s="104">
        <v>3047</v>
      </c>
      <c r="F77" s="13">
        <v>41950</v>
      </c>
      <c r="G77" s="13">
        <v>41950</v>
      </c>
      <c r="H77" s="104">
        <v>3047</v>
      </c>
      <c r="I77" s="19">
        <v>0</v>
      </c>
      <c r="J77" s="83" t="s">
        <v>65</v>
      </c>
      <c r="K77" s="4">
        <v>5.18</v>
      </c>
      <c r="L77" s="19">
        <v>0</v>
      </c>
      <c r="M77" s="19">
        <v>0</v>
      </c>
      <c r="N77" s="19">
        <v>0</v>
      </c>
      <c r="O77" s="19">
        <v>0</v>
      </c>
      <c r="P77" s="4">
        <v>1</v>
      </c>
      <c r="Q77" s="4">
        <v>0</v>
      </c>
      <c r="R77" s="24">
        <v>0</v>
      </c>
      <c r="S77" s="125">
        <v>0</v>
      </c>
      <c r="T77" s="125">
        <v>1</v>
      </c>
      <c r="U77" s="4">
        <v>60</v>
      </c>
      <c r="V77" s="4">
        <v>0</v>
      </c>
      <c r="W77" s="4">
        <v>3</v>
      </c>
      <c r="X77" s="4">
        <v>0.35</v>
      </c>
      <c r="Y77" s="4">
        <v>2</v>
      </c>
      <c r="Z77" s="4">
        <v>0.35</v>
      </c>
      <c r="AA77" s="90">
        <v>0</v>
      </c>
      <c r="AB77" s="98">
        <v>0</v>
      </c>
    </row>
    <row r="78" spans="1:28" hidden="1" x14ac:dyDescent="0.25">
      <c r="A78" s="24" t="s">
        <v>267</v>
      </c>
      <c r="B78" s="24">
        <v>2</v>
      </c>
      <c r="D78" s="27">
        <v>38903</v>
      </c>
      <c r="E78" s="104">
        <v>1944</v>
      </c>
      <c r="F78" s="25">
        <v>40218</v>
      </c>
      <c r="G78" s="25">
        <v>40847</v>
      </c>
      <c r="H78" s="104">
        <v>1315</v>
      </c>
      <c r="I78" s="19">
        <v>629</v>
      </c>
      <c r="J78" s="83" t="s">
        <v>65</v>
      </c>
      <c r="K78" s="24">
        <v>5.14</v>
      </c>
      <c r="L78" s="19">
        <v>1</v>
      </c>
      <c r="M78" s="19">
        <v>1</v>
      </c>
      <c r="N78" s="19">
        <v>1</v>
      </c>
      <c r="O78" s="19">
        <v>1</v>
      </c>
      <c r="P78" s="24">
        <v>11</v>
      </c>
      <c r="Q78" s="24">
        <v>9</v>
      </c>
      <c r="R78" s="24">
        <v>0</v>
      </c>
      <c r="S78" s="127">
        <v>0</v>
      </c>
      <c r="T78" s="127">
        <v>0</v>
      </c>
      <c r="U78" s="4">
        <v>60</v>
      </c>
      <c r="V78" s="24">
        <v>0</v>
      </c>
      <c r="W78" s="24">
        <v>2.5</v>
      </c>
      <c r="X78" s="24">
        <v>0.35</v>
      </c>
      <c r="Y78" s="24">
        <v>2.5</v>
      </c>
      <c r="Z78" s="24">
        <v>0.35</v>
      </c>
      <c r="AA78" s="24">
        <v>0</v>
      </c>
      <c r="AB78" s="24">
        <v>0</v>
      </c>
    </row>
    <row r="79" spans="1:28" hidden="1" x14ac:dyDescent="0.25">
      <c r="A79" s="24" t="s">
        <v>267</v>
      </c>
      <c r="B79" s="24">
        <v>2</v>
      </c>
      <c r="D79" s="27">
        <v>38903</v>
      </c>
      <c r="E79" s="104">
        <v>1944</v>
      </c>
      <c r="F79" s="25">
        <v>40659</v>
      </c>
      <c r="G79" s="25">
        <v>40847</v>
      </c>
      <c r="H79" s="104">
        <v>1756</v>
      </c>
      <c r="I79" s="19">
        <v>188</v>
      </c>
      <c r="J79" s="83" t="s">
        <v>65</v>
      </c>
      <c r="K79" s="4">
        <v>4.97</v>
      </c>
      <c r="L79" s="19">
        <v>0</v>
      </c>
      <c r="M79" s="19">
        <v>0</v>
      </c>
      <c r="N79" s="19">
        <v>1</v>
      </c>
      <c r="O79" s="19">
        <v>1</v>
      </c>
      <c r="P79" s="4">
        <v>10</v>
      </c>
      <c r="Q79" s="4">
        <v>4</v>
      </c>
      <c r="R79" s="24">
        <v>0</v>
      </c>
      <c r="S79" s="125">
        <v>0</v>
      </c>
      <c r="T79" s="125">
        <v>0</v>
      </c>
      <c r="U79" s="4">
        <v>60</v>
      </c>
      <c r="V79" s="24">
        <v>0</v>
      </c>
      <c r="W79" s="24">
        <v>2.5</v>
      </c>
      <c r="X79" s="24">
        <v>0.35</v>
      </c>
      <c r="Y79" s="24">
        <v>2.5</v>
      </c>
      <c r="Z79" s="24">
        <v>0.35</v>
      </c>
      <c r="AA79" s="24">
        <v>0</v>
      </c>
      <c r="AB79" s="98">
        <v>0</v>
      </c>
    </row>
    <row r="80" spans="1:28" x14ac:dyDescent="0.25">
      <c r="A80" s="24" t="s">
        <v>267</v>
      </c>
      <c r="B80" s="24">
        <v>2</v>
      </c>
      <c r="D80" s="27">
        <v>38903</v>
      </c>
      <c r="E80" s="104">
        <v>1944</v>
      </c>
      <c r="F80" s="89">
        <v>40847</v>
      </c>
      <c r="G80" s="89">
        <v>40847</v>
      </c>
      <c r="H80" s="104">
        <v>1944</v>
      </c>
      <c r="I80" s="19">
        <v>0</v>
      </c>
      <c r="J80" s="83" t="s">
        <v>65</v>
      </c>
      <c r="K80" s="92">
        <v>4.55</v>
      </c>
      <c r="L80" s="19">
        <v>0</v>
      </c>
      <c r="M80" s="19">
        <v>0</v>
      </c>
      <c r="N80" s="19">
        <v>0</v>
      </c>
      <c r="O80" s="19">
        <v>0</v>
      </c>
      <c r="P80" s="92">
        <v>18</v>
      </c>
      <c r="Q80" s="92">
        <v>9</v>
      </c>
      <c r="R80" s="83">
        <v>0</v>
      </c>
      <c r="S80" s="126">
        <v>0</v>
      </c>
      <c r="T80" s="126">
        <v>0</v>
      </c>
      <c r="U80" s="4">
        <v>60</v>
      </c>
      <c r="V80" s="83">
        <v>0</v>
      </c>
      <c r="W80" s="83">
        <v>2.5</v>
      </c>
      <c r="X80" s="83">
        <v>0.35</v>
      </c>
      <c r="Y80" s="83">
        <v>2.5</v>
      </c>
      <c r="Z80" s="83">
        <v>0.35</v>
      </c>
      <c r="AA80" s="83">
        <v>0</v>
      </c>
      <c r="AB80" s="98">
        <v>0</v>
      </c>
    </row>
    <row r="81" spans="1:28" hidden="1" x14ac:dyDescent="0.25">
      <c r="A81" s="24" t="s">
        <v>75</v>
      </c>
      <c r="B81" s="24">
        <v>2</v>
      </c>
      <c r="D81" s="27">
        <v>39231</v>
      </c>
      <c r="E81" s="104">
        <v>2561</v>
      </c>
      <c r="F81" s="25">
        <v>40134</v>
      </c>
      <c r="G81" s="25">
        <v>41792</v>
      </c>
      <c r="H81" s="104">
        <v>903</v>
      </c>
      <c r="I81" s="19">
        <v>1658</v>
      </c>
      <c r="J81" s="83" t="s">
        <v>65</v>
      </c>
      <c r="K81" s="24">
        <v>6.05</v>
      </c>
      <c r="L81" s="19">
        <v>1</v>
      </c>
      <c r="M81" s="19">
        <v>1</v>
      </c>
      <c r="N81" s="19">
        <v>1</v>
      </c>
      <c r="O81" s="19">
        <v>1</v>
      </c>
      <c r="P81" s="24">
        <v>8</v>
      </c>
      <c r="Q81" s="24">
        <v>0</v>
      </c>
      <c r="R81" s="24">
        <v>0</v>
      </c>
      <c r="S81" s="127">
        <v>1</v>
      </c>
      <c r="T81" s="127">
        <v>0</v>
      </c>
      <c r="U81" s="4">
        <v>60</v>
      </c>
      <c r="V81" s="24">
        <v>0</v>
      </c>
      <c r="W81" s="24">
        <v>2</v>
      </c>
      <c r="X81" s="24">
        <v>0.35</v>
      </c>
      <c r="Y81" s="24">
        <v>2.5</v>
      </c>
      <c r="Z81" s="24">
        <v>0.35</v>
      </c>
      <c r="AA81" s="24">
        <v>0</v>
      </c>
      <c r="AB81" s="24">
        <v>0</v>
      </c>
    </row>
    <row r="82" spans="1:28" hidden="1" x14ac:dyDescent="0.25">
      <c r="A82" s="24" t="s">
        <v>75</v>
      </c>
      <c r="B82" s="24">
        <v>2</v>
      </c>
      <c r="D82" s="27">
        <v>39231</v>
      </c>
      <c r="E82" s="104">
        <v>2561</v>
      </c>
      <c r="F82" s="25">
        <v>40316</v>
      </c>
      <c r="G82" s="25">
        <v>41792</v>
      </c>
      <c r="H82" s="104">
        <v>1085</v>
      </c>
      <c r="I82" s="19">
        <v>1476</v>
      </c>
      <c r="J82" s="83" t="s">
        <v>65</v>
      </c>
      <c r="K82" s="4">
        <v>5.91</v>
      </c>
      <c r="L82" s="19">
        <v>1</v>
      </c>
      <c r="M82" s="19">
        <v>1</v>
      </c>
      <c r="N82" s="19">
        <v>1</v>
      </c>
      <c r="O82" s="19">
        <v>1</v>
      </c>
      <c r="P82" s="4">
        <v>5</v>
      </c>
      <c r="Q82" s="4">
        <v>0</v>
      </c>
      <c r="R82" s="24">
        <v>0</v>
      </c>
      <c r="S82" s="125">
        <v>0</v>
      </c>
      <c r="T82" s="125">
        <v>0</v>
      </c>
      <c r="U82" s="4">
        <v>60</v>
      </c>
      <c r="V82" s="24">
        <v>0</v>
      </c>
      <c r="W82" s="24">
        <v>2</v>
      </c>
      <c r="X82" s="24">
        <v>0.35</v>
      </c>
      <c r="Y82" s="24">
        <v>2.5</v>
      </c>
      <c r="Z82" s="24">
        <v>0.35</v>
      </c>
      <c r="AA82" s="24">
        <v>0</v>
      </c>
      <c r="AB82" s="98">
        <v>0</v>
      </c>
    </row>
    <row r="83" spans="1:28" hidden="1" x14ac:dyDescent="0.25">
      <c r="A83" s="4" t="s">
        <v>75</v>
      </c>
      <c r="B83" s="4">
        <v>2</v>
      </c>
      <c r="D83" s="13">
        <v>39231</v>
      </c>
      <c r="E83" s="104">
        <v>2561</v>
      </c>
      <c r="F83" s="13">
        <v>40730</v>
      </c>
      <c r="G83" s="25">
        <v>41792</v>
      </c>
      <c r="H83" s="104">
        <v>1499</v>
      </c>
      <c r="I83" s="19">
        <v>1062</v>
      </c>
      <c r="J83" s="83" t="s">
        <v>65</v>
      </c>
      <c r="K83" s="4">
        <v>5.26</v>
      </c>
      <c r="L83" s="19">
        <v>1</v>
      </c>
      <c r="M83" s="19">
        <v>1</v>
      </c>
      <c r="N83" s="19">
        <v>1</v>
      </c>
      <c r="O83" s="19">
        <v>1</v>
      </c>
      <c r="P83" s="4">
        <v>3</v>
      </c>
      <c r="Q83" s="4">
        <v>0</v>
      </c>
      <c r="R83" s="24">
        <v>0</v>
      </c>
      <c r="S83" s="128">
        <v>0</v>
      </c>
      <c r="T83" s="128">
        <v>0</v>
      </c>
      <c r="U83" s="4">
        <v>60</v>
      </c>
      <c r="V83" s="4">
        <v>0</v>
      </c>
      <c r="W83" s="4">
        <v>2</v>
      </c>
      <c r="X83" s="4">
        <v>0.35</v>
      </c>
      <c r="Y83" s="4">
        <v>2.5</v>
      </c>
      <c r="Z83" s="4">
        <v>0.35</v>
      </c>
      <c r="AA83" s="24">
        <v>0</v>
      </c>
      <c r="AB83" s="98">
        <v>0</v>
      </c>
    </row>
    <row r="84" spans="1:28" hidden="1" x14ac:dyDescent="0.25">
      <c r="A84" s="4" t="s">
        <v>75</v>
      </c>
      <c r="B84" s="4">
        <v>2</v>
      </c>
      <c r="D84" s="13">
        <v>39231</v>
      </c>
      <c r="E84" s="104">
        <v>2561</v>
      </c>
      <c r="F84" s="13">
        <v>40940</v>
      </c>
      <c r="G84" s="25">
        <v>41792</v>
      </c>
      <c r="H84" s="104">
        <v>1709</v>
      </c>
      <c r="I84" s="19">
        <v>852</v>
      </c>
      <c r="J84" s="83" t="s">
        <v>65</v>
      </c>
      <c r="K84" s="4">
        <v>5.18</v>
      </c>
      <c r="L84" s="19">
        <v>1</v>
      </c>
      <c r="M84" s="19">
        <v>1</v>
      </c>
      <c r="N84" s="19">
        <v>1</v>
      </c>
      <c r="O84" s="19">
        <v>1</v>
      </c>
      <c r="P84" s="4">
        <v>10</v>
      </c>
      <c r="Q84" s="4">
        <v>0</v>
      </c>
      <c r="R84" s="24">
        <v>0</v>
      </c>
      <c r="S84" s="128">
        <v>0</v>
      </c>
      <c r="T84" s="128">
        <v>0</v>
      </c>
      <c r="U84" s="4">
        <v>60</v>
      </c>
      <c r="V84" s="4">
        <v>0</v>
      </c>
      <c r="W84" s="4">
        <v>2</v>
      </c>
      <c r="X84" s="4">
        <v>0.35</v>
      </c>
      <c r="Y84" s="4">
        <v>2.5</v>
      </c>
      <c r="Z84" s="4">
        <v>0.35</v>
      </c>
      <c r="AA84" s="24">
        <v>0</v>
      </c>
      <c r="AB84" s="98">
        <v>0</v>
      </c>
    </row>
    <row r="85" spans="1:28" hidden="1" x14ac:dyDescent="0.25">
      <c r="A85" s="4" t="s">
        <v>75</v>
      </c>
      <c r="B85" s="4">
        <v>2</v>
      </c>
      <c r="D85" s="13">
        <v>39231</v>
      </c>
      <c r="E85" s="104">
        <v>2561</v>
      </c>
      <c r="F85" s="13">
        <v>41121</v>
      </c>
      <c r="G85" s="25">
        <v>41792</v>
      </c>
      <c r="H85" s="104">
        <v>1890</v>
      </c>
      <c r="I85" s="19">
        <v>671</v>
      </c>
      <c r="J85" s="83" t="s">
        <v>65</v>
      </c>
      <c r="K85" s="4">
        <v>5.16</v>
      </c>
      <c r="L85" s="19">
        <v>1</v>
      </c>
      <c r="M85" s="19">
        <v>1</v>
      </c>
      <c r="N85" s="19">
        <v>1</v>
      </c>
      <c r="O85" s="19">
        <v>1</v>
      </c>
      <c r="P85" s="4">
        <v>16</v>
      </c>
      <c r="Q85" s="4">
        <v>0</v>
      </c>
      <c r="R85" s="24">
        <v>0</v>
      </c>
      <c r="S85" s="128">
        <v>0</v>
      </c>
      <c r="T85" s="128">
        <v>0</v>
      </c>
      <c r="U85" s="4">
        <v>60</v>
      </c>
      <c r="V85" s="4">
        <v>0</v>
      </c>
      <c r="W85" s="4">
        <v>2</v>
      </c>
      <c r="X85" s="4">
        <v>0.35</v>
      </c>
      <c r="Y85" s="4">
        <v>2.5</v>
      </c>
      <c r="Z85" s="4">
        <v>0.35</v>
      </c>
      <c r="AA85" s="24">
        <v>0</v>
      </c>
      <c r="AB85" s="98">
        <v>0</v>
      </c>
    </row>
    <row r="86" spans="1:28" hidden="1" x14ac:dyDescent="0.25">
      <c r="A86" s="159" t="s">
        <v>75</v>
      </c>
      <c r="B86" s="4">
        <v>2</v>
      </c>
      <c r="D86" s="13">
        <v>39231</v>
      </c>
      <c r="E86" s="104">
        <v>2561</v>
      </c>
      <c r="F86" s="13">
        <v>41324</v>
      </c>
      <c r="G86" s="25">
        <v>41792</v>
      </c>
      <c r="H86" s="104">
        <v>2093</v>
      </c>
      <c r="I86" s="19">
        <v>468</v>
      </c>
      <c r="J86" s="83" t="s">
        <v>65</v>
      </c>
      <c r="K86" s="4">
        <v>5.14</v>
      </c>
      <c r="L86" s="19">
        <v>0</v>
      </c>
      <c r="M86" s="19">
        <v>1</v>
      </c>
      <c r="N86" s="19">
        <v>1</v>
      </c>
      <c r="O86" s="19">
        <v>1</v>
      </c>
      <c r="P86" s="4">
        <v>28</v>
      </c>
      <c r="Q86" s="4">
        <v>1</v>
      </c>
      <c r="R86" s="24">
        <v>0</v>
      </c>
      <c r="S86" s="128">
        <v>1</v>
      </c>
      <c r="T86" s="128">
        <v>0</v>
      </c>
      <c r="U86" s="4">
        <v>60</v>
      </c>
      <c r="V86" s="4">
        <v>0</v>
      </c>
      <c r="W86" s="4">
        <v>2</v>
      </c>
      <c r="X86" s="4">
        <v>0.35</v>
      </c>
      <c r="Y86" s="4">
        <v>2.5</v>
      </c>
      <c r="Z86" s="4">
        <v>0.35</v>
      </c>
      <c r="AA86" s="24">
        <v>0</v>
      </c>
      <c r="AB86" s="98">
        <v>0</v>
      </c>
    </row>
    <row r="87" spans="1:28" hidden="1" x14ac:dyDescent="0.25">
      <c r="A87" s="159" t="s">
        <v>75</v>
      </c>
      <c r="B87" s="4">
        <v>2</v>
      </c>
      <c r="D87" s="13">
        <v>39231</v>
      </c>
      <c r="E87" s="104">
        <v>2561</v>
      </c>
      <c r="F87" s="13">
        <v>41422</v>
      </c>
      <c r="G87" s="25">
        <v>41792</v>
      </c>
      <c r="H87" s="104">
        <v>2191</v>
      </c>
      <c r="I87" s="19">
        <v>370</v>
      </c>
      <c r="J87" s="83" t="s">
        <v>65</v>
      </c>
      <c r="K87" s="4">
        <v>5.14</v>
      </c>
      <c r="L87" s="19">
        <v>0</v>
      </c>
      <c r="M87" s="19">
        <v>1</v>
      </c>
      <c r="N87" s="19">
        <v>1</v>
      </c>
      <c r="O87" s="19">
        <v>1</v>
      </c>
      <c r="P87" s="4">
        <v>24</v>
      </c>
      <c r="Q87" s="4">
        <v>0</v>
      </c>
      <c r="R87" s="24">
        <v>0</v>
      </c>
      <c r="S87" s="128">
        <v>0</v>
      </c>
      <c r="T87" s="128">
        <v>0</v>
      </c>
      <c r="U87" s="4">
        <v>60</v>
      </c>
      <c r="V87" s="4">
        <v>0</v>
      </c>
      <c r="W87" s="4">
        <v>2</v>
      </c>
      <c r="X87" s="4">
        <v>0.35</v>
      </c>
      <c r="Y87" s="4">
        <v>2.5</v>
      </c>
      <c r="Z87" s="4">
        <v>0.35</v>
      </c>
      <c r="AA87" s="24">
        <v>0</v>
      </c>
      <c r="AB87" s="98">
        <v>0</v>
      </c>
    </row>
    <row r="88" spans="1:28" hidden="1" x14ac:dyDescent="0.25">
      <c r="A88" s="159" t="s">
        <v>75</v>
      </c>
      <c r="B88" s="4">
        <v>2</v>
      </c>
      <c r="D88" s="13">
        <v>39231</v>
      </c>
      <c r="E88" s="104">
        <v>2561</v>
      </c>
      <c r="F88" s="13">
        <v>41499</v>
      </c>
      <c r="G88" s="25">
        <v>41792</v>
      </c>
      <c r="H88" s="104">
        <v>2268</v>
      </c>
      <c r="I88" s="19">
        <v>293</v>
      </c>
      <c r="J88" s="83" t="s">
        <v>65</v>
      </c>
      <c r="K88" s="4">
        <v>5.12</v>
      </c>
      <c r="L88" s="19">
        <v>0</v>
      </c>
      <c r="M88" s="19">
        <v>0</v>
      </c>
      <c r="N88" s="19">
        <v>1</v>
      </c>
      <c r="O88" s="19">
        <v>1</v>
      </c>
      <c r="P88" s="4">
        <v>24</v>
      </c>
      <c r="Q88" s="4">
        <v>0</v>
      </c>
      <c r="R88" s="24">
        <v>0</v>
      </c>
      <c r="S88" s="128">
        <v>0</v>
      </c>
      <c r="T88" s="128">
        <v>0</v>
      </c>
      <c r="U88" s="4">
        <v>60</v>
      </c>
      <c r="V88" s="4">
        <v>0</v>
      </c>
      <c r="W88" s="4">
        <v>2</v>
      </c>
      <c r="X88" s="4">
        <v>0.35</v>
      </c>
      <c r="Y88" s="4">
        <v>2.5</v>
      </c>
      <c r="Z88" s="4">
        <v>0.35</v>
      </c>
      <c r="AA88" s="24">
        <v>0</v>
      </c>
      <c r="AB88" s="98">
        <v>0</v>
      </c>
    </row>
    <row r="89" spans="1:28" x14ac:dyDescent="0.25">
      <c r="A89" s="159" t="s">
        <v>75</v>
      </c>
      <c r="B89" s="4">
        <v>2</v>
      </c>
      <c r="D89" s="13">
        <v>39231</v>
      </c>
      <c r="E89" s="104">
        <v>2561</v>
      </c>
      <c r="F89" s="13">
        <v>41697</v>
      </c>
      <c r="G89" s="25">
        <v>41792</v>
      </c>
      <c r="H89" s="104">
        <v>2466</v>
      </c>
      <c r="I89" s="19">
        <v>95</v>
      </c>
      <c r="J89" s="83" t="s">
        <v>65</v>
      </c>
      <c r="K89" s="4">
        <v>5.04</v>
      </c>
      <c r="L89" s="19">
        <v>0</v>
      </c>
      <c r="M89" s="19">
        <v>0</v>
      </c>
      <c r="N89" s="19">
        <v>0</v>
      </c>
      <c r="O89" s="19">
        <v>1</v>
      </c>
      <c r="P89" s="4">
        <v>25</v>
      </c>
      <c r="Q89" s="4">
        <v>2</v>
      </c>
      <c r="R89" s="24">
        <v>0</v>
      </c>
      <c r="S89" s="128">
        <v>0</v>
      </c>
      <c r="T89" s="128">
        <v>0</v>
      </c>
      <c r="U89" s="4">
        <v>60</v>
      </c>
      <c r="V89" s="4">
        <v>0</v>
      </c>
      <c r="W89" s="4">
        <v>2</v>
      </c>
      <c r="X89" s="4">
        <v>0.35</v>
      </c>
      <c r="Y89" s="4">
        <v>2.5</v>
      </c>
      <c r="Z89" s="4">
        <v>0.35</v>
      </c>
      <c r="AA89" s="24">
        <v>0</v>
      </c>
      <c r="AB89" s="98">
        <v>0</v>
      </c>
    </row>
    <row r="90" spans="1:28" x14ac:dyDescent="0.25">
      <c r="A90" s="159" t="s">
        <v>75</v>
      </c>
      <c r="B90" s="4">
        <v>2</v>
      </c>
      <c r="D90" s="13">
        <v>39231</v>
      </c>
      <c r="E90" s="104">
        <v>2561</v>
      </c>
      <c r="F90" s="27">
        <v>41750</v>
      </c>
      <c r="G90" s="25">
        <v>41792</v>
      </c>
      <c r="H90" s="104">
        <v>2519</v>
      </c>
      <c r="I90" s="19">
        <v>42</v>
      </c>
      <c r="J90" s="83" t="s">
        <v>65</v>
      </c>
      <c r="K90" s="24">
        <v>4.97</v>
      </c>
      <c r="L90" s="19">
        <v>0</v>
      </c>
      <c r="M90" s="19">
        <v>0</v>
      </c>
      <c r="N90" s="19">
        <v>0</v>
      </c>
      <c r="O90" s="19">
        <v>0</v>
      </c>
      <c r="P90" s="24">
        <v>20</v>
      </c>
      <c r="Q90" s="24">
        <v>0</v>
      </c>
      <c r="R90" s="24">
        <v>0</v>
      </c>
      <c r="S90" s="128">
        <v>0</v>
      </c>
      <c r="T90" s="128">
        <v>0</v>
      </c>
      <c r="U90" s="4">
        <v>60</v>
      </c>
      <c r="V90" s="4">
        <v>0</v>
      </c>
      <c r="W90" s="4">
        <v>2</v>
      </c>
      <c r="X90" s="4">
        <v>0.35</v>
      </c>
      <c r="Y90" s="4">
        <v>2.5</v>
      </c>
      <c r="Z90" s="4">
        <v>0.35</v>
      </c>
      <c r="AA90" s="24">
        <v>0</v>
      </c>
      <c r="AB90" s="98">
        <v>0</v>
      </c>
    </row>
    <row r="91" spans="1:28" x14ac:dyDescent="0.25">
      <c r="A91" s="159" t="s">
        <v>75</v>
      </c>
      <c r="B91" s="4">
        <v>2</v>
      </c>
      <c r="D91" s="13">
        <v>39231</v>
      </c>
      <c r="E91" s="104">
        <v>2561</v>
      </c>
      <c r="F91" s="25">
        <v>41792</v>
      </c>
      <c r="G91" s="25">
        <v>41792</v>
      </c>
      <c r="H91" s="104">
        <v>2561</v>
      </c>
      <c r="I91" s="19">
        <v>0</v>
      </c>
      <c r="J91" s="83" t="s">
        <v>65</v>
      </c>
      <c r="K91" s="4">
        <v>4.87</v>
      </c>
      <c r="L91" s="19">
        <v>0</v>
      </c>
      <c r="M91" s="19">
        <v>0</v>
      </c>
      <c r="N91" s="19">
        <v>0</v>
      </c>
      <c r="O91" s="19">
        <v>0</v>
      </c>
      <c r="P91" s="4">
        <v>19</v>
      </c>
      <c r="Q91" s="4">
        <v>0</v>
      </c>
      <c r="R91" s="24">
        <v>0</v>
      </c>
      <c r="S91" s="128">
        <v>0</v>
      </c>
      <c r="T91" s="128">
        <v>0</v>
      </c>
      <c r="U91" s="4">
        <v>60</v>
      </c>
      <c r="V91" s="4">
        <v>0</v>
      </c>
      <c r="W91" s="4">
        <v>2</v>
      </c>
      <c r="X91" s="4">
        <v>0.35</v>
      </c>
      <c r="Y91" s="4">
        <v>2.5</v>
      </c>
      <c r="Z91" s="4">
        <v>0.35</v>
      </c>
      <c r="AA91" s="24">
        <v>0</v>
      </c>
      <c r="AB91" s="98">
        <v>0</v>
      </c>
    </row>
    <row r="92" spans="1:28" hidden="1" x14ac:dyDescent="0.25">
      <c r="A92" s="24" t="s">
        <v>331</v>
      </c>
      <c r="B92" s="24">
        <v>1</v>
      </c>
      <c r="D92" s="27">
        <v>39017</v>
      </c>
      <c r="E92" s="104">
        <v>2567</v>
      </c>
      <c r="F92" s="25">
        <v>40995</v>
      </c>
      <c r="G92" s="25">
        <v>41584</v>
      </c>
      <c r="H92" s="104">
        <v>1978</v>
      </c>
      <c r="I92" s="19">
        <v>589</v>
      </c>
      <c r="J92" s="83" t="s">
        <v>65</v>
      </c>
      <c r="K92" s="4">
        <v>5.15</v>
      </c>
      <c r="L92" s="19">
        <v>1</v>
      </c>
      <c r="M92" s="19">
        <v>1</v>
      </c>
      <c r="N92" s="19">
        <v>1</v>
      </c>
      <c r="O92" s="19">
        <v>1</v>
      </c>
      <c r="P92" s="24">
        <v>0</v>
      </c>
      <c r="Q92" s="4">
        <v>43</v>
      </c>
      <c r="R92" s="24">
        <v>0</v>
      </c>
      <c r="S92" s="127">
        <v>0</v>
      </c>
      <c r="T92" s="127">
        <v>0</v>
      </c>
      <c r="U92" s="4">
        <v>60</v>
      </c>
      <c r="V92" s="4">
        <v>1</v>
      </c>
      <c r="W92" s="24">
        <v>0</v>
      </c>
      <c r="X92" s="24">
        <v>0</v>
      </c>
      <c r="Y92" s="4">
        <v>2.5</v>
      </c>
      <c r="Z92" s="4">
        <v>0.35</v>
      </c>
      <c r="AA92" s="24">
        <v>0</v>
      </c>
      <c r="AB92" s="24">
        <v>0</v>
      </c>
    </row>
    <row r="93" spans="1:28" hidden="1" x14ac:dyDescent="0.25">
      <c r="A93" s="158" t="s">
        <v>331</v>
      </c>
      <c r="B93" s="24">
        <v>1</v>
      </c>
      <c r="D93" s="27">
        <v>39017</v>
      </c>
      <c r="E93" s="104">
        <v>2567</v>
      </c>
      <c r="F93" s="25">
        <v>41184</v>
      </c>
      <c r="G93" s="25">
        <v>41584</v>
      </c>
      <c r="H93" s="104">
        <v>2167</v>
      </c>
      <c r="I93" s="19">
        <v>400</v>
      </c>
      <c r="J93" s="83" t="s">
        <v>65</v>
      </c>
      <c r="K93" s="4">
        <v>5.14</v>
      </c>
      <c r="L93" s="19">
        <v>0</v>
      </c>
      <c r="M93" s="19">
        <v>1</v>
      </c>
      <c r="N93" s="19">
        <v>1</v>
      </c>
      <c r="O93" s="19">
        <v>1</v>
      </c>
      <c r="P93" s="24">
        <v>0</v>
      </c>
      <c r="Q93" s="4">
        <v>81</v>
      </c>
      <c r="R93" s="24">
        <v>0</v>
      </c>
      <c r="S93" s="125">
        <v>0</v>
      </c>
      <c r="T93" s="125">
        <v>0</v>
      </c>
      <c r="U93" s="4">
        <v>60</v>
      </c>
      <c r="V93" s="4">
        <v>1</v>
      </c>
      <c r="W93" s="24">
        <v>0</v>
      </c>
      <c r="X93" s="24">
        <v>0</v>
      </c>
      <c r="Y93" s="4">
        <v>2.5</v>
      </c>
      <c r="Z93" s="4">
        <v>0.35</v>
      </c>
      <c r="AA93" s="24">
        <v>0</v>
      </c>
      <c r="AB93" s="98">
        <v>0</v>
      </c>
    </row>
    <row r="94" spans="1:28" hidden="1" x14ac:dyDescent="0.25">
      <c r="A94" s="158" t="s">
        <v>331</v>
      </c>
      <c r="B94" s="24">
        <v>1</v>
      </c>
      <c r="D94" s="27">
        <v>39017</v>
      </c>
      <c r="E94" s="104">
        <v>2567</v>
      </c>
      <c r="F94" s="25">
        <v>41291</v>
      </c>
      <c r="G94" s="25">
        <v>41584</v>
      </c>
      <c r="H94" s="104">
        <v>2274</v>
      </c>
      <c r="I94" s="19">
        <v>293</v>
      </c>
      <c r="J94" s="83" t="s">
        <v>65</v>
      </c>
      <c r="K94" s="4">
        <v>5.1100000000000003</v>
      </c>
      <c r="L94" s="19">
        <v>0</v>
      </c>
      <c r="M94" s="19">
        <v>0</v>
      </c>
      <c r="N94" s="19">
        <v>1</v>
      </c>
      <c r="O94" s="19">
        <v>1</v>
      </c>
      <c r="P94" s="24">
        <v>0</v>
      </c>
      <c r="Q94" s="4">
        <v>86</v>
      </c>
      <c r="R94" s="24">
        <v>0</v>
      </c>
      <c r="S94" s="127">
        <v>0</v>
      </c>
      <c r="T94" s="127">
        <v>0</v>
      </c>
      <c r="U94" s="4">
        <v>60</v>
      </c>
      <c r="V94" s="4">
        <v>1</v>
      </c>
      <c r="W94" s="24">
        <v>0</v>
      </c>
      <c r="X94" s="24">
        <v>0</v>
      </c>
      <c r="Y94" s="4">
        <v>2.5</v>
      </c>
      <c r="Z94" s="4">
        <v>0.35</v>
      </c>
      <c r="AA94" s="24">
        <v>0</v>
      </c>
      <c r="AB94" s="98">
        <v>0</v>
      </c>
    </row>
    <row r="95" spans="1:28" x14ac:dyDescent="0.25">
      <c r="A95" s="158" t="s">
        <v>331</v>
      </c>
      <c r="B95" s="24">
        <v>1</v>
      </c>
      <c r="D95" s="27">
        <v>39017</v>
      </c>
      <c r="E95" s="104">
        <v>2567</v>
      </c>
      <c r="F95" s="25">
        <v>41494</v>
      </c>
      <c r="G95" s="25">
        <v>41584</v>
      </c>
      <c r="H95" s="104">
        <v>2477</v>
      </c>
      <c r="I95" s="19">
        <v>90</v>
      </c>
      <c r="J95" s="83" t="s">
        <v>65</v>
      </c>
      <c r="K95" s="4">
        <v>5.01</v>
      </c>
      <c r="L95" s="19">
        <v>0</v>
      </c>
      <c r="M95" s="19">
        <v>0</v>
      </c>
      <c r="N95" s="19">
        <v>0</v>
      </c>
      <c r="O95" s="19">
        <v>0</v>
      </c>
      <c r="P95" s="24">
        <v>0</v>
      </c>
      <c r="Q95" s="4">
        <v>74</v>
      </c>
      <c r="R95" s="24">
        <v>0</v>
      </c>
      <c r="S95" s="127">
        <v>0</v>
      </c>
      <c r="T95" s="127">
        <v>0</v>
      </c>
      <c r="U95" s="4">
        <v>60</v>
      </c>
      <c r="V95" s="4">
        <v>1</v>
      </c>
      <c r="W95" s="24">
        <v>0</v>
      </c>
      <c r="X95" s="24">
        <v>0</v>
      </c>
      <c r="Y95" s="4">
        <v>2.5</v>
      </c>
      <c r="Z95" s="4">
        <v>0.35</v>
      </c>
      <c r="AA95" s="24">
        <v>0</v>
      </c>
      <c r="AB95" s="98">
        <v>0</v>
      </c>
    </row>
    <row r="96" spans="1:28" x14ac:dyDescent="0.25">
      <c r="A96" s="158" t="s">
        <v>331</v>
      </c>
      <c r="B96" s="24">
        <v>1</v>
      </c>
      <c r="D96" s="27">
        <v>39017</v>
      </c>
      <c r="E96" s="104">
        <v>2567</v>
      </c>
      <c r="F96" s="25">
        <v>41496</v>
      </c>
      <c r="G96" s="25">
        <v>41584</v>
      </c>
      <c r="H96" s="104">
        <v>2479</v>
      </c>
      <c r="I96" s="19">
        <v>88</v>
      </c>
      <c r="J96" s="83" t="s">
        <v>65</v>
      </c>
      <c r="K96" s="4">
        <v>5.01</v>
      </c>
      <c r="L96" s="19">
        <v>0</v>
      </c>
      <c r="M96" s="19">
        <v>0</v>
      </c>
      <c r="N96" s="19">
        <v>0</v>
      </c>
      <c r="O96" s="19">
        <v>0</v>
      </c>
      <c r="P96" s="24">
        <v>0</v>
      </c>
      <c r="Q96" s="4">
        <v>74</v>
      </c>
      <c r="R96" s="24">
        <v>0</v>
      </c>
      <c r="S96" s="131">
        <v>20</v>
      </c>
      <c r="T96" s="131">
        <v>0</v>
      </c>
      <c r="U96" s="4">
        <v>60</v>
      </c>
      <c r="V96" s="4">
        <v>1</v>
      </c>
      <c r="W96" s="24">
        <v>0</v>
      </c>
      <c r="X96" s="24">
        <v>0</v>
      </c>
      <c r="Y96" s="4">
        <v>2.5</v>
      </c>
      <c r="Z96" s="4">
        <v>0.35</v>
      </c>
      <c r="AA96" s="24">
        <v>0</v>
      </c>
      <c r="AB96" s="98">
        <v>0</v>
      </c>
    </row>
    <row r="97" spans="1:28" x14ac:dyDescent="0.25">
      <c r="A97" s="158" t="s">
        <v>331</v>
      </c>
      <c r="B97" s="24">
        <v>1</v>
      </c>
      <c r="D97" s="27">
        <v>39017</v>
      </c>
      <c r="E97" s="104">
        <v>2567</v>
      </c>
      <c r="F97" s="89">
        <v>41569</v>
      </c>
      <c r="G97" s="89">
        <v>41584</v>
      </c>
      <c r="H97" s="104">
        <v>2552</v>
      </c>
      <c r="I97" s="19">
        <v>15</v>
      </c>
      <c r="J97" s="83" t="s">
        <v>65</v>
      </c>
      <c r="K97" s="92">
        <v>4.45</v>
      </c>
      <c r="L97" s="19">
        <v>0</v>
      </c>
      <c r="M97" s="19">
        <v>0</v>
      </c>
      <c r="N97" s="19">
        <v>0</v>
      </c>
      <c r="O97" s="19">
        <v>0</v>
      </c>
      <c r="P97" s="83">
        <v>0</v>
      </c>
      <c r="Q97" s="92">
        <v>75</v>
      </c>
      <c r="R97" s="83">
        <v>0</v>
      </c>
      <c r="S97" s="132">
        <v>20</v>
      </c>
      <c r="T97" s="132">
        <v>0</v>
      </c>
      <c r="U97" s="4">
        <v>60</v>
      </c>
      <c r="V97" s="92">
        <v>1</v>
      </c>
      <c r="W97" s="83">
        <v>0</v>
      </c>
      <c r="X97" s="83">
        <v>0</v>
      </c>
      <c r="Y97" s="92">
        <v>2.5</v>
      </c>
      <c r="Z97" s="92">
        <v>0.35</v>
      </c>
      <c r="AA97" s="83">
        <v>0</v>
      </c>
      <c r="AB97" s="98">
        <v>0</v>
      </c>
    </row>
    <row r="98" spans="1:28" x14ac:dyDescent="0.25">
      <c r="A98" s="160" t="s">
        <v>331</v>
      </c>
      <c r="B98" s="83">
        <v>1</v>
      </c>
      <c r="C98" s="87"/>
      <c r="D98" s="88">
        <v>39017</v>
      </c>
      <c r="E98" s="104">
        <v>2567</v>
      </c>
      <c r="F98" s="89">
        <v>41584</v>
      </c>
      <c r="G98" s="89">
        <v>41584</v>
      </c>
      <c r="H98" s="104">
        <v>2567</v>
      </c>
      <c r="I98" s="19">
        <v>0</v>
      </c>
      <c r="J98" s="83" t="s">
        <v>65</v>
      </c>
      <c r="K98" s="92">
        <v>4.4400000000000004</v>
      </c>
      <c r="L98" s="19">
        <v>0</v>
      </c>
      <c r="M98" s="19">
        <v>0</v>
      </c>
      <c r="N98" s="19">
        <v>0</v>
      </c>
      <c r="O98" s="19">
        <v>0</v>
      </c>
      <c r="P98" s="90">
        <v>0</v>
      </c>
      <c r="Q98" s="92">
        <v>62</v>
      </c>
      <c r="R98" s="90">
        <v>0</v>
      </c>
      <c r="S98" s="130">
        <v>0</v>
      </c>
      <c r="T98" s="130">
        <v>0</v>
      </c>
      <c r="U98" s="4">
        <v>60</v>
      </c>
      <c r="V98" s="92">
        <v>1</v>
      </c>
      <c r="W98" s="90">
        <v>0</v>
      </c>
      <c r="X98" s="90">
        <v>0</v>
      </c>
      <c r="Y98" s="92">
        <v>2.5</v>
      </c>
      <c r="Z98" s="92">
        <v>0.35</v>
      </c>
      <c r="AA98" s="90">
        <v>0</v>
      </c>
      <c r="AB98" s="98">
        <v>0</v>
      </c>
    </row>
    <row r="99" spans="1:28" hidden="1" x14ac:dyDescent="0.25">
      <c r="A99" s="24" t="s">
        <v>171</v>
      </c>
      <c r="B99" s="24">
        <v>2</v>
      </c>
      <c r="C99" s="24"/>
      <c r="D99" s="42">
        <v>39045</v>
      </c>
      <c r="E99" s="104">
        <v>3043</v>
      </c>
      <c r="F99" s="23">
        <v>40567</v>
      </c>
      <c r="G99" s="43">
        <v>42088</v>
      </c>
      <c r="H99" s="104">
        <v>1522</v>
      </c>
      <c r="I99" s="19">
        <v>1521</v>
      </c>
      <c r="J99" s="83" t="s">
        <v>65</v>
      </c>
      <c r="K99" s="40">
        <v>5.27</v>
      </c>
      <c r="L99" s="19">
        <v>1</v>
      </c>
      <c r="M99" s="19">
        <v>1</v>
      </c>
      <c r="N99" s="19">
        <v>1</v>
      </c>
      <c r="O99" s="19">
        <v>1</v>
      </c>
      <c r="P99" s="24">
        <v>0</v>
      </c>
      <c r="Q99" s="24">
        <v>0</v>
      </c>
      <c r="R99" s="24">
        <v>0</v>
      </c>
      <c r="S99" s="129">
        <v>0</v>
      </c>
      <c r="T99" s="129">
        <v>0</v>
      </c>
      <c r="U99" s="24">
        <v>50</v>
      </c>
      <c r="V99" s="24">
        <v>0</v>
      </c>
      <c r="W99" s="24">
        <v>2.5</v>
      </c>
      <c r="X99" s="24">
        <v>0.35</v>
      </c>
      <c r="Y99" s="24">
        <v>2.5</v>
      </c>
      <c r="Z99" s="24">
        <v>0.35</v>
      </c>
      <c r="AA99" s="24">
        <v>0</v>
      </c>
      <c r="AB99" s="24">
        <v>0</v>
      </c>
    </row>
    <row r="100" spans="1:28" hidden="1" x14ac:dyDescent="0.25">
      <c r="A100" s="24" t="s">
        <v>171</v>
      </c>
      <c r="B100" s="24">
        <v>2</v>
      </c>
      <c r="C100" s="24"/>
      <c r="D100" s="42">
        <v>39045</v>
      </c>
      <c r="E100" s="104">
        <v>3043</v>
      </c>
      <c r="F100" s="23">
        <v>40708</v>
      </c>
      <c r="G100" s="43">
        <v>42088</v>
      </c>
      <c r="H100" s="104">
        <v>1663</v>
      </c>
      <c r="I100" s="19">
        <v>1380</v>
      </c>
      <c r="J100" s="83" t="s">
        <v>65</v>
      </c>
      <c r="K100" s="24">
        <v>5.51</v>
      </c>
      <c r="L100" s="19">
        <v>1</v>
      </c>
      <c r="M100" s="19">
        <v>1</v>
      </c>
      <c r="N100" s="19">
        <v>1</v>
      </c>
      <c r="O100" s="19">
        <v>1</v>
      </c>
      <c r="P100" s="24">
        <v>0</v>
      </c>
      <c r="Q100" s="24">
        <v>0</v>
      </c>
      <c r="R100" s="24">
        <v>0</v>
      </c>
      <c r="S100" s="129">
        <v>0</v>
      </c>
      <c r="T100" s="129">
        <v>1</v>
      </c>
      <c r="U100" s="24">
        <v>50</v>
      </c>
      <c r="V100" s="24">
        <v>0</v>
      </c>
      <c r="W100" s="24">
        <v>2.5</v>
      </c>
      <c r="X100" s="24">
        <v>0.35</v>
      </c>
      <c r="Y100" s="24">
        <v>2.5</v>
      </c>
      <c r="Z100" s="24">
        <v>0.35</v>
      </c>
      <c r="AA100" s="24">
        <v>0</v>
      </c>
      <c r="AB100" s="24">
        <v>0</v>
      </c>
    </row>
    <row r="101" spans="1:28" hidden="1" x14ac:dyDescent="0.25">
      <c r="A101" s="24" t="s">
        <v>171</v>
      </c>
      <c r="B101" s="24">
        <v>2</v>
      </c>
      <c r="C101" s="24"/>
      <c r="D101" s="42">
        <v>39045</v>
      </c>
      <c r="E101" s="104">
        <v>3043</v>
      </c>
      <c r="F101" s="27">
        <v>41093</v>
      </c>
      <c r="G101" s="43">
        <v>42088</v>
      </c>
      <c r="H101" s="104">
        <v>2048</v>
      </c>
      <c r="I101" s="19">
        <v>995</v>
      </c>
      <c r="J101" s="83" t="s">
        <v>65</v>
      </c>
      <c r="K101" s="40">
        <v>5.18</v>
      </c>
      <c r="L101" s="19">
        <v>1</v>
      </c>
      <c r="M101" s="19">
        <v>1</v>
      </c>
      <c r="N101" s="19">
        <v>1</v>
      </c>
      <c r="O101" s="19">
        <v>1</v>
      </c>
      <c r="P101" s="24">
        <v>1</v>
      </c>
      <c r="Q101" s="24">
        <v>0</v>
      </c>
      <c r="R101" s="24">
        <v>0</v>
      </c>
      <c r="S101" s="127">
        <v>0</v>
      </c>
      <c r="T101" s="127">
        <v>1</v>
      </c>
      <c r="U101" s="24">
        <v>50</v>
      </c>
      <c r="V101" s="24">
        <v>0</v>
      </c>
      <c r="W101" s="24">
        <v>2.5</v>
      </c>
      <c r="X101" s="24">
        <v>0.35</v>
      </c>
      <c r="Y101" s="24">
        <v>2.5</v>
      </c>
      <c r="Z101" s="24">
        <v>0.35</v>
      </c>
      <c r="AA101" s="24">
        <v>0</v>
      </c>
      <c r="AB101" s="24">
        <v>0</v>
      </c>
    </row>
    <row r="102" spans="1:28" hidden="1" x14ac:dyDescent="0.25">
      <c r="A102" s="24" t="s">
        <v>171</v>
      </c>
      <c r="B102" s="24">
        <v>2</v>
      </c>
      <c r="C102" s="24"/>
      <c r="D102" s="42">
        <v>39045</v>
      </c>
      <c r="E102" s="104">
        <v>3043</v>
      </c>
      <c r="F102" s="27">
        <v>41311</v>
      </c>
      <c r="G102" s="43">
        <v>42088</v>
      </c>
      <c r="H102" s="104">
        <v>2266</v>
      </c>
      <c r="I102" s="19">
        <v>777</v>
      </c>
      <c r="J102" s="83" t="s">
        <v>65</v>
      </c>
      <c r="K102" s="24">
        <v>5.15</v>
      </c>
      <c r="L102" s="19">
        <v>1</v>
      </c>
      <c r="M102" s="19">
        <v>1</v>
      </c>
      <c r="N102" s="19">
        <v>1</v>
      </c>
      <c r="O102" s="19">
        <v>1</v>
      </c>
      <c r="P102" s="24">
        <v>1</v>
      </c>
      <c r="Q102" s="24">
        <v>0</v>
      </c>
      <c r="R102" s="24">
        <v>0</v>
      </c>
      <c r="S102" s="127">
        <v>0</v>
      </c>
      <c r="T102" s="127">
        <v>0</v>
      </c>
      <c r="U102" s="24">
        <v>50</v>
      </c>
      <c r="V102" s="24">
        <v>0</v>
      </c>
      <c r="W102" s="24">
        <v>2.5</v>
      </c>
      <c r="X102" s="24">
        <v>0.35</v>
      </c>
      <c r="Y102" s="24">
        <v>2.5</v>
      </c>
      <c r="Z102" s="24">
        <v>0.35</v>
      </c>
      <c r="AA102" s="24">
        <v>0</v>
      </c>
      <c r="AB102" s="24">
        <v>0</v>
      </c>
    </row>
    <row r="103" spans="1:28" hidden="1" x14ac:dyDescent="0.25">
      <c r="A103" s="24" t="s">
        <v>171</v>
      </c>
      <c r="B103" s="24">
        <v>2</v>
      </c>
      <c r="C103" s="24"/>
      <c r="D103" s="42">
        <v>39045</v>
      </c>
      <c r="E103" s="104">
        <v>3043</v>
      </c>
      <c r="F103" s="27">
        <v>41422</v>
      </c>
      <c r="G103" s="43">
        <v>42088</v>
      </c>
      <c r="H103" s="104">
        <v>2377</v>
      </c>
      <c r="I103" s="19">
        <v>666</v>
      </c>
      <c r="J103" s="83" t="s">
        <v>65</v>
      </c>
      <c r="K103" s="24">
        <v>5.15</v>
      </c>
      <c r="L103" s="19">
        <v>1</v>
      </c>
      <c r="M103" s="19">
        <v>1</v>
      </c>
      <c r="N103" s="19">
        <v>1</v>
      </c>
      <c r="O103" s="19">
        <v>1</v>
      </c>
      <c r="P103" s="24">
        <v>1</v>
      </c>
      <c r="Q103" s="24">
        <v>0</v>
      </c>
      <c r="R103" s="24">
        <v>0</v>
      </c>
      <c r="S103" s="129">
        <v>0</v>
      </c>
      <c r="T103" s="129">
        <v>0</v>
      </c>
      <c r="U103" s="24">
        <v>50</v>
      </c>
      <c r="V103" s="24">
        <v>0</v>
      </c>
      <c r="W103" s="24">
        <v>2.5</v>
      </c>
      <c r="X103" s="24">
        <v>0.35</v>
      </c>
      <c r="Y103" s="24">
        <v>2.5</v>
      </c>
      <c r="Z103" s="24">
        <v>0.35</v>
      </c>
      <c r="AA103" s="24">
        <v>0</v>
      </c>
      <c r="AB103" s="24">
        <v>0</v>
      </c>
    </row>
    <row r="104" spans="1:28" hidden="1" x14ac:dyDescent="0.25">
      <c r="A104" s="24" t="s">
        <v>171</v>
      </c>
      <c r="B104" s="24">
        <v>2</v>
      </c>
      <c r="C104" s="24"/>
      <c r="D104" s="42">
        <v>39045</v>
      </c>
      <c r="E104" s="104">
        <v>3043</v>
      </c>
      <c r="F104" s="27">
        <v>41528</v>
      </c>
      <c r="G104" s="43">
        <v>42088</v>
      </c>
      <c r="H104" s="104">
        <v>2483</v>
      </c>
      <c r="I104" s="19">
        <v>560</v>
      </c>
      <c r="J104" s="83" t="s">
        <v>65</v>
      </c>
      <c r="K104" s="24">
        <v>5.14</v>
      </c>
      <c r="L104" s="19">
        <v>1</v>
      </c>
      <c r="M104" s="19">
        <v>1</v>
      </c>
      <c r="N104" s="19">
        <v>1</v>
      </c>
      <c r="O104" s="19">
        <v>1</v>
      </c>
      <c r="P104" s="24">
        <v>1</v>
      </c>
      <c r="Q104" s="24">
        <v>0</v>
      </c>
      <c r="R104" s="24">
        <v>0</v>
      </c>
      <c r="S104" s="129">
        <v>0</v>
      </c>
      <c r="T104" s="129">
        <v>0</v>
      </c>
      <c r="U104" s="24">
        <v>50</v>
      </c>
      <c r="V104" s="24">
        <v>0</v>
      </c>
      <c r="W104" s="24">
        <v>2.5</v>
      </c>
      <c r="X104" s="24">
        <v>0.35</v>
      </c>
      <c r="Y104" s="24">
        <v>2.5</v>
      </c>
      <c r="Z104" s="24">
        <v>0.35</v>
      </c>
      <c r="AA104" s="24">
        <v>0</v>
      </c>
      <c r="AB104" s="24">
        <v>0</v>
      </c>
    </row>
    <row r="105" spans="1:28" hidden="1" x14ac:dyDescent="0.25">
      <c r="A105" s="162" t="s">
        <v>171</v>
      </c>
      <c r="B105" s="24">
        <v>2</v>
      </c>
      <c r="C105" s="24"/>
      <c r="D105" s="42">
        <v>39045</v>
      </c>
      <c r="E105" s="104">
        <v>3043</v>
      </c>
      <c r="F105" s="43">
        <v>41709</v>
      </c>
      <c r="G105" s="43">
        <v>42088</v>
      </c>
      <c r="H105" s="104">
        <v>2664</v>
      </c>
      <c r="I105" s="19">
        <v>379</v>
      </c>
      <c r="J105" s="83" t="s">
        <v>65</v>
      </c>
      <c r="K105" s="2">
        <v>5.13</v>
      </c>
      <c r="L105" s="19">
        <v>0</v>
      </c>
      <c r="M105" s="19">
        <v>1</v>
      </c>
      <c r="N105" s="19">
        <v>1</v>
      </c>
      <c r="O105" s="19">
        <v>1</v>
      </c>
      <c r="P105" s="24">
        <v>1</v>
      </c>
      <c r="Q105" s="24">
        <v>0</v>
      </c>
      <c r="R105" s="24">
        <v>0</v>
      </c>
      <c r="S105" s="125">
        <v>1</v>
      </c>
      <c r="T105" s="125">
        <v>0</v>
      </c>
      <c r="U105" s="24">
        <v>50</v>
      </c>
      <c r="V105" s="24">
        <v>0</v>
      </c>
      <c r="W105" s="24">
        <v>2.5</v>
      </c>
      <c r="X105" s="24">
        <v>0.35</v>
      </c>
      <c r="Y105" s="24">
        <v>2.5</v>
      </c>
      <c r="Z105" s="24">
        <v>0.35</v>
      </c>
      <c r="AA105" s="24">
        <v>0</v>
      </c>
      <c r="AB105" s="24">
        <v>0</v>
      </c>
    </row>
    <row r="106" spans="1:28" hidden="1" x14ac:dyDescent="0.25">
      <c r="A106" s="162" t="s">
        <v>171</v>
      </c>
      <c r="B106" s="24">
        <v>2</v>
      </c>
      <c r="C106" s="24"/>
      <c r="D106" s="42">
        <v>39045</v>
      </c>
      <c r="E106" s="104">
        <v>3043</v>
      </c>
      <c r="F106" s="43">
        <v>41857</v>
      </c>
      <c r="G106" s="43">
        <v>42088</v>
      </c>
      <c r="H106" s="104">
        <v>2812</v>
      </c>
      <c r="I106" s="19">
        <v>231</v>
      </c>
      <c r="J106" s="83" t="s">
        <v>65</v>
      </c>
      <c r="K106" s="2">
        <v>5.07</v>
      </c>
      <c r="L106" s="19">
        <v>0</v>
      </c>
      <c r="M106" s="19">
        <v>0</v>
      </c>
      <c r="N106" s="19">
        <v>1</v>
      </c>
      <c r="O106" s="19">
        <v>1</v>
      </c>
      <c r="P106" s="24">
        <v>3</v>
      </c>
      <c r="Q106" s="24">
        <v>0</v>
      </c>
      <c r="R106" s="24">
        <v>0</v>
      </c>
      <c r="S106" s="129">
        <v>1</v>
      </c>
      <c r="T106" s="129">
        <v>0</v>
      </c>
      <c r="U106" s="24">
        <v>50</v>
      </c>
      <c r="V106" s="24">
        <v>0</v>
      </c>
      <c r="W106" s="24">
        <v>2.5</v>
      </c>
      <c r="X106" s="24">
        <v>0.35</v>
      </c>
      <c r="Y106" s="24">
        <v>2.5</v>
      </c>
      <c r="Z106" s="24">
        <v>0.35</v>
      </c>
      <c r="AA106" s="24">
        <v>0</v>
      </c>
      <c r="AB106" s="24">
        <v>0</v>
      </c>
    </row>
    <row r="107" spans="1:28" hidden="1" x14ac:dyDescent="0.25">
      <c r="A107" s="162" t="s">
        <v>171</v>
      </c>
      <c r="B107" s="24">
        <v>2</v>
      </c>
      <c r="C107" s="24"/>
      <c r="D107" s="42">
        <v>39045</v>
      </c>
      <c r="E107" s="104">
        <v>3043</v>
      </c>
      <c r="F107" s="43">
        <v>41897</v>
      </c>
      <c r="G107" s="43">
        <v>42088</v>
      </c>
      <c r="H107" s="104">
        <v>2852</v>
      </c>
      <c r="I107" s="19">
        <v>191</v>
      </c>
      <c r="J107" s="83" t="s">
        <v>65</v>
      </c>
      <c r="K107" s="2">
        <v>5.05</v>
      </c>
      <c r="L107" s="19">
        <v>0</v>
      </c>
      <c r="M107" s="19">
        <v>0</v>
      </c>
      <c r="N107" s="19">
        <v>1</v>
      </c>
      <c r="O107" s="19">
        <v>1</v>
      </c>
      <c r="P107" s="24">
        <v>4</v>
      </c>
      <c r="Q107" s="24">
        <v>0</v>
      </c>
      <c r="R107" s="24">
        <v>0</v>
      </c>
      <c r="S107" s="125">
        <v>2</v>
      </c>
      <c r="T107" s="125">
        <v>0</v>
      </c>
      <c r="U107" s="24">
        <v>50</v>
      </c>
      <c r="V107" s="24">
        <v>0</v>
      </c>
      <c r="W107" s="24">
        <v>2.5</v>
      </c>
      <c r="X107" s="24">
        <v>0.35</v>
      </c>
      <c r="Y107" s="24">
        <v>2.5</v>
      </c>
      <c r="Z107" s="24">
        <v>0.35</v>
      </c>
      <c r="AA107" s="24">
        <v>0</v>
      </c>
      <c r="AB107" s="24">
        <v>0</v>
      </c>
    </row>
    <row r="108" spans="1:28" x14ac:dyDescent="0.25">
      <c r="A108" s="162" t="s">
        <v>171</v>
      </c>
      <c r="B108" s="24">
        <v>2</v>
      </c>
      <c r="C108" s="24"/>
      <c r="D108" s="42">
        <v>39045</v>
      </c>
      <c r="E108" s="104">
        <v>3043</v>
      </c>
      <c r="F108" s="27">
        <v>41982</v>
      </c>
      <c r="G108" s="27">
        <v>42088</v>
      </c>
      <c r="H108" s="104">
        <v>2937</v>
      </c>
      <c r="I108" s="19">
        <v>106</v>
      </c>
      <c r="J108" s="83" t="s">
        <v>65</v>
      </c>
      <c r="K108" s="24">
        <v>4.9400000000000004</v>
      </c>
      <c r="L108" s="19">
        <v>0</v>
      </c>
      <c r="M108" s="19">
        <v>0</v>
      </c>
      <c r="N108" s="19">
        <v>0</v>
      </c>
      <c r="O108" s="19">
        <v>1</v>
      </c>
      <c r="P108" s="24">
        <v>3</v>
      </c>
      <c r="Q108" s="24">
        <v>0</v>
      </c>
      <c r="R108" s="24">
        <v>0</v>
      </c>
      <c r="S108" s="125">
        <v>0</v>
      </c>
      <c r="T108" s="125">
        <v>0</v>
      </c>
      <c r="U108" s="24">
        <v>50</v>
      </c>
      <c r="V108" s="24">
        <v>0</v>
      </c>
      <c r="W108" s="24">
        <v>2.5</v>
      </c>
      <c r="X108" s="24">
        <v>0.35</v>
      </c>
      <c r="Y108" s="24">
        <v>2.5</v>
      </c>
      <c r="Z108" s="24">
        <v>0.35</v>
      </c>
      <c r="AA108" s="24">
        <v>0</v>
      </c>
      <c r="AB108" s="24">
        <v>0</v>
      </c>
    </row>
    <row r="109" spans="1:28" x14ac:dyDescent="0.25">
      <c r="A109" s="162" t="s">
        <v>171</v>
      </c>
      <c r="B109" s="24">
        <v>2</v>
      </c>
      <c r="C109" s="24"/>
      <c r="D109" s="42">
        <v>39045</v>
      </c>
      <c r="E109" s="104">
        <v>3043</v>
      </c>
      <c r="F109" s="27">
        <v>42088</v>
      </c>
      <c r="G109" s="27">
        <v>42088</v>
      </c>
      <c r="H109" s="104">
        <v>3043</v>
      </c>
      <c r="I109" s="19">
        <v>0</v>
      </c>
      <c r="J109" s="83" t="s">
        <v>65</v>
      </c>
      <c r="K109" s="24">
        <v>4.7</v>
      </c>
      <c r="L109" s="19">
        <v>0</v>
      </c>
      <c r="M109" s="19">
        <v>0</v>
      </c>
      <c r="N109" s="19">
        <v>0</v>
      </c>
      <c r="O109" s="19">
        <v>0</v>
      </c>
      <c r="P109" s="24">
        <v>2</v>
      </c>
      <c r="Q109" s="24">
        <v>0</v>
      </c>
      <c r="R109" s="24">
        <v>0</v>
      </c>
      <c r="S109" s="125">
        <v>1</v>
      </c>
      <c r="T109" s="125">
        <v>0</v>
      </c>
      <c r="U109" s="24">
        <v>50</v>
      </c>
      <c r="V109" s="24">
        <v>0</v>
      </c>
      <c r="W109" s="24">
        <v>2.5</v>
      </c>
      <c r="X109" s="24">
        <v>0.35</v>
      </c>
      <c r="Y109" s="24">
        <v>2.5</v>
      </c>
      <c r="Z109" s="24">
        <v>0.35</v>
      </c>
      <c r="AA109" s="24">
        <v>0</v>
      </c>
      <c r="AB109" s="24">
        <v>0</v>
      </c>
    </row>
    <row r="110" spans="1:28" hidden="1" x14ac:dyDescent="0.25">
      <c r="A110" s="24" t="s">
        <v>173</v>
      </c>
      <c r="B110" s="24">
        <v>2</v>
      </c>
      <c r="C110" s="24"/>
      <c r="D110" s="42">
        <v>39161</v>
      </c>
      <c r="E110" s="104">
        <v>3040</v>
      </c>
      <c r="F110" s="23">
        <v>40834</v>
      </c>
      <c r="G110" s="27">
        <v>42201</v>
      </c>
      <c r="H110" s="104">
        <v>1673</v>
      </c>
      <c r="I110" s="19">
        <v>1367</v>
      </c>
      <c r="J110" s="83" t="s">
        <v>65</v>
      </c>
      <c r="K110" s="24">
        <v>5.47</v>
      </c>
      <c r="L110" s="19">
        <v>1</v>
      </c>
      <c r="M110" s="19">
        <v>1</v>
      </c>
      <c r="N110" s="19">
        <v>1</v>
      </c>
      <c r="O110" s="19">
        <v>1</v>
      </c>
      <c r="P110" s="24">
        <v>1</v>
      </c>
      <c r="Q110" s="24">
        <v>0</v>
      </c>
      <c r="R110" s="24">
        <v>0</v>
      </c>
      <c r="S110" s="129">
        <v>0</v>
      </c>
      <c r="T110" s="129">
        <v>0</v>
      </c>
      <c r="U110" s="4">
        <v>50</v>
      </c>
      <c r="V110" s="24">
        <v>0</v>
      </c>
      <c r="W110" s="24">
        <v>2.5</v>
      </c>
      <c r="X110" s="24">
        <v>0.35</v>
      </c>
      <c r="Y110" s="24">
        <v>3</v>
      </c>
      <c r="Z110" s="24">
        <v>0.35</v>
      </c>
      <c r="AA110" s="24">
        <v>0</v>
      </c>
      <c r="AB110" s="24">
        <v>0</v>
      </c>
    </row>
    <row r="111" spans="1:28" hidden="1" x14ac:dyDescent="0.25">
      <c r="A111" s="24" t="s">
        <v>173</v>
      </c>
      <c r="B111" s="24">
        <v>2</v>
      </c>
      <c r="C111" s="24"/>
      <c r="D111" s="42">
        <v>39161</v>
      </c>
      <c r="E111" s="104">
        <v>3040</v>
      </c>
      <c r="F111" s="23">
        <v>41016</v>
      </c>
      <c r="G111" s="27">
        <v>42201</v>
      </c>
      <c r="H111" s="104">
        <v>1855</v>
      </c>
      <c r="I111" s="19">
        <v>1185</v>
      </c>
      <c r="J111" s="83" t="s">
        <v>65</v>
      </c>
      <c r="K111" s="40">
        <v>5.29</v>
      </c>
      <c r="L111" s="19">
        <v>1</v>
      </c>
      <c r="M111" s="19">
        <v>1</v>
      </c>
      <c r="N111" s="19">
        <v>1</v>
      </c>
      <c r="O111" s="19">
        <v>1</v>
      </c>
      <c r="P111" s="24">
        <v>0</v>
      </c>
      <c r="Q111" s="24">
        <v>0</v>
      </c>
      <c r="R111" s="24">
        <v>0</v>
      </c>
      <c r="S111" s="129">
        <v>0</v>
      </c>
      <c r="T111" s="129">
        <v>1</v>
      </c>
      <c r="U111" s="4">
        <v>50</v>
      </c>
      <c r="V111" s="24">
        <v>0</v>
      </c>
      <c r="W111" s="24">
        <v>2.5</v>
      </c>
      <c r="X111" s="24">
        <v>0.35</v>
      </c>
      <c r="Y111" s="24">
        <v>3</v>
      </c>
      <c r="Z111" s="24">
        <v>0.35</v>
      </c>
      <c r="AA111" s="24">
        <v>0</v>
      </c>
      <c r="AB111" s="24">
        <v>0</v>
      </c>
    </row>
    <row r="112" spans="1:28" hidden="1" x14ac:dyDescent="0.25">
      <c r="A112" s="24" t="s">
        <v>173</v>
      </c>
      <c r="B112" s="24">
        <v>2</v>
      </c>
      <c r="C112" s="24"/>
      <c r="D112" s="42">
        <v>39161</v>
      </c>
      <c r="E112" s="104">
        <v>3040</v>
      </c>
      <c r="F112" s="27">
        <v>41128</v>
      </c>
      <c r="G112" s="27">
        <v>42201</v>
      </c>
      <c r="H112" s="104">
        <v>1967</v>
      </c>
      <c r="I112" s="19">
        <v>1073</v>
      </c>
      <c r="J112" s="83" t="s">
        <v>65</v>
      </c>
      <c r="K112" s="40">
        <v>5.23</v>
      </c>
      <c r="L112" s="19">
        <v>1</v>
      </c>
      <c r="M112" s="19">
        <v>1</v>
      </c>
      <c r="N112" s="19">
        <v>1</v>
      </c>
      <c r="O112" s="19">
        <v>1</v>
      </c>
      <c r="P112" s="24">
        <v>0</v>
      </c>
      <c r="Q112" s="24">
        <v>0</v>
      </c>
      <c r="R112" s="24">
        <v>0</v>
      </c>
      <c r="S112" s="127">
        <v>0</v>
      </c>
      <c r="T112" s="127">
        <v>0</v>
      </c>
      <c r="U112" s="4">
        <v>50</v>
      </c>
      <c r="V112" s="24">
        <v>0</v>
      </c>
      <c r="W112" s="24">
        <v>2.5</v>
      </c>
      <c r="X112" s="24">
        <v>0.35</v>
      </c>
      <c r="Y112" s="24">
        <v>3</v>
      </c>
      <c r="Z112" s="24">
        <v>0.35</v>
      </c>
      <c r="AA112" s="24">
        <v>0</v>
      </c>
      <c r="AB112" s="24">
        <v>0</v>
      </c>
    </row>
    <row r="113" spans="1:28" hidden="1" x14ac:dyDescent="0.25">
      <c r="A113" s="24" t="s">
        <v>173</v>
      </c>
      <c r="B113" s="24">
        <v>2</v>
      </c>
      <c r="C113" s="24"/>
      <c r="D113" s="42">
        <v>39161</v>
      </c>
      <c r="E113" s="104">
        <v>3040</v>
      </c>
      <c r="F113" s="27">
        <v>41331</v>
      </c>
      <c r="G113" s="27">
        <v>42201</v>
      </c>
      <c r="H113" s="104">
        <v>2170</v>
      </c>
      <c r="I113" s="19">
        <v>870</v>
      </c>
      <c r="J113" s="83" t="s">
        <v>65</v>
      </c>
      <c r="K113" s="24">
        <v>5.17</v>
      </c>
      <c r="L113" s="19">
        <v>1</v>
      </c>
      <c r="M113" s="19">
        <v>1</v>
      </c>
      <c r="N113" s="19">
        <v>1</v>
      </c>
      <c r="O113" s="19">
        <v>1</v>
      </c>
      <c r="P113" s="24">
        <v>0</v>
      </c>
      <c r="Q113" s="24">
        <v>0</v>
      </c>
      <c r="R113" s="24">
        <v>0</v>
      </c>
      <c r="S113" s="127">
        <v>0</v>
      </c>
      <c r="T113" s="127">
        <v>0</v>
      </c>
      <c r="U113" s="4">
        <v>50</v>
      </c>
      <c r="V113" s="24">
        <v>0</v>
      </c>
      <c r="W113" s="24">
        <v>2.5</v>
      </c>
      <c r="X113" s="24">
        <v>0.35</v>
      </c>
      <c r="Y113" s="24">
        <v>3</v>
      </c>
      <c r="Z113" s="24">
        <v>0.35</v>
      </c>
      <c r="AA113" s="24">
        <v>0</v>
      </c>
      <c r="AB113" s="24">
        <v>0</v>
      </c>
    </row>
    <row r="114" spans="1:28" hidden="1" x14ac:dyDescent="0.25">
      <c r="A114" s="24" t="s">
        <v>173</v>
      </c>
      <c r="B114" s="24">
        <v>2</v>
      </c>
      <c r="C114" s="24"/>
      <c r="D114" s="42">
        <v>39161</v>
      </c>
      <c r="E114" s="104">
        <v>3040</v>
      </c>
      <c r="F114" s="27">
        <v>41528</v>
      </c>
      <c r="G114" s="27">
        <v>42201</v>
      </c>
      <c r="H114" s="104">
        <v>2367</v>
      </c>
      <c r="I114" s="19">
        <v>673</v>
      </c>
      <c r="J114" s="83" t="s">
        <v>65</v>
      </c>
      <c r="K114" s="24">
        <v>5.16</v>
      </c>
      <c r="L114" s="19">
        <v>1</v>
      </c>
      <c r="M114" s="19">
        <v>1</v>
      </c>
      <c r="N114" s="19">
        <v>1</v>
      </c>
      <c r="O114" s="19">
        <v>1</v>
      </c>
      <c r="P114" s="24">
        <v>0</v>
      </c>
      <c r="Q114" s="24">
        <v>0</v>
      </c>
      <c r="R114" s="24">
        <v>0</v>
      </c>
      <c r="S114" s="129">
        <v>0</v>
      </c>
      <c r="T114" s="129">
        <v>0</v>
      </c>
      <c r="U114" s="24">
        <v>40</v>
      </c>
      <c r="V114" s="24">
        <v>0</v>
      </c>
      <c r="W114" s="24">
        <v>2.5</v>
      </c>
      <c r="X114" s="24">
        <v>0.35</v>
      </c>
      <c r="Y114" s="24">
        <v>3</v>
      </c>
      <c r="Z114" s="24">
        <v>0.35</v>
      </c>
      <c r="AA114" s="24">
        <v>0</v>
      </c>
      <c r="AB114" s="24">
        <v>0</v>
      </c>
    </row>
    <row r="115" spans="1:28" hidden="1" x14ac:dyDescent="0.25">
      <c r="A115" s="24" t="s">
        <v>173</v>
      </c>
      <c r="B115" s="24">
        <v>2</v>
      </c>
      <c r="C115" s="24"/>
      <c r="D115" s="42">
        <v>39161</v>
      </c>
      <c r="E115" s="104">
        <v>3040</v>
      </c>
      <c r="F115" s="25">
        <v>41532</v>
      </c>
      <c r="G115" s="27">
        <v>42201</v>
      </c>
      <c r="H115" s="104">
        <v>2371</v>
      </c>
      <c r="I115" s="19">
        <v>669</v>
      </c>
      <c r="J115" s="83" t="s">
        <v>65</v>
      </c>
      <c r="K115" s="4">
        <v>5.1100000000000003</v>
      </c>
      <c r="L115" s="19">
        <v>1</v>
      </c>
      <c r="M115" s="19">
        <v>1</v>
      </c>
      <c r="N115" s="19">
        <v>1</v>
      </c>
      <c r="O115" s="19">
        <v>1</v>
      </c>
      <c r="P115" s="4">
        <v>0</v>
      </c>
      <c r="Q115" s="4">
        <v>0</v>
      </c>
      <c r="R115" s="24">
        <v>0</v>
      </c>
      <c r="S115" s="129">
        <v>0</v>
      </c>
      <c r="T115" s="129">
        <v>0</v>
      </c>
      <c r="U115" s="24">
        <v>40</v>
      </c>
      <c r="V115" s="24">
        <v>0</v>
      </c>
      <c r="W115" s="24">
        <v>2.5</v>
      </c>
      <c r="X115" s="24">
        <v>0.35</v>
      </c>
      <c r="Y115" s="24">
        <v>3</v>
      </c>
      <c r="Z115" s="24">
        <v>0.35</v>
      </c>
      <c r="AA115" s="24">
        <v>0</v>
      </c>
      <c r="AB115" s="24">
        <v>0</v>
      </c>
    </row>
    <row r="116" spans="1:28" hidden="1" x14ac:dyDescent="0.25">
      <c r="A116" s="157" t="s">
        <v>173</v>
      </c>
      <c r="B116" s="24">
        <v>2</v>
      </c>
      <c r="C116" s="24"/>
      <c r="D116" s="42">
        <v>39161</v>
      </c>
      <c r="E116" s="104">
        <v>3040</v>
      </c>
      <c r="F116" s="27">
        <v>41709</v>
      </c>
      <c r="G116" s="27">
        <v>42201</v>
      </c>
      <c r="H116" s="104">
        <v>2548</v>
      </c>
      <c r="I116" s="19">
        <v>492</v>
      </c>
      <c r="J116" s="83" t="s">
        <v>65</v>
      </c>
      <c r="K116" s="24">
        <v>5.14</v>
      </c>
      <c r="L116" s="19">
        <v>0</v>
      </c>
      <c r="M116" s="19">
        <v>1</v>
      </c>
      <c r="N116" s="19">
        <v>1</v>
      </c>
      <c r="O116" s="19">
        <v>1</v>
      </c>
      <c r="P116" s="24">
        <v>0</v>
      </c>
      <c r="Q116" s="24">
        <v>0</v>
      </c>
      <c r="R116" s="24">
        <v>0</v>
      </c>
      <c r="S116" s="129">
        <v>0</v>
      </c>
      <c r="T116" s="129">
        <v>0</v>
      </c>
      <c r="U116" s="24">
        <v>40</v>
      </c>
      <c r="V116" s="24">
        <v>0</v>
      </c>
      <c r="W116" s="24">
        <v>2.5</v>
      </c>
      <c r="X116" s="24">
        <v>0.35</v>
      </c>
      <c r="Y116" s="24">
        <v>3</v>
      </c>
      <c r="Z116" s="24">
        <v>0.35</v>
      </c>
      <c r="AA116" s="24">
        <v>0</v>
      </c>
      <c r="AB116" s="24">
        <v>0</v>
      </c>
    </row>
    <row r="117" spans="1:28" x14ac:dyDescent="0.25">
      <c r="A117" s="157" t="s">
        <v>173</v>
      </c>
      <c r="B117" s="24">
        <v>2</v>
      </c>
      <c r="C117" s="24"/>
      <c r="D117" s="42">
        <v>39161</v>
      </c>
      <c r="E117" s="104">
        <v>3040</v>
      </c>
      <c r="F117" s="25">
        <v>42131</v>
      </c>
      <c r="G117" s="27">
        <v>42201</v>
      </c>
      <c r="H117" s="104">
        <v>2970</v>
      </c>
      <c r="I117" s="19">
        <v>70</v>
      </c>
      <c r="J117" s="83" t="s">
        <v>65</v>
      </c>
      <c r="K117" s="4">
        <v>4.8099999999999996</v>
      </c>
      <c r="L117" s="19">
        <v>0</v>
      </c>
      <c r="M117" s="19">
        <v>0</v>
      </c>
      <c r="N117" s="19">
        <v>0</v>
      </c>
      <c r="O117" s="19">
        <v>0</v>
      </c>
      <c r="P117" s="24">
        <v>0</v>
      </c>
      <c r="Q117" s="24">
        <v>0</v>
      </c>
      <c r="R117" s="4">
        <v>0</v>
      </c>
      <c r="S117" s="125">
        <v>0</v>
      </c>
      <c r="T117" s="125">
        <v>2</v>
      </c>
      <c r="U117" s="24">
        <v>40</v>
      </c>
      <c r="V117" s="24">
        <v>0</v>
      </c>
      <c r="W117" s="24">
        <v>2</v>
      </c>
      <c r="X117" s="24">
        <v>0.35</v>
      </c>
      <c r="Y117" s="24">
        <v>2.5</v>
      </c>
      <c r="Z117" s="24">
        <v>0.35</v>
      </c>
      <c r="AA117" s="24">
        <v>0</v>
      </c>
      <c r="AB117" s="24">
        <v>0</v>
      </c>
    </row>
    <row r="118" spans="1:28" x14ac:dyDescent="0.25">
      <c r="A118" s="157" t="s">
        <v>173</v>
      </c>
      <c r="B118" s="24">
        <v>2</v>
      </c>
      <c r="C118" s="24"/>
      <c r="D118" s="42">
        <v>39161</v>
      </c>
      <c r="E118" s="104">
        <v>3040</v>
      </c>
      <c r="F118" s="88">
        <v>42201</v>
      </c>
      <c r="G118" s="88">
        <v>42201</v>
      </c>
      <c r="H118" s="104">
        <v>3040</v>
      </c>
      <c r="I118" s="19">
        <v>0</v>
      </c>
      <c r="J118" s="83" t="s">
        <v>65</v>
      </c>
      <c r="K118" s="83">
        <v>4.66</v>
      </c>
      <c r="L118" s="19">
        <v>0</v>
      </c>
      <c r="M118" s="19">
        <v>0</v>
      </c>
      <c r="N118" s="19">
        <v>0</v>
      </c>
      <c r="O118" s="19">
        <v>0</v>
      </c>
      <c r="P118" s="83">
        <v>0</v>
      </c>
      <c r="Q118" s="83">
        <v>0</v>
      </c>
      <c r="R118" s="83">
        <v>0</v>
      </c>
      <c r="S118" s="133">
        <v>0</v>
      </c>
      <c r="T118" s="133">
        <v>2</v>
      </c>
      <c r="U118" s="24">
        <v>40</v>
      </c>
      <c r="V118" s="83">
        <v>0</v>
      </c>
      <c r="W118" s="83">
        <v>2</v>
      </c>
      <c r="X118" s="83">
        <v>0.35</v>
      </c>
      <c r="Y118" s="83">
        <v>2.5</v>
      </c>
      <c r="Z118" s="83">
        <v>0.35</v>
      </c>
      <c r="AA118" s="90">
        <v>0</v>
      </c>
      <c r="AB118" s="90">
        <v>0</v>
      </c>
    </row>
    <row r="119" spans="1:28" hidden="1" x14ac:dyDescent="0.25">
      <c r="A119" s="24" t="s">
        <v>311</v>
      </c>
      <c r="B119" s="24">
        <v>2</v>
      </c>
      <c r="D119" s="27">
        <v>39119</v>
      </c>
      <c r="E119" s="104">
        <v>2212</v>
      </c>
      <c r="F119" s="25">
        <v>40120</v>
      </c>
      <c r="G119" s="27">
        <v>41331</v>
      </c>
      <c r="H119" s="104">
        <v>1001</v>
      </c>
      <c r="I119" s="19">
        <v>1211</v>
      </c>
      <c r="J119" s="83" t="s">
        <v>65</v>
      </c>
      <c r="K119" s="4">
        <v>5.83</v>
      </c>
      <c r="L119" s="19">
        <v>1</v>
      </c>
      <c r="M119" s="19">
        <v>1</v>
      </c>
      <c r="N119" s="19">
        <v>1</v>
      </c>
      <c r="O119" s="19">
        <v>1</v>
      </c>
      <c r="P119" s="4">
        <v>61</v>
      </c>
      <c r="Q119" s="4">
        <v>7</v>
      </c>
      <c r="R119" s="90">
        <v>0</v>
      </c>
      <c r="S119" s="127">
        <v>0</v>
      </c>
      <c r="T119" s="127">
        <v>0</v>
      </c>
      <c r="U119" s="4">
        <v>60</v>
      </c>
      <c r="V119" s="4">
        <v>0</v>
      </c>
      <c r="W119" s="4">
        <v>4</v>
      </c>
      <c r="X119" s="4">
        <v>0.6</v>
      </c>
      <c r="Y119" s="4">
        <v>2.5</v>
      </c>
      <c r="Z119" s="4">
        <v>0.5</v>
      </c>
      <c r="AA119" s="24">
        <v>0</v>
      </c>
      <c r="AB119" s="24">
        <v>0</v>
      </c>
    </row>
    <row r="120" spans="1:28" hidden="1" x14ac:dyDescent="0.25">
      <c r="A120" s="24" t="s">
        <v>311</v>
      </c>
      <c r="B120" s="24">
        <v>2</v>
      </c>
      <c r="D120" s="27">
        <v>39119</v>
      </c>
      <c r="E120" s="104">
        <v>2212</v>
      </c>
      <c r="F120" s="25">
        <v>40302</v>
      </c>
      <c r="G120" s="27">
        <v>41331</v>
      </c>
      <c r="H120" s="104">
        <v>1183</v>
      </c>
      <c r="I120" s="19">
        <v>1029</v>
      </c>
      <c r="J120" s="83" t="s">
        <v>65</v>
      </c>
      <c r="K120" s="4">
        <v>5.39</v>
      </c>
      <c r="L120" s="19">
        <v>1</v>
      </c>
      <c r="M120" s="19">
        <v>1</v>
      </c>
      <c r="N120" s="19">
        <v>1</v>
      </c>
      <c r="O120" s="19">
        <v>1</v>
      </c>
      <c r="P120" s="4">
        <v>57</v>
      </c>
      <c r="Q120" s="4">
        <v>1</v>
      </c>
      <c r="R120" s="90">
        <v>0</v>
      </c>
      <c r="S120" s="127">
        <v>0</v>
      </c>
      <c r="T120" s="127">
        <v>1</v>
      </c>
      <c r="U120" s="4">
        <v>60</v>
      </c>
      <c r="V120" s="4">
        <v>0</v>
      </c>
      <c r="W120" s="4">
        <v>4</v>
      </c>
      <c r="X120" s="4">
        <v>0.6</v>
      </c>
      <c r="Y120" s="4">
        <v>2.5</v>
      </c>
      <c r="Z120" s="4">
        <v>0.5</v>
      </c>
      <c r="AA120" s="24">
        <v>0</v>
      </c>
      <c r="AB120" s="24">
        <v>0</v>
      </c>
    </row>
    <row r="121" spans="1:28" hidden="1" x14ac:dyDescent="0.25">
      <c r="A121" s="24" t="s">
        <v>146</v>
      </c>
      <c r="B121" s="24">
        <v>2</v>
      </c>
      <c r="D121" s="27">
        <v>39140</v>
      </c>
      <c r="E121" s="104">
        <v>2191</v>
      </c>
      <c r="F121" s="25">
        <v>40092</v>
      </c>
      <c r="G121" s="27">
        <v>41331</v>
      </c>
      <c r="H121" s="104">
        <v>952</v>
      </c>
      <c r="I121" s="19">
        <v>1239</v>
      </c>
      <c r="J121" s="83" t="s">
        <v>65</v>
      </c>
      <c r="K121" s="4">
        <v>6.16</v>
      </c>
      <c r="L121" s="19">
        <v>1</v>
      </c>
      <c r="M121" s="19">
        <v>1</v>
      </c>
      <c r="N121" s="19">
        <v>1</v>
      </c>
      <c r="O121" s="19">
        <v>1</v>
      </c>
      <c r="P121" s="4">
        <v>4</v>
      </c>
      <c r="Q121" s="4">
        <v>37</v>
      </c>
      <c r="R121" s="90">
        <v>0</v>
      </c>
      <c r="S121" s="127">
        <v>0</v>
      </c>
      <c r="T121" s="127">
        <v>0</v>
      </c>
      <c r="U121" s="4">
        <v>60</v>
      </c>
      <c r="V121" s="4">
        <v>0</v>
      </c>
      <c r="W121" s="4">
        <v>2</v>
      </c>
      <c r="X121" s="4">
        <v>0.35</v>
      </c>
      <c r="Y121" s="4">
        <v>3</v>
      </c>
      <c r="Z121" s="4">
        <v>0.35</v>
      </c>
      <c r="AA121" s="24">
        <v>0</v>
      </c>
      <c r="AB121" s="24">
        <v>0</v>
      </c>
    </row>
    <row r="122" spans="1:28" hidden="1" x14ac:dyDescent="0.25">
      <c r="A122" s="24" t="s">
        <v>146</v>
      </c>
      <c r="B122" s="24">
        <v>2</v>
      </c>
      <c r="D122" s="27">
        <v>39140</v>
      </c>
      <c r="E122" s="104">
        <v>2191</v>
      </c>
      <c r="F122" s="25">
        <v>40302</v>
      </c>
      <c r="G122" s="27">
        <v>41331</v>
      </c>
      <c r="H122" s="104">
        <v>1162</v>
      </c>
      <c r="I122" s="19">
        <v>1029</v>
      </c>
      <c r="J122" s="83" t="s">
        <v>65</v>
      </c>
      <c r="K122" s="4">
        <v>5.93</v>
      </c>
      <c r="L122" s="19">
        <v>1</v>
      </c>
      <c r="M122" s="19">
        <v>1</v>
      </c>
      <c r="N122" s="19">
        <v>1</v>
      </c>
      <c r="O122" s="19">
        <v>1</v>
      </c>
      <c r="P122" s="4">
        <v>4</v>
      </c>
      <c r="Q122" s="4">
        <v>25</v>
      </c>
      <c r="R122" s="90">
        <v>0</v>
      </c>
      <c r="S122" s="125">
        <v>1</v>
      </c>
      <c r="T122" s="125">
        <v>0</v>
      </c>
      <c r="U122" s="4">
        <v>60</v>
      </c>
      <c r="V122" s="4">
        <v>0</v>
      </c>
      <c r="W122" s="4">
        <v>2</v>
      </c>
      <c r="X122" s="4">
        <v>0.35</v>
      </c>
      <c r="Y122" s="4">
        <v>3</v>
      </c>
      <c r="Z122" s="4">
        <v>0.35</v>
      </c>
      <c r="AA122" s="24">
        <v>0</v>
      </c>
      <c r="AB122" s="24">
        <v>0</v>
      </c>
    </row>
    <row r="123" spans="1:28" hidden="1" x14ac:dyDescent="0.25">
      <c r="A123" s="24" t="s">
        <v>146</v>
      </c>
      <c r="B123" s="24">
        <v>2</v>
      </c>
      <c r="C123" s="24"/>
      <c r="D123" s="23">
        <v>39140</v>
      </c>
      <c r="E123" s="104">
        <v>2191</v>
      </c>
      <c r="F123" s="23">
        <v>40715</v>
      </c>
      <c r="G123" s="27">
        <v>41331</v>
      </c>
      <c r="H123" s="104">
        <v>1575</v>
      </c>
      <c r="I123" s="19">
        <v>616</v>
      </c>
      <c r="J123" s="83" t="s">
        <v>65</v>
      </c>
      <c r="K123" s="24">
        <v>5.3</v>
      </c>
      <c r="L123" s="19">
        <v>1</v>
      </c>
      <c r="M123" s="19">
        <v>1</v>
      </c>
      <c r="N123" s="19">
        <v>1</v>
      </c>
      <c r="O123" s="19">
        <v>1</v>
      </c>
      <c r="P123" s="24">
        <v>5</v>
      </c>
      <c r="Q123" s="24">
        <v>38</v>
      </c>
      <c r="R123" s="24">
        <v>0</v>
      </c>
      <c r="S123" s="129">
        <v>1</v>
      </c>
      <c r="T123" s="129">
        <v>0</v>
      </c>
      <c r="U123" s="4">
        <v>60</v>
      </c>
      <c r="V123" s="24">
        <v>0</v>
      </c>
      <c r="W123" s="24">
        <v>2</v>
      </c>
      <c r="X123" s="24">
        <v>0.35</v>
      </c>
      <c r="Y123" s="24">
        <v>3</v>
      </c>
      <c r="Z123" s="24">
        <v>0.35</v>
      </c>
      <c r="AA123" s="24">
        <v>0</v>
      </c>
      <c r="AB123" s="24">
        <v>0</v>
      </c>
    </row>
    <row r="124" spans="1:28" hidden="1" x14ac:dyDescent="0.25">
      <c r="A124" s="150" t="s">
        <v>146</v>
      </c>
      <c r="B124" s="24">
        <v>2</v>
      </c>
      <c r="C124" s="24"/>
      <c r="D124" s="23">
        <v>39140</v>
      </c>
      <c r="E124" s="104">
        <v>2191</v>
      </c>
      <c r="F124" s="23">
        <v>40940</v>
      </c>
      <c r="G124" s="27">
        <v>41331</v>
      </c>
      <c r="H124" s="104">
        <v>1800</v>
      </c>
      <c r="I124" s="19">
        <v>391</v>
      </c>
      <c r="J124" s="83" t="s">
        <v>65</v>
      </c>
      <c r="K124" s="24">
        <v>5.18</v>
      </c>
      <c r="L124" s="19">
        <v>0</v>
      </c>
      <c r="M124" s="19">
        <v>1</v>
      </c>
      <c r="N124" s="19">
        <v>1</v>
      </c>
      <c r="O124" s="19">
        <v>1</v>
      </c>
      <c r="P124" s="24">
        <v>6</v>
      </c>
      <c r="Q124" s="24">
        <v>36</v>
      </c>
      <c r="R124" s="24">
        <v>0</v>
      </c>
      <c r="S124" s="129">
        <v>0</v>
      </c>
      <c r="T124" s="129">
        <v>0</v>
      </c>
      <c r="U124" s="4">
        <v>60</v>
      </c>
      <c r="V124" s="24">
        <v>0</v>
      </c>
      <c r="W124" s="24">
        <v>2</v>
      </c>
      <c r="X124" s="24">
        <v>0.35</v>
      </c>
      <c r="Y124" s="24">
        <v>3</v>
      </c>
      <c r="Z124" s="24">
        <v>0.35</v>
      </c>
      <c r="AA124" s="24">
        <v>0</v>
      </c>
      <c r="AB124" s="24">
        <v>0</v>
      </c>
    </row>
    <row r="125" spans="1:28" hidden="1" x14ac:dyDescent="0.25">
      <c r="A125" s="24" t="s">
        <v>133</v>
      </c>
      <c r="B125" s="24">
        <v>2</v>
      </c>
      <c r="C125" s="24"/>
      <c r="D125" s="23">
        <v>39119</v>
      </c>
      <c r="E125" s="104">
        <v>2212</v>
      </c>
      <c r="F125" s="23">
        <v>40687</v>
      </c>
      <c r="G125" s="27">
        <v>41331</v>
      </c>
      <c r="H125" s="104">
        <v>1568</v>
      </c>
      <c r="I125" s="19">
        <v>644</v>
      </c>
      <c r="J125" s="83" t="s">
        <v>65</v>
      </c>
      <c r="K125" s="24">
        <v>5.15</v>
      </c>
      <c r="L125" s="19">
        <v>1</v>
      </c>
      <c r="M125" s="19">
        <v>1</v>
      </c>
      <c r="N125" s="19">
        <v>1</v>
      </c>
      <c r="O125" s="19">
        <v>1</v>
      </c>
      <c r="P125" s="24">
        <v>70</v>
      </c>
      <c r="Q125" s="24">
        <v>3</v>
      </c>
      <c r="R125" s="24">
        <v>0</v>
      </c>
      <c r="S125" s="129">
        <v>0</v>
      </c>
      <c r="T125" s="129">
        <v>1</v>
      </c>
      <c r="U125" s="4">
        <v>60</v>
      </c>
      <c r="V125" s="24">
        <v>0</v>
      </c>
      <c r="W125" s="24">
        <v>4.5</v>
      </c>
      <c r="X125" s="24">
        <v>0.6</v>
      </c>
      <c r="Y125" s="24">
        <v>2.5</v>
      </c>
      <c r="Z125" s="24">
        <v>0.5</v>
      </c>
      <c r="AA125" s="24">
        <v>0</v>
      </c>
      <c r="AB125" s="24">
        <v>0</v>
      </c>
    </row>
    <row r="126" spans="1:28" hidden="1" x14ac:dyDescent="0.25">
      <c r="A126" s="24" t="s">
        <v>133</v>
      </c>
      <c r="B126" s="24">
        <v>2</v>
      </c>
      <c r="C126" s="24"/>
      <c r="D126" s="23">
        <v>39119</v>
      </c>
      <c r="E126" s="104">
        <v>2212</v>
      </c>
      <c r="F126" s="23">
        <v>40736</v>
      </c>
      <c r="G126" s="27">
        <v>41331</v>
      </c>
      <c r="H126" s="104">
        <v>1617</v>
      </c>
      <c r="I126" s="19">
        <v>595</v>
      </c>
      <c r="J126" s="83" t="s">
        <v>65</v>
      </c>
      <c r="K126" s="24">
        <v>5.14</v>
      </c>
      <c r="L126" s="19">
        <v>1</v>
      </c>
      <c r="M126" s="19">
        <v>1</v>
      </c>
      <c r="N126" s="19">
        <v>1</v>
      </c>
      <c r="O126" s="19">
        <v>1</v>
      </c>
      <c r="P126" s="24">
        <v>74</v>
      </c>
      <c r="Q126" s="24">
        <v>31</v>
      </c>
      <c r="R126" s="24">
        <v>0</v>
      </c>
      <c r="S126" s="127">
        <v>0</v>
      </c>
      <c r="T126" s="127">
        <v>0</v>
      </c>
      <c r="U126" s="4">
        <v>60</v>
      </c>
      <c r="V126" s="24">
        <v>0</v>
      </c>
      <c r="W126" s="24">
        <v>4.5</v>
      </c>
      <c r="X126" s="24">
        <v>0.6</v>
      </c>
      <c r="Y126" s="24">
        <v>2.5</v>
      </c>
      <c r="Z126" s="24">
        <v>0.5</v>
      </c>
      <c r="AA126" s="24">
        <v>0</v>
      </c>
      <c r="AB126" s="24">
        <v>0</v>
      </c>
    </row>
    <row r="127" spans="1:28" hidden="1" x14ac:dyDescent="0.25">
      <c r="A127" s="163" t="s">
        <v>133</v>
      </c>
      <c r="B127" s="24">
        <v>2</v>
      </c>
      <c r="C127" s="24"/>
      <c r="D127" s="23">
        <v>39119</v>
      </c>
      <c r="E127" s="104">
        <v>2212</v>
      </c>
      <c r="F127" s="23">
        <v>40834</v>
      </c>
      <c r="G127" s="27">
        <v>41331</v>
      </c>
      <c r="H127" s="104">
        <v>1715</v>
      </c>
      <c r="I127" s="19">
        <v>497</v>
      </c>
      <c r="J127" s="83" t="s">
        <v>65</v>
      </c>
      <c r="K127" s="24">
        <v>5.14</v>
      </c>
      <c r="L127" s="19">
        <v>0</v>
      </c>
      <c r="M127" s="19">
        <v>1</v>
      </c>
      <c r="N127" s="19">
        <v>1</v>
      </c>
      <c r="O127" s="19">
        <v>1</v>
      </c>
      <c r="P127" s="24">
        <v>70</v>
      </c>
      <c r="Q127" s="24">
        <v>29</v>
      </c>
      <c r="R127" s="24">
        <v>0</v>
      </c>
      <c r="S127" s="127">
        <v>0</v>
      </c>
      <c r="T127" s="127">
        <v>0</v>
      </c>
      <c r="U127" s="4">
        <v>60</v>
      </c>
      <c r="V127" s="24">
        <v>0</v>
      </c>
      <c r="W127" s="24">
        <v>4.5</v>
      </c>
      <c r="X127" s="24">
        <v>0.6</v>
      </c>
      <c r="Y127" s="24">
        <v>2.5</v>
      </c>
      <c r="Z127" s="24">
        <v>0.5</v>
      </c>
      <c r="AA127" s="24">
        <v>0</v>
      </c>
      <c r="AB127" s="24">
        <v>0</v>
      </c>
    </row>
    <row r="128" spans="1:28" hidden="1" x14ac:dyDescent="0.25">
      <c r="A128" s="163" t="s">
        <v>133</v>
      </c>
      <c r="B128" s="24">
        <v>2</v>
      </c>
      <c r="C128" s="24"/>
      <c r="D128" s="23">
        <v>39119</v>
      </c>
      <c r="E128" s="104">
        <v>2212</v>
      </c>
      <c r="F128" s="23">
        <v>40940</v>
      </c>
      <c r="G128" s="27">
        <v>41331</v>
      </c>
      <c r="H128" s="104">
        <v>1821</v>
      </c>
      <c r="I128" s="19">
        <v>391</v>
      </c>
      <c r="J128" s="83" t="s">
        <v>65</v>
      </c>
      <c r="K128" s="24">
        <v>5.13</v>
      </c>
      <c r="L128" s="19">
        <v>0</v>
      </c>
      <c r="M128" s="19">
        <v>1</v>
      </c>
      <c r="N128" s="19">
        <v>1</v>
      </c>
      <c r="O128" s="19">
        <v>1</v>
      </c>
      <c r="P128" s="24">
        <v>69</v>
      </c>
      <c r="Q128" s="24">
        <v>5</v>
      </c>
      <c r="R128" s="24">
        <v>0</v>
      </c>
      <c r="S128" s="127">
        <v>0</v>
      </c>
      <c r="T128" s="127">
        <v>0</v>
      </c>
      <c r="U128" s="4">
        <v>60</v>
      </c>
      <c r="V128" s="24">
        <v>0</v>
      </c>
      <c r="W128" s="24">
        <v>4.5</v>
      </c>
      <c r="X128" s="24">
        <v>0.6</v>
      </c>
      <c r="Y128" s="24">
        <v>2.5</v>
      </c>
      <c r="Z128" s="24">
        <v>0.5</v>
      </c>
      <c r="AA128" s="24">
        <v>0</v>
      </c>
      <c r="AB128" s="24">
        <v>0</v>
      </c>
    </row>
    <row r="129" spans="1:28" hidden="1" x14ac:dyDescent="0.25">
      <c r="A129" s="163" t="s">
        <v>133</v>
      </c>
      <c r="B129" s="24">
        <v>2</v>
      </c>
      <c r="C129" s="24"/>
      <c r="D129" s="23">
        <v>39119</v>
      </c>
      <c r="E129" s="104">
        <v>2212</v>
      </c>
      <c r="F129" s="23">
        <v>41100</v>
      </c>
      <c r="G129" s="27">
        <v>41331</v>
      </c>
      <c r="H129" s="104">
        <v>1981</v>
      </c>
      <c r="I129" s="19">
        <v>231</v>
      </c>
      <c r="J129" s="83" t="s">
        <v>65</v>
      </c>
      <c r="K129" s="24">
        <v>5.07</v>
      </c>
      <c r="L129" s="19">
        <v>0</v>
      </c>
      <c r="M129" s="19">
        <v>0</v>
      </c>
      <c r="N129" s="19">
        <v>1</v>
      </c>
      <c r="O129" s="19">
        <v>1</v>
      </c>
      <c r="P129" s="24">
        <v>64</v>
      </c>
      <c r="Q129" s="24">
        <v>21</v>
      </c>
      <c r="R129" s="24">
        <v>0</v>
      </c>
      <c r="S129" s="127">
        <v>0</v>
      </c>
      <c r="T129" s="127">
        <v>0</v>
      </c>
      <c r="U129" s="4">
        <v>60</v>
      </c>
      <c r="V129" s="24">
        <v>0</v>
      </c>
      <c r="W129" s="24">
        <v>3</v>
      </c>
      <c r="X129" s="24">
        <v>0.6</v>
      </c>
      <c r="Y129" s="24">
        <v>3</v>
      </c>
      <c r="Z129" s="24">
        <v>0.5</v>
      </c>
      <c r="AA129" s="24">
        <v>0</v>
      </c>
      <c r="AB129" s="24">
        <v>0</v>
      </c>
    </row>
    <row r="130" spans="1:28" x14ac:dyDescent="0.25">
      <c r="A130" s="163" t="s">
        <v>133</v>
      </c>
      <c r="B130" s="24">
        <v>2</v>
      </c>
      <c r="C130" s="24"/>
      <c r="D130" s="23">
        <v>39119</v>
      </c>
      <c r="E130" s="104">
        <v>2212</v>
      </c>
      <c r="F130" s="27">
        <v>41331</v>
      </c>
      <c r="G130" s="27">
        <v>41331</v>
      </c>
      <c r="H130" s="104">
        <v>2212</v>
      </c>
      <c r="I130" s="19">
        <v>0</v>
      </c>
      <c r="J130" s="83" t="s">
        <v>65</v>
      </c>
      <c r="K130" s="24">
        <v>4.72</v>
      </c>
      <c r="L130" s="19">
        <v>0</v>
      </c>
      <c r="M130" s="19">
        <v>0</v>
      </c>
      <c r="N130" s="19">
        <v>0</v>
      </c>
      <c r="O130" s="19">
        <v>0</v>
      </c>
      <c r="P130" s="24">
        <v>60</v>
      </c>
      <c r="Q130" s="24">
        <v>20</v>
      </c>
      <c r="R130" s="24">
        <v>0</v>
      </c>
      <c r="S130" s="127">
        <v>0</v>
      </c>
      <c r="T130" s="127">
        <v>0</v>
      </c>
      <c r="U130" s="4">
        <v>60</v>
      </c>
      <c r="V130" s="24">
        <v>1</v>
      </c>
      <c r="W130" s="24">
        <v>3</v>
      </c>
      <c r="X130" s="24">
        <v>0.6</v>
      </c>
      <c r="Y130" s="24">
        <v>3</v>
      </c>
      <c r="Z130" s="24">
        <v>0.5</v>
      </c>
      <c r="AA130" s="24">
        <v>0</v>
      </c>
      <c r="AB130" s="24">
        <v>0</v>
      </c>
    </row>
    <row r="131" spans="1:28" hidden="1" x14ac:dyDescent="0.25">
      <c r="A131" s="24" t="s">
        <v>97</v>
      </c>
      <c r="B131" s="24">
        <v>2</v>
      </c>
      <c r="D131" s="27">
        <v>39147</v>
      </c>
      <c r="E131" s="104">
        <v>2289</v>
      </c>
      <c r="F131" s="25">
        <v>40197</v>
      </c>
      <c r="G131" s="13">
        <v>41436</v>
      </c>
      <c r="H131" s="104">
        <v>1050</v>
      </c>
      <c r="I131" s="19">
        <v>1239</v>
      </c>
      <c r="J131" s="83" t="s">
        <v>65</v>
      </c>
      <c r="K131" s="24">
        <v>5.85</v>
      </c>
      <c r="L131" s="19">
        <v>1</v>
      </c>
      <c r="M131" s="19">
        <v>1</v>
      </c>
      <c r="N131" s="19">
        <v>1</v>
      </c>
      <c r="O131" s="19">
        <v>1</v>
      </c>
      <c r="P131" s="24">
        <v>99</v>
      </c>
      <c r="Q131" s="24">
        <v>99</v>
      </c>
      <c r="R131" s="24">
        <v>0</v>
      </c>
      <c r="S131" s="127">
        <v>0</v>
      </c>
      <c r="T131" s="127">
        <v>0</v>
      </c>
      <c r="U131" s="4">
        <v>60</v>
      </c>
      <c r="V131" s="24">
        <v>1</v>
      </c>
      <c r="W131" s="24">
        <v>2.5</v>
      </c>
      <c r="X131" s="24">
        <v>0.5</v>
      </c>
      <c r="Y131" s="24">
        <v>2.5</v>
      </c>
      <c r="Z131" s="24">
        <v>0.5</v>
      </c>
      <c r="AA131" s="24">
        <v>0</v>
      </c>
      <c r="AB131" s="24">
        <v>0</v>
      </c>
    </row>
    <row r="132" spans="1:28" hidden="1" x14ac:dyDescent="0.25">
      <c r="A132" s="24" t="s">
        <v>97</v>
      </c>
      <c r="B132" s="24">
        <v>2</v>
      </c>
      <c r="D132" s="27">
        <v>39147</v>
      </c>
      <c r="E132" s="104">
        <v>2289</v>
      </c>
      <c r="F132" s="25">
        <v>40750</v>
      </c>
      <c r="G132" s="13">
        <v>41436</v>
      </c>
      <c r="H132" s="104">
        <v>1603</v>
      </c>
      <c r="I132" s="19">
        <v>686</v>
      </c>
      <c r="J132" s="83" t="s">
        <v>65</v>
      </c>
      <c r="K132" s="4">
        <v>5.15</v>
      </c>
      <c r="L132" s="19">
        <v>1</v>
      </c>
      <c r="M132" s="19">
        <v>1</v>
      </c>
      <c r="N132" s="19">
        <v>1</v>
      </c>
      <c r="O132" s="19">
        <v>1</v>
      </c>
      <c r="P132" s="4">
        <v>99</v>
      </c>
      <c r="Q132" s="4">
        <v>91</v>
      </c>
      <c r="R132" s="24">
        <v>0</v>
      </c>
      <c r="S132" s="127">
        <v>0</v>
      </c>
      <c r="T132" s="127">
        <v>0</v>
      </c>
      <c r="U132" s="4">
        <v>60</v>
      </c>
      <c r="V132" s="24">
        <v>1</v>
      </c>
      <c r="W132" s="24">
        <v>2.5</v>
      </c>
      <c r="X132" s="24">
        <v>0.5</v>
      </c>
      <c r="Y132" s="24">
        <v>2.5</v>
      </c>
      <c r="Z132" s="24">
        <v>0.5</v>
      </c>
      <c r="AA132" s="24">
        <v>0</v>
      </c>
      <c r="AB132" s="24">
        <v>0</v>
      </c>
    </row>
    <row r="133" spans="1:28" hidden="1" x14ac:dyDescent="0.25">
      <c r="A133" s="159" t="s">
        <v>97</v>
      </c>
      <c r="B133" s="4">
        <v>2</v>
      </c>
      <c r="D133" s="13">
        <v>39147</v>
      </c>
      <c r="E133" s="104">
        <v>2289</v>
      </c>
      <c r="F133" s="13">
        <v>40960</v>
      </c>
      <c r="G133" s="13">
        <v>41436</v>
      </c>
      <c r="H133" s="104">
        <v>1813</v>
      </c>
      <c r="I133" s="19">
        <v>476</v>
      </c>
      <c r="J133" s="83" t="s">
        <v>65</v>
      </c>
      <c r="K133" s="4">
        <v>5.13</v>
      </c>
      <c r="L133" s="19">
        <v>0</v>
      </c>
      <c r="M133" s="19">
        <v>1</v>
      </c>
      <c r="N133" s="19">
        <v>1</v>
      </c>
      <c r="O133" s="19">
        <v>1</v>
      </c>
      <c r="P133" s="4">
        <v>100</v>
      </c>
      <c r="Q133" s="4">
        <v>95</v>
      </c>
      <c r="R133" s="24">
        <v>0</v>
      </c>
      <c r="S133" s="125">
        <v>0</v>
      </c>
      <c r="T133" s="125">
        <v>0</v>
      </c>
      <c r="U133" s="4">
        <v>60</v>
      </c>
      <c r="V133" s="4">
        <v>1</v>
      </c>
      <c r="W133" s="4">
        <v>2.5</v>
      </c>
      <c r="X133" s="4">
        <v>0.5</v>
      </c>
      <c r="Y133" s="4">
        <v>2.5</v>
      </c>
      <c r="Z133" s="4">
        <v>0.5</v>
      </c>
      <c r="AA133" s="24">
        <v>0</v>
      </c>
      <c r="AB133" s="24">
        <v>0</v>
      </c>
    </row>
    <row r="134" spans="1:28" hidden="1" x14ac:dyDescent="0.25">
      <c r="A134" s="159" t="s">
        <v>97</v>
      </c>
      <c r="B134" s="4">
        <v>2</v>
      </c>
      <c r="D134" s="13">
        <v>39147</v>
      </c>
      <c r="E134" s="104">
        <v>2289</v>
      </c>
      <c r="F134" s="13">
        <v>41138</v>
      </c>
      <c r="G134" s="13">
        <v>41436</v>
      </c>
      <c r="H134" s="104">
        <v>1991</v>
      </c>
      <c r="I134" s="19">
        <v>298</v>
      </c>
      <c r="J134" s="83" t="s">
        <v>65</v>
      </c>
      <c r="K134" s="4">
        <v>5.1100000000000003</v>
      </c>
      <c r="L134" s="19">
        <v>0</v>
      </c>
      <c r="M134" s="19">
        <v>0</v>
      </c>
      <c r="N134" s="19">
        <v>1</v>
      </c>
      <c r="O134" s="19">
        <v>1</v>
      </c>
      <c r="P134" s="4">
        <v>100</v>
      </c>
      <c r="Q134" s="4">
        <v>91</v>
      </c>
      <c r="R134" s="24">
        <v>0</v>
      </c>
      <c r="S134" s="125">
        <v>0</v>
      </c>
      <c r="T134" s="125">
        <v>1</v>
      </c>
      <c r="U134" s="4">
        <v>60</v>
      </c>
      <c r="V134" s="4">
        <v>1</v>
      </c>
      <c r="W134" s="4">
        <v>2.5</v>
      </c>
      <c r="X134" s="4">
        <v>0.5</v>
      </c>
      <c r="Y134" s="4">
        <v>2.5</v>
      </c>
      <c r="Z134" s="4">
        <v>0.5</v>
      </c>
      <c r="AA134" s="24">
        <v>0</v>
      </c>
      <c r="AB134" s="24">
        <v>0</v>
      </c>
    </row>
    <row r="135" spans="1:28" hidden="1" x14ac:dyDescent="0.25">
      <c r="A135" s="158" t="s">
        <v>97</v>
      </c>
      <c r="B135" s="24">
        <v>2</v>
      </c>
      <c r="D135" s="27">
        <v>39147</v>
      </c>
      <c r="E135" s="104">
        <v>2289</v>
      </c>
      <c r="F135" s="25">
        <v>41163</v>
      </c>
      <c r="G135" s="13">
        <v>41436</v>
      </c>
      <c r="H135" s="104">
        <v>2016</v>
      </c>
      <c r="I135" s="19">
        <v>273</v>
      </c>
      <c r="J135" s="83" t="s">
        <v>65</v>
      </c>
      <c r="K135" s="4">
        <v>5.1100000000000003</v>
      </c>
      <c r="L135" s="19">
        <v>0</v>
      </c>
      <c r="M135" s="19">
        <v>0</v>
      </c>
      <c r="N135" s="19">
        <v>1</v>
      </c>
      <c r="O135" s="19">
        <v>1</v>
      </c>
      <c r="P135" s="4">
        <v>100</v>
      </c>
      <c r="Q135" s="4">
        <v>2</v>
      </c>
      <c r="R135" s="24">
        <v>0</v>
      </c>
      <c r="S135" s="127">
        <v>0</v>
      </c>
      <c r="T135" s="127">
        <v>0</v>
      </c>
      <c r="U135" s="24">
        <v>70</v>
      </c>
      <c r="V135" s="24">
        <v>1</v>
      </c>
      <c r="W135" s="24">
        <v>2.5</v>
      </c>
      <c r="X135" s="24">
        <v>0.5</v>
      </c>
      <c r="Y135" s="24">
        <v>2.5</v>
      </c>
      <c r="Z135" s="24">
        <v>0.5</v>
      </c>
      <c r="AA135" s="24">
        <v>0</v>
      </c>
      <c r="AB135" s="24">
        <v>0</v>
      </c>
    </row>
    <row r="136" spans="1:28" x14ac:dyDescent="0.25">
      <c r="A136" s="159" t="s">
        <v>97</v>
      </c>
      <c r="B136" s="4">
        <v>2</v>
      </c>
      <c r="D136" s="13">
        <v>39147</v>
      </c>
      <c r="E136" s="104">
        <v>2289</v>
      </c>
      <c r="F136" s="13">
        <v>41345</v>
      </c>
      <c r="G136" s="13">
        <v>41436</v>
      </c>
      <c r="H136" s="104">
        <v>2198</v>
      </c>
      <c r="I136" s="19">
        <v>91</v>
      </c>
      <c r="J136" s="83" t="s">
        <v>65</v>
      </c>
      <c r="K136" s="4">
        <v>4.9800000000000004</v>
      </c>
      <c r="L136" s="19">
        <v>0</v>
      </c>
      <c r="M136" s="19">
        <v>0</v>
      </c>
      <c r="N136" s="19">
        <v>0</v>
      </c>
      <c r="O136" s="19">
        <v>1</v>
      </c>
      <c r="P136" s="4">
        <v>100</v>
      </c>
      <c r="Q136" s="4">
        <v>1</v>
      </c>
      <c r="R136" s="24">
        <v>0</v>
      </c>
      <c r="S136" s="128">
        <v>0</v>
      </c>
      <c r="T136" s="128">
        <v>0</v>
      </c>
      <c r="U136" s="4">
        <v>60</v>
      </c>
      <c r="V136" s="4">
        <v>1</v>
      </c>
      <c r="W136" s="4">
        <v>2.5</v>
      </c>
      <c r="X136" s="4">
        <v>0.5</v>
      </c>
      <c r="Y136" s="4">
        <v>2.5</v>
      </c>
      <c r="Z136" s="4">
        <v>0.5</v>
      </c>
      <c r="AA136" s="24">
        <v>0</v>
      </c>
      <c r="AB136" s="24">
        <v>0</v>
      </c>
    </row>
    <row r="137" spans="1:28" x14ac:dyDescent="0.25">
      <c r="A137" s="159" t="s">
        <v>97</v>
      </c>
      <c r="B137" s="4">
        <v>2</v>
      </c>
      <c r="D137" s="13">
        <v>39147</v>
      </c>
      <c r="E137" s="104">
        <v>2289</v>
      </c>
      <c r="F137" s="13">
        <v>41401</v>
      </c>
      <c r="G137" s="13">
        <v>41436</v>
      </c>
      <c r="H137" s="104">
        <v>2254</v>
      </c>
      <c r="I137" s="19">
        <v>35</v>
      </c>
      <c r="J137" s="83" t="s">
        <v>65</v>
      </c>
      <c r="K137" s="4">
        <v>4.88</v>
      </c>
      <c r="L137" s="19">
        <v>0</v>
      </c>
      <c r="M137" s="19">
        <v>0</v>
      </c>
      <c r="N137" s="19">
        <v>0</v>
      </c>
      <c r="O137" s="19">
        <v>0</v>
      </c>
      <c r="P137" s="4">
        <v>99</v>
      </c>
      <c r="Q137" s="4">
        <v>0</v>
      </c>
      <c r="R137" s="24">
        <v>0</v>
      </c>
      <c r="S137" s="128">
        <v>0</v>
      </c>
      <c r="T137" s="128">
        <v>0</v>
      </c>
      <c r="U137" s="4">
        <v>60</v>
      </c>
      <c r="V137" s="4">
        <v>1</v>
      </c>
      <c r="W137" s="4">
        <v>2.5</v>
      </c>
      <c r="X137" s="4">
        <v>0.5</v>
      </c>
      <c r="Y137" s="4">
        <v>2.5</v>
      </c>
      <c r="Z137" s="4">
        <v>0.5</v>
      </c>
      <c r="AA137" s="24">
        <v>0</v>
      </c>
      <c r="AB137" s="24">
        <v>0</v>
      </c>
    </row>
    <row r="138" spans="1:28" x14ac:dyDescent="0.25">
      <c r="A138" s="159" t="s">
        <v>97</v>
      </c>
      <c r="B138" s="4">
        <v>2</v>
      </c>
      <c r="D138" s="13">
        <v>39147</v>
      </c>
      <c r="E138" s="104">
        <v>2289</v>
      </c>
      <c r="F138" s="13">
        <v>41436</v>
      </c>
      <c r="G138" s="13">
        <v>41436</v>
      </c>
      <c r="H138" s="104">
        <v>2289</v>
      </c>
      <c r="I138" s="19">
        <v>0</v>
      </c>
      <c r="J138" s="83" t="s">
        <v>65</v>
      </c>
      <c r="K138" s="4">
        <v>4.8099999999999996</v>
      </c>
      <c r="L138" s="19">
        <v>0</v>
      </c>
      <c r="M138" s="19">
        <v>0</v>
      </c>
      <c r="N138" s="19">
        <v>0</v>
      </c>
      <c r="O138" s="19">
        <v>0</v>
      </c>
      <c r="P138" s="4">
        <v>99</v>
      </c>
      <c r="Q138" s="4">
        <v>0</v>
      </c>
      <c r="R138" s="24">
        <v>0</v>
      </c>
      <c r="S138" s="128">
        <v>0</v>
      </c>
      <c r="T138" s="128">
        <v>0</v>
      </c>
      <c r="U138" s="4">
        <v>70</v>
      </c>
      <c r="V138" s="4">
        <v>0</v>
      </c>
      <c r="W138" s="4">
        <v>2.5</v>
      </c>
      <c r="X138" s="4">
        <v>0.5</v>
      </c>
      <c r="Y138" s="4">
        <v>2.5</v>
      </c>
      <c r="Z138" s="4">
        <v>0.5</v>
      </c>
      <c r="AA138" s="24">
        <v>0</v>
      </c>
      <c r="AB138" s="24">
        <v>0</v>
      </c>
    </row>
    <row r="139" spans="1:28" hidden="1" x14ac:dyDescent="0.25">
      <c r="A139" s="24" t="s">
        <v>317</v>
      </c>
      <c r="B139" s="24">
        <v>2</v>
      </c>
      <c r="D139" s="27">
        <v>39175</v>
      </c>
      <c r="E139" s="104">
        <v>2794</v>
      </c>
      <c r="F139" s="27">
        <v>40127</v>
      </c>
      <c r="G139" s="25">
        <v>41969</v>
      </c>
      <c r="H139" s="104">
        <v>952</v>
      </c>
      <c r="I139" s="19">
        <v>1842</v>
      </c>
      <c r="J139" s="83" t="s">
        <v>65</v>
      </c>
      <c r="K139" s="4">
        <v>6.26</v>
      </c>
      <c r="L139" s="19">
        <v>1</v>
      </c>
      <c r="M139" s="19">
        <v>1</v>
      </c>
      <c r="N139" s="19">
        <v>1</v>
      </c>
      <c r="O139" s="19">
        <v>1</v>
      </c>
      <c r="P139" s="4">
        <v>0</v>
      </c>
      <c r="Q139" s="4">
        <v>0</v>
      </c>
      <c r="R139" s="24">
        <v>0</v>
      </c>
      <c r="S139" s="127">
        <v>0</v>
      </c>
      <c r="T139" s="127">
        <v>0</v>
      </c>
      <c r="U139" s="4">
        <v>60</v>
      </c>
      <c r="V139" s="4">
        <v>0</v>
      </c>
      <c r="W139" s="4">
        <v>2.5</v>
      </c>
      <c r="X139" s="4">
        <v>0.35</v>
      </c>
      <c r="Y139" s="4">
        <v>3</v>
      </c>
      <c r="Z139" s="4">
        <v>0.35</v>
      </c>
      <c r="AA139" s="24">
        <v>0</v>
      </c>
      <c r="AB139" s="24">
        <v>0</v>
      </c>
    </row>
    <row r="140" spans="1:28" hidden="1" x14ac:dyDescent="0.25">
      <c r="A140" s="24" t="s">
        <v>317</v>
      </c>
      <c r="B140" s="24">
        <v>2</v>
      </c>
      <c r="D140" s="27">
        <v>39175</v>
      </c>
      <c r="E140" s="104">
        <v>2794</v>
      </c>
      <c r="F140" s="25">
        <v>40191</v>
      </c>
      <c r="G140" s="25">
        <v>41969</v>
      </c>
      <c r="H140" s="104">
        <v>1016</v>
      </c>
      <c r="I140" s="19">
        <v>1778</v>
      </c>
      <c r="J140" s="83" t="s">
        <v>65</v>
      </c>
      <c r="K140" s="4">
        <v>6.16</v>
      </c>
      <c r="L140" s="19">
        <v>1</v>
      </c>
      <c r="M140" s="19">
        <v>1</v>
      </c>
      <c r="N140" s="19">
        <v>1</v>
      </c>
      <c r="O140" s="19">
        <v>1</v>
      </c>
      <c r="P140" s="4">
        <v>0</v>
      </c>
      <c r="Q140" s="4">
        <v>0</v>
      </c>
      <c r="R140" s="24">
        <v>0</v>
      </c>
      <c r="S140" s="127">
        <v>1</v>
      </c>
      <c r="T140" s="127">
        <v>0</v>
      </c>
      <c r="U140" s="4">
        <v>60</v>
      </c>
      <c r="V140" s="4">
        <v>0</v>
      </c>
      <c r="W140" s="4">
        <v>2.5</v>
      </c>
      <c r="X140" s="4">
        <v>0.35</v>
      </c>
      <c r="Y140" s="4">
        <v>3</v>
      </c>
      <c r="Z140" s="4">
        <v>0.35</v>
      </c>
      <c r="AA140" s="24">
        <v>0</v>
      </c>
      <c r="AB140" s="24">
        <v>0</v>
      </c>
    </row>
    <row r="141" spans="1:28" hidden="1" x14ac:dyDescent="0.25">
      <c r="A141" s="24" t="s">
        <v>317</v>
      </c>
      <c r="B141" s="24">
        <v>2</v>
      </c>
      <c r="D141" s="27">
        <v>39175</v>
      </c>
      <c r="E141" s="104">
        <v>2794</v>
      </c>
      <c r="F141" s="25">
        <v>40309</v>
      </c>
      <c r="G141" s="25">
        <v>41969</v>
      </c>
      <c r="H141" s="104">
        <v>1134</v>
      </c>
      <c r="I141" s="19">
        <v>1660</v>
      </c>
      <c r="J141" s="83" t="s">
        <v>65</v>
      </c>
      <c r="K141" s="4">
        <v>6.02</v>
      </c>
      <c r="L141" s="19">
        <v>1</v>
      </c>
      <c r="M141" s="19">
        <v>1</v>
      </c>
      <c r="N141" s="19">
        <v>1</v>
      </c>
      <c r="O141" s="19">
        <v>1</v>
      </c>
      <c r="P141" s="4">
        <v>0</v>
      </c>
      <c r="Q141" s="4">
        <v>0</v>
      </c>
      <c r="R141" s="24">
        <v>0</v>
      </c>
      <c r="S141" s="127">
        <v>1</v>
      </c>
      <c r="T141" s="127">
        <v>0</v>
      </c>
      <c r="U141" s="4">
        <v>60</v>
      </c>
      <c r="V141" s="4">
        <v>0</v>
      </c>
      <c r="W141" s="4">
        <v>2.5</v>
      </c>
      <c r="X141" s="4">
        <v>0.35</v>
      </c>
      <c r="Y141" s="4">
        <v>3</v>
      </c>
      <c r="Z141" s="4">
        <v>0.35</v>
      </c>
      <c r="AA141" s="24">
        <v>0</v>
      </c>
      <c r="AB141" s="24">
        <v>0</v>
      </c>
    </row>
    <row r="142" spans="1:28" hidden="1" x14ac:dyDescent="0.25">
      <c r="A142" s="24" t="s">
        <v>317</v>
      </c>
      <c r="B142" s="24">
        <v>2</v>
      </c>
      <c r="D142" s="27">
        <v>39175</v>
      </c>
      <c r="E142" s="104">
        <v>2794</v>
      </c>
      <c r="F142" s="25">
        <v>40337</v>
      </c>
      <c r="G142" s="25">
        <v>41969</v>
      </c>
      <c r="H142" s="104">
        <v>1162</v>
      </c>
      <c r="I142" s="19">
        <v>1632</v>
      </c>
      <c r="J142" s="83" t="s">
        <v>65</v>
      </c>
      <c r="K142" s="4">
        <v>6.05</v>
      </c>
      <c r="L142" s="19">
        <v>1</v>
      </c>
      <c r="M142" s="19">
        <v>1</v>
      </c>
      <c r="N142" s="19">
        <v>1</v>
      </c>
      <c r="O142" s="19">
        <v>1</v>
      </c>
      <c r="P142" s="4">
        <v>0</v>
      </c>
      <c r="Q142" s="4">
        <v>0</v>
      </c>
      <c r="R142" s="24">
        <v>0</v>
      </c>
      <c r="S142" s="127">
        <v>0</v>
      </c>
      <c r="T142" s="127">
        <v>0</v>
      </c>
      <c r="U142" s="4">
        <v>60</v>
      </c>
      <c r="V142" s="4">
        <v>0</v>
      </c>
      <c r="W142" s="4">
        <v>2.5</v>
      </c>
      <c r="X142" s="4">
        <v>0.35</v>
      </c>
      <c r="Y142" s="4">
        <v>3</v>
      </c>
      <c r="Z142" s="4">
        <v>0.35</v>
      </c>
      <c r="AA142" s="24">
        <v>0</v>
      </c>
      <c r="AB142" s="24">
        <v>0</v>
      </c>
    </row>
    <row r="143" spans="1:28" x14ac:dyDescent="0.25">
      <c r="A143" s="150" t="s">
        <v>317</v>
      </c>
      <c r="B143" s="24">
        <v>2</v>
      </c>
      <c r="D143" s="27">
        <v>39175</v>
      </c>
      <c r="E143" s="104">
        <v>2794</v>
      </c>
      <c r="F143" s="89">
        <v>41969</v>
      </c>
      <c r="G143" s="89">
        <v>41969</v>
      </c>
      <c r="H143" s="104">
        <v>2794</v>
      </c>
      <c r="I143" s="19">
        <v>0</v>
      </c>
      <c r="J143" s="83" t="s">
        <v>65</v>
      </c>
      <c r="K143" s="92">
        <v>4.63</v>
      </c>
      <c r="L143" s="19">
        <v>0</v>
      </c>
      <c r="M143" s="19">
        <v>0</v>
      </c>
      <c r="N143" s="19">
        <v>0</v>
      </c>
      <c r="O143" s="19">
        <v>0</v>
      </c>
      <c r="P143" s="92">
        <v>1</v>
      </c>
      <c r="Q143" s="92">
        <v>100</v>
      </c>
      <c r="R143" s="83">
        <v>0</v>
      </c>
      <c r="S143" s="126">
        <v>0</v>
      </c>
      <c r="T143" s="126">
        <v>0</v>
      </c>
      <c r="U143" s="4">
        <v>60</v>
      </c>
      <c r="V143" s="92">
        <v>0</v>
      </c>
      <c r="W143" s="92">
        <v>2</v>
      </c>
      <c r="X143" s="92">
        <v>0.35</v>
      </c>
      <c r="Y143" s="92">
        <v>3</v>
      </c>
      <c r="Z143" s="92">
        <v>0.35</v>
      </c>
      <c r="AA143" s="83">
        <v>0</v>
      </c>
      <c r="AB143" s="83">
        <v>0</v>
      </c>
    </row>
    <row r="144" spans="1:28" hidden="1" x14ac:dyDescent="0.25">
      <c r="A144" s="24" t="s">
        <v>66</v>
      </c>
      <c r="B144" s="24">
        <v>2</v>
      </c>
      <c r="D144" s="27">
        <v>39575</v>
      </c>
      <c r="E144" s="104">
        <v>2631</v>
      </c>
      <c r="F144" s="25">
        <v>40218</v>
      </c>
      <c r="G144" s="13">
        <v>42206</v>
      </c>
      <c r="H144" s="104">
        <v>643</v>
      </c>
      <c r="I144" s="19">
        <v>1988</v>
      </c>
      <c r="J144" s="83" t="s">
        <v>65</v>
      </c>
      <c r="K144" s="24">
        <v>6.36</v>
      </c>
      <c r="L144" s="19">
        <v>1</v>
      </c>
      <c r="M144" s="19">
        <v>1</v>
      </c>
      <c r="N144" s="19">
        <v>1</v>
      </c>
      <c r="O144" s="19">
        <v>1</v>
      </c>
      <c r="P144" s="24">
        <v>0</v>
      </c>
      <c r="Q144" s="24">
        <v>0</v>
      </c>
      <c r="R144" s="24">
        <v>0</v>
      </c>
      <c r="S144" s="127">
        <v>0</v>
      </c>
      <c r="T144" s="127">
        <v>0</v>
      </c>
      <c r="U144" s="24">
        <v>60</v>
      </c>
      <c r="V144" s="24">
        <v>0</v>
      </c>
      <c r="W144" s="24">
        <v>2</v>
      </c>
      <c r="X144" s="24">
        <v>0.35</v>
      </c>
      <c r="Y144" s="24">
        <v>3.5</v>
      </c>
      <c r="Z144" s="24">
        <v>0.35</v>
      </c>
      <c r="AA144" s="24">
        <v>0</v>
      </c>
      <c r="AB144" s="24">
        <v>0</v>
      </c>
    </row>
    <row r="145" spans="1:28" hidden="1" x14ac:dyDescent="0.25">
      <c r="A145" s="4" t="s">
        <v>66</v>
      </c>
      <c r="B145" s="4">
        <v>2</v>
      </c>
      <c r="D145" s="13">
        <v>39595</v>
      </c>
      <c r="E145" s="104">
        <v>2611</v>
      </c>
      <c r="F145" s="13">
        <v>40813</v>
      </c>
      <c r="G145" s="13">
        <v>42206</v>
      </c>
      <c r="H145" s="104">
        <v>1218</v>
      </c>
      <c r="I145" s="19">
        <v>1393</v>
      </c>
      <c r="J145" s="83" t="s">
        <v>65</v>
      </c>
      <c r="K145" s="4">
        <v>5.72</v>
      </c>
      <c r="L145" s="19">
        <v>1</v>
      </c>
      <c r="M145" s="19">
        <v>1</v>
      </c>
      <c r="N145" s="19">
        <v>1</v>
      </c>
      <c r="O145" s="19">
        <v>1</v>
      </c>
      <c r="P145" s="4">
        <v>1</v>
      </c>
      <c r="Q145" s="4">
        <v>0</v>
      </c>
      <c r="R145" s="24">
        <v>0</v>
      </c>
      <c r="S145" s="125">
        <v>0</v>
      </c>
      <c r="T145" s="125">
        <v>0</v>
      </c>
      <c r="U145" s="24">
        <v>60</v>
      </c>
      <c r="V145" s="4">
        <v>0</v>
      </c>
      <c r="W145" s="4">
        <v>2</v>
      </c>
      <c r="X145" s="4">
        <v>0.35</v>
      </c>
      <c r="Y145" s="4">
        <v>3.5</v>
      </c>
      <c r="Z145" s="4">
        <v>0.35</v>
      </c>
      <c r="AA145" s="24">
        <v>0</v>
      </c>
      <c r="AB145" s="24">
        <v>0</v>
      </c>
    </row>
    <row r="146" spans="1:28" hidden="1" x14ac:dyDescent="0.25">
      <c r="A146" s="24" t="s">
        <v>66</v>
      </c>
      <c r="B146" s="24">
        <v>2</v>
      </c>
      <c r="D146" s="27">
        <v>39575</v>
      </c>
      <c r="E146" s="104">
        <v>2631</v>
      </c>
      <c r="F146" s="25">
        <v>40988</v>
      </c>
      <c r="G146" s="13">
        <v>42206</v>
      </c>
      <c r="H146" s="104">
        <v>1413</v>
      </c>
      <c r="I146" s="19">
        <v>1218</v>
      </c>
      <c r="J146" s="83" t="s">
        <v>65</v>
      </c>
      <c r="K146" s="4">
        <v>5.32</v>
      </c>
      <c r="L146" s="19">
        <v>1</v>
      </c>
      <c r="M146" s="19">
        <v>1</v>
      </c>
      <c r="N146" s="19">
        <v>1</v>
      </c>
      <c r="O146" s="19">
        <v>1</v>
      </c>
      <c r="P146" s="4">
        <v>0</v>
      </c>
      <c r="Q146" s="4">
        <v>0</v>
      </c>
      <c r="R146" s="24">
        <v>0</v>
      </c>
      <c r="S146" s="125">
        <v>0</v>
      </c>
      <c r="T146" s="125">
        <v>0</v>
      </c>
      <c r="U146" s="24">
        <v>60</v>
      </c>
      <c r="V146" s="24">
        <v>0</v>
      </c>
      <c r="W146" s="24">
        <v>2</v>
      </c>
      <c r="X146" s="24">
        <v>0.35</v>
      </c>
      <c r="Y146" s="24">
        <v>3.5</v>
      </c>
      <c r="Z146" s="24">
        <v>0.35</v>
      </c>
      <c r="AA146" s="24">
        <v>0</v>
      </c>
      <c r="AB146" s="24">
        <v>0</v>
      </c>
    </row>
    <row r="147" spans="1:28" hidden="1" x14ac:dyDescent="0.25">
      <c r="A147" s="4" t="s">
        <v>66</v>
      </c>
      <c r="B147" s="4">
        <v>2</v>
      </c>
      <c r="D147" s="13">
        <v>39595</v>
      </c>
      <c r="E147" s="104">
        <v>2611</v>
      </c>
      <c r="F147" s="13">
        <v>41184</v>
      </c>
      <c r="G147" s="13">
        <v>42206</v>
      </c>
      <c r="H147" s="104">
        <v>1589</v>
      </c>
      <c r="I147" s="19">
        <v>1022</v>
      </c>
      <c r="J147" s="83" t="s">
        <v>65</v>
      </c>
      <c r="K147" s="4">
        <v>5.21</v>
      </c>
      <c r="L147" s="19">
        <v>1</v>
      </c>
      <c r="M147" s="19">
        <v>1</v>
      </c>
      <c r="N147" s="19">
        <v>1</v>
      </c>
      <c r="O147" s="19">
        <v>1</v>
      </c>
      <c r="P147" s="4">
        <v>0</v>
      </c>
      <c r="Q147" s="4">
        <v>0</v>
      </c>
      <c r="R147" s="24">
        <v>0</v>
      </c>
      <c r="S147" s="125">
        <v>0</v>
      </c>
      <c r="T147" s="125">
        <v>0</v>
      </c>
      <c r="U147" s="24">
        <v>60</v>
      </c>
      <c r="V147" s="4">
        <v>0</v>
      </c>
      <c r="W147" s="4">
        <v>2</v>
      </c>
      <c r="X147" s="4">
        <v>0.35</v>
      </c>
      <c r="Y147" s="4">
        <v>3.5</v>
      </c>
      <c r="Z147" s="4">
        <v>0.35</v>
      </c>
      <c r="AA147" s="24">
        <v>0</v>
      </c>
      <c r="AB147" s="24">
        <v>0</v>
      </c>
    </row>
    <row r="148" spans="1:28" hidden="1" x14ac:dyDescent="0.25">
      <c r="A148" s="4" t="s">
        <v>66</v>
      </c>
      <c r="B148" s="4">
        <v>2</v>
      </c>
      <c r="D148" s="13">
        <v>39595</v>
      </c>
      <c r="E148" s="104">
        <v>2611</v>
      </c>
      <c r="F148" s="13">
        <v>41309</v>
      </c>
      <c r="G148" s="13">
        <v>42206</v>
      </c>
      <c r="H148" s="104">
        <v>1714</v>
      </c>
      <c r="I148" s="19">
        <v>897</v>
      </c>
      <c r="J148" s="83" t="s">
        <v>65</v>
      </c>
      <c r="K148" s="4">
        <v>5.17</v>
      </c>
      <c r="L148" s="19">
        <v>1</v>
      </c>
      <c r="M148" s="19">
        <v>1</v>
      </c>
      <c r="N148" s="19">
        <v>1</v>
      </c>
      <c r="O148" s="19">
        <v>1</v>
      </c>
      <c r="P148" s="4">
        <v>0</v>
      </c>
      <c r="Q148" s="4">
        <v>0</v>
      </c>
      <c r="R148" s="24">
        <v>0</v>
      </c>
      <c r="S148" s="128">
        <v>0</v>
      </c>
      <c r="T148" s="128">
        <v>0</v>
      </c>
      <c r="U148" s="24">
        <v>60</v>
      </c>
      <c r="V148" s="4">
        <v>0</v>
      </c>
      <c r="W148" s="4">
        <v>2</v>
      </c>
      <c r="X148" s="4">
        <v>0.35</v>
      </c>
      <c r="Y148" s="4">
        <v>3.5</v>
      </c>
      <c r="Z148" s="4">
        <v>0.35</v>
      </c>
      <c r="AA148" s="24">
        <v>0</v>
      </c>
      <c r="AB148" s="24">
        <v>0</v>
      </c>
    </row>
    <row r="149" spans="1:28" hidden="1" x14ac:dyDescent="0.25">
      <c r="A149" s="4" t="s">
        <v>66</v>
      </c>
      <c r="B149" s="4">
        <v>2</v>
      </c>
      <c r="D149" s="13">
        <v>39595</v>
      </c>
      <c r="E149" s="104">
        <v>2611</v>
      </c>
      <c r="F149" s="13">
        <v>41415</v>
      </c>
      <c r="G149" s="13">
        <v>42206</v>
      </c>
      <c r="H149" s="104">
        <v>1820</v>
      </c>
      <c r="I149" s="19">
        <v>791</v>
      </c>
      <c r="J149" s="83" t="s">
        <v>65</v>
      </c>
      <c r="K149" s="4">
        <v>5.15</v>
      </c>
      <c r="L149" s="19">
        <v>1</v>
      </c>
      <c r="M149" s="19">
        <v>1</v>
      </c>
      <c r="N149" s="19">
        <v>1</v>
      </c>
      <c r="O149" s="19">
        <v>1</v>
      </c>
      <c r="P149" s="4">
        <v>0</v>
      </c>
      <c r="Q149" s="4">
        <v>0</v>
      </c>
      <c r="R149" s="24">
        <v>0</v>
      </c>
      <c r="S149" s="128">
        <v>0</v>
      </c>
      <c r="T149" s="128">
        <v>0</v>
      </c>
      <c r="U149" s="24">
        <v>60</v>
      </c>
      <c r="V149" s="4">
        <v>0</v>
      </c>
      <c r="W149" s="4">
        <v>2</v>
      </c>
      <c r="X149" s="4">
        <v>0.35</v>
      </c>
      <c r="Y149" s="4">
        <v>3.5</v>
      </c>
      <c r="Z149" s="4">
        <v>0.35</v>
      </c>
      <c r="AA149" s="24">
        <v>0</v>
      </c>
      <c r="AB149" s="24">
        <v>0</v>
      </c>
    </row>
    <row r="150" spans="1:28" hidden="1" x14ac:dyDescent="0.25">
      <c r="A150" s="4" t="s">
        <v>66</v>
      </c>
      <c r="B150" s="4">
        <v>2</v>
      </c>
      <c r="D150" s="13">
        <v>39595</v>
      </c>
      <c r="E150" s="104">
        <v>2611</v>
      </c>
      <c r="F150" s="13">
        <v>41528</v>
      </c>
      <c r="G150" s="13">
        <v>42206</v>
      </c>
      <c r="H150" s="104">
        <v>1933</v>
      </c>
      <c r="I150" s="19">
        <v>678</v>
      </c>
      <c r="J150" s="83" t="s">
        <v>65</v>
      </c>
      <c r="K150" s="4">
        <v>5.14</v>
      </c>
      <c r="L150" s="19">
        <v>1</v>
      </c>
      <c r="M150" s="19">
        <v>1</v>
      </c>
      <c r="N150" s="19">
        <v>1</v>
      </c>
      <c r="O150" s="19">
        <v>1</v>
      </c>
      <c r="P150" s="4">
        <v>0</v>
      </c>
      <c r="Q150" s="4">
        <v>0</v>
      </c>
      <c r="R150" s="24">
        <v>0</v>
      </c>
      <c r="S150" s="128">
        <v>0</v>
      </c>
      <c r="T150" s="128">
        <v>0</v>
      </c>
      <c r="U150" s="24">
        <v>60</v>
      </c>
      <c r="V150" s="4">
        <v>0</v>
      </c>
      <c r="W150" s="4">
        <v>2</v>
      </c>
      <c r="X150" s="4">
        <v>0.35</v>
      </c>
      <c r="Y150" s="4">
        <v>3.5</v>
      </c>
      <c r="Z150" s="4">
        <v>0.35</v>
      </c>
      <c r="AA150" s="24">
        <v>0</v>
      </c>
      <c r="AB150" s="24">
        <v>0</v>
      </c>
    </row>
    <row r="151" spans="1:28" hidden="1" x14ac:dyDescent="0.25">
      <c r="A151" s="161" t="s">
        <v>66</v>
      </c>
      <c r="B151" s="4">
        <v>2</v>
      </c>
      <c r="D151" s="13">
        <v>39595</v>
      </c>
      <c r="E151" s="104">
        <v>2611</v>
      </c>
      <c r="F151" s="13">
        <v>41695</v>
      </c>
      <c r="G151" s="13">
        <v>42206</v>
      </c>
      <c r="H151" s="104">
        <v>2100</v>
      </c>
      <c r="I151" s="19">
        <v>511</v>
      </c>
      <c r="J151" s="83" t="s">
        <v>65</v>
      </c>
      <c r="K151" s="4">
        <v>5.13</v>
      </c>
      <c r="L151" s="19">
        <v>0</v>
      </c>
      <c r="M151" s="19">
        <v>1</v>
      </c>
      <c r="N151" s="19">
        <v>1</v>
      </c>
      <c r="O151" s="19">
        <v>1</v>
      </c>
      <c r="P151" s="4">
        <v>0</v>
      </c>
      <c r="Q151" s="4">
        <v>0</v>
      </c>
      <c r="R151" s="24">
        <v>0</v>
      </c>
      <c r="S151" s="128">
        <v>0</v>
      </c>
      <c r="T151" s="128">
        <v>0</v>
      </c>
      <c r="U151" s="24">
        <v>60</v>
      </c>
      <c r="V151" s="4">
        <v>0</v>
      </c>
      <c r="W151" s="4">
        <v>2</v>
      </c>
      <c r="X151" s="4">
        <v>0.35</v>
      </c>
      <c r="Y151" s="4">
        <v>3</v>
      </c>
      <c r="Z151" s="4">
        <v>0.6</v>
      </c>
      <c r="AA151" s="24">
        <v>0</v>
      </c>
      <c r="AB151" s="24">
        <v>0</v>
      </c>
    </row>
    <row r="152" spans="1:28" hidden="1" x14ac:dyDescent="0.25">
      <c r="A152" s="161" t="s">
        <v>66</v>
      </c>
      <c r="B152" s="4">
        <v>2</v>
      </c>
      <c r="D152" s="13">
        <v>39595</v>
      </c>
      <c r="E152" s="104">
        <v>2611</v>
      </c>
      <c r="F152" s="13">
        <v>41919</v>
      </c>
      <c r="G152" s="13">
        <v>42206</v>
      </c>
      <c r="H152" s="104">
        <v>2324</v>
      </c>
      <c r="I152" s="19">
        <v>287</v>
      </c>
      <c r="J152" s="83" t="s">
        <v>65</v>
      </c>
      <c r="K152" s="4">
        <v>5.08</v>
      </c>
      <c r="L152" s="19">
        <v>0</v>
      </c>
      <c r="M152" s="19">
        <v>0</v>
      </c>
      <c r="N152" s="19">
        <v>1</v>
      </c>
      <c r="O152" s="19">
        <v>1</v>
      </c>
      <c r="P152" s="4">
        <v>0</v>
      </c>
      <c r="Q152" s="4">
        <v>0</v>
      </c>
      <c r="R152" s="24">
        <v>0</v>
      </c>
      <c r="S152" s="128">
        <v>0</v>
      </c>
      <c r="T152" s="128">
        <v>0</v>
      </c>
      <c r="U152" s="24">
        <v>60</v>
      </c>
      <c r="V152" s="4">
        <v>0</v>
      </c>
      <c r="W152" s="4">
        <v>2</v>
      </c>
      <c r="X152" s="4">
        <v>0.35</v>
      </c>
      <c r="Y152" s="4">
        <v>3</v>
      </c>
      <c r="Z152" s="4">
        <v>0.6</v>
      </c>
      <c r="AA152" s="24">
        <v>0</v>
      </c>
      <c r="AB152" s="24">
        <v>0</v>
      </c>
    </row>
    <row r="153" spans="1:28" x14ac:dyDescent="0.25">
      <c r="A153" s="161" t="s">
        <v>66</v>
      </c>
      <c r="B153" s="4">
        <v>2</v>
      </c>
      <c r="D153" s="13">
        <v>39595</v>
      </c>
      <c r="E153" s="104">
        <v>2611</v>
      </c>
      <c r="F153" s="23">
        <v>42045</v>
      </c>
      <c r="G153" s="13">
        <v>42206</v>
      </c>
      <c r="H153" s="104">
        <v>2450</v>
      </c>
      <c r="I153" s="19">
        <v>161</v>
      </c>
      <c r="J153" s="83" t="s">
        <v>65</v>
      </c>
      <c r="K153" s="24">
        <v>5</v>
      </c>
      <c r="L153" s="19">
        <v>0</v>
      </c>
      <c r="M153" s="19">
        <v>0</v>
      </c>
      <c r="N153" s="19">
        <v>0</v>
      </c>
      <c r="O153" s="19">
        <v>1</v>
      </c>
      <c r="P153" s="4">
        <v>0</v>
      </c>
      <c r="Q153" s="4">
        <v>0</v>
      </c>
      <c r="R153" s="24">
        <v>0</v>
      </c>
      <c r="S153" s="128">
        <v>0</v>
      </c>
      <c r="T153" s="128">
        <v>0</v>
      </c>
      <c r="U153" s="24">
        <v>60</v>
      </c>
      <c r="V153" s="4">
        <v>0</v>
      </c>
      <c r="W153" s="4">
        <v>2</v>
      </c>
      <c r="X153" s="4">
        <v>0.35</v>
      </c>
      <c r="Y153" s="4">
        <v>3</v>
      </c>
      <c r="Z153" s="4">
        <v>0.6</v>
      </c>
      <c r="AA153" s="4">
        <v>0</v>
      </c>
      <c r="AB153" s="24">
        <v>0</v>
      </c>
    </row>
    <row r="154" spans="1:28" x14ac:dyDescent="0.25">
      <c r="A154" s="161" t="s">
        <v>66</v>
      </c>
      <c r="B154" s="4">
        <v>2</v>
      </c>
      <c r="D154" s="13">
        <v>39595</v>
      </c>
      <c r="E154" s="104">
        <v>2611</v>
      </c>
      <c r="F154" s="25">
        <v>42160</v>
      </c>
      <c r="G154" s="13">
        <v>42206</v>
      </c>
      <c r="H154" s="104">
        <v>2565</v>
      </c>
      <c r="I154" s="19">
        <v>46</v>
      </c>
      <c r="J154" s="83" t="s">
        <v>65</v>
      </c>
      <c r="K154" s="4">
        <v>4.8099999999999996</v>
      </c>
      <c r="L154" s="19">
        <v>0</v>
      </c>
      <c r="M154" s="19">
        <v>0</v>
      </c>
      <c r="N154" s="19">
        <v>0</v>
      </c>
      <c r="O154" s="19">
        <v>0</v>
      </c>
      <c r="P154" s="4">
        <v>0</v>
      </c>
      <c r="Q154" s="4">
        <v>0</v>
      </c>
      <c r="R154" s="24">
        <v>0</v>
      </c>
      <c r="S154" s="128">
        <v>0</v>
      </c>
      <c r="T154" s="128">
        <v>0</v>
      </c>
      <c r="U154" s="24">
        <v>50</v>
      </c>
      <c r="V154" s="4">
        <v>0</v>
      </c>
      <c r="W154" s="4">
        <v>2.5</v>
      </c>
      <c r="X154" s="4">
        <v>0.35</v>
      </c>
      <c r="Y154" s="4">
        <v>2.5</v>
      </c>
      <c r="Z154" s="4">
        <v>0.6</v>
      </c>
      <c r="AA154" s="24">
        <v>0</v>
      </c>
      <c r="AB154" s="24">
        <v>0</v>
      </c>
    </row>
    <row r="155" spans="1:28" x14ac:dyDescent="0.25">
      <c r="A155" s="161" t="s">
        <v>66</v>
      </c>
      <c r="B155" s="4">
        <v>2</v>
      </c>
      <c r="D155" s="13">
        <v>39595</v>
      </c>
      <c r="E155" s="104">
        <v>2611</v>
      </c>
      <c r="F155" s="13">
        <v>42206</v>
      </c>
      <c r="G155" s="13">
        <v>42206</v>
      </c>
      <c r="H155" s="104">
        <v>2611</v>
      </c>
      <c r="I155" s="19">
        <v>0</v>
      </c>
      <c r="J155" s="83" t="s">
        <v>65</v>
      </c>
      <c r="K155" s="4">
        <v>4.74</v>
      </c>
      <c r="L155" s="19">
        <v>0</v>
      </c>
      <c r="M155" s="19">
        <v>0</v>
      </c>
      <c r="N155" s="19">
        <v>0</v>
      </c>
      <c r="O155" s="19">
        <v>0</v>
      </c>
      <c r="P155" s="4">
        <v>0</v>
      </c>
      <c r="Q155" s="4">
        <v>0</v>
      </c>
      <c r="R155" s="24">
        <v>0</v>
      </c>
      <c r="S155" s="128">
        <v>0</v>
      </c>
      <c r="T155" s="128">
        <v>0</v>
      </c>
      <c r="U155" s="24">
        <v>60</v>
      </c>
      <c r="V155" s="4">
        <v>0</v>
      </c>
      <c r="W155" s="4">
        <v>2</v>
      </c>
      <c r="X155" s="4">
        <v>0.35</v>
      </c>
      <c r="Y155" s="4">
        <v>2.5</v>
      </c>
      <c r="Z155" s="4">
        <v>0.6</v>
      </c>
      <c r="AA155" s="24">
        <v>0</v>
      </c>
      <c r="AB155" s="24">
        <v>0</v>
      </c>
    </row>
    <row r="156" spans="1:28" hidden="1" x14ac:dyDescent="0.25">
      <c r="A156" s="24" t="s">
        <v>144</v>
      </c>
      <c r="B156" s="24">
        <v>2</v>
      </c>
      <c r="D156" s="27">
        <v>39567</v>
      </c>
      <c r="E156" s="104">
        <v>2505</v>
      </c>
      <c r="F156" s="25">
        <v>40092</v>
      </c>
      <c r="G156" s="25">
        <v>42072</v>
      </c>
      <c r="H156" s="104">
        <v>525</v>
      </c>
      <c r="I156" s="19">
        <v>1980</v>
      </c>
      <c r="J156" s="83" t="s">
        <v>65</v>
      </c>
      <c r="K156" s="4">
        <v>6.36</v>
      </c>
      <c r="L156" s="19">
        <v>1</v>
      </c>
      <c r="M156" s="19">
        <v>1</v>
      </c>
      <c r="N156" s="19">
        <v>1</v>
      </c>
      <c r="O156" s="19">
        <v>1</v>
      </c>
      <c r="P156" s="4">
        <v>34</v>
      </c>
      <c r="Q156" s="4">
        <v>4</v>
      </c>
      <c r="R156" s="24">
        <v>0</v>
      </c>
      <c r="S156" s="127">
        <v>0</v>
      </c>
      <c r="T156" s="127">
        <v>0</v>
      </c>
      <c r="U156" s="4">
        <v>60</v>
      </c>
      <c r="V156" s="4">
        <v>0</v>
      </c>
      <c r="W156" s="4">
        <v>2</v>
      </c>
      <c r="X156" s="4">
        <v>0.35</v>
      </c>
      <c r="Y156" s="4">
        <v>3.5</v>
      </c>
      <c r="Z156" s="4">
        <v>0.35</v>
      </c>
      <c r="AA156" s="24">
        <v>0</v>
      </c>
      <c r="AB156" s="24">
        <v>0</v>
      </c>
    </row>
    <row r="157" spans="1:28" hidden="1" x14ac:dyDescent="0.25">
      <c r="A157" s="24" t="s">
        <v>144</v>
      </c>
      <c r="B157" s="24">
        <v>2</v>
      </c>
      <c r="D157" s="27">
        <v>39567</v>
      </c>
      <c r="E157" s="104">
        <v>2505</v>
      </c>
      <c r="F157" s="25">
        <v>40365</v>
      </c>
      <c r="G157" s="25">
        <v>42072</v>
      </c>
      <c r="H157" s="104">
        <v>798</v>
      </c>
      <c r="I157" s="19">
        <v>1707</v>
      </c>
      <c r="J157" s="83" t="s">
        <v>65</v>
      </c>
      <c r="K157" s="4">
        <v>6.22</v>
      </c>
      <c r="L157" s="19">
        <v>1</v>
      </c>
      <c r="M157" s="19">
        <v>1</v>
      </c>
      <c r="N157" s="19">
        <v>1</v>
      </c>
      <c r="O157" s="19">
        <v>1</v>
      </c>
      <c r="P157" s="4">
        <v>37</v>
      </c>
      <c r="Q157" s="4">
        <v>4</v>
      </c>
      <c r="R157" s="24">
        <v>0</v>
      </c>
      <c r="S157" s="127">
        <v>0</v>
      </c>
      <c r="T157" s="127">
        <v>0</v>
      </c>
      <c r="U157" s="4">
        <v>60</v>
      </c>
      <c r="V157" s="4">
        <v>1</v>
      </c>
      <c r="W157" s="4">
        <v>2</v>
      </c>
      <c r="X157" s="4">
        <v>0.35</v>
      </c>
      <c r="Y157" s="4">
        <v>3.5</v>
      </c>
      <c r="Z157" s="4">
        <v>0.35</v>
      </c>
      <c r="AA157" s="24">
        <v>0</v>
      </c>
      <c r="AB157" s="24">
        <v>0</v>
      </c>
    </row>
    <row r="158" spans="1:28" hidden="1" x14ac:dyDescent="0.25">
      <c r="A158" s="24" t="s">
        <v>144</v>
      </c>
      <c r="B158" s="24">
        <v>2</v>
      </c>
      <c r="C158" s="24"/>
      <c r="D158" s="23">
        <v>39567</v>
      </c>
      <c r="E158" s="104">
        <v>2505</v>
      </c>
      <c r="F158" s="23">
        <v>40720</v>
      </c>
      <c r="G158" s="25">
        <v>42072</v>
      </c>
      <c r="H158" s="104">
        <v>1153</v>
      </c>
      <c r="I158" s="19">
        <v>1352</v>
      </c>
      <c r="J158" s="83" t="s">
        <v>65</v>
      </c>
      <c r="K158" s="24">
        <v>5.61</v>
      </c>
      <c r="L158" s="19">
        <v>1</v>
      </c>
      <c r="M158" s="19">
        <v>1</v>
      </c>
      <c r="N158" s="19">
        <v>1</v>
      </c>
      <c r="O158" s="19">
        <v>1</v>
      </c>
      <c r="P158" s="24">
        <v>33</v>
      </c>
      <c r="Q158" s="24">
        <v>73</v>
      </c>
      <c r="R158" s="24">
        <v>0</v>
      </c>
      <c r="S158" s="129">
        <v>0</v>
      </c>
      <c r="T158" s="129">
        <v>0</v>
      </c>
      <c r="U158" s="4">
        <v>60</v>
      </c>
      <c r="V158" s="24">
        <v>0</v>
      </c>
      <c r="W158" s="24">
        <v>2</v>
      </c>
      <c r="X158" s="24">
        <v>0.35</v>
      </c>
      <c r="Y158" s="24">
        <v>3.5</v>
      </c>
      <c r="Z158" s="24">
        <v>0.35</v>
      </c>
      <c r="AA158" s="24">
        <v>0</v>
      </c>
      <c r="AB158" s="24">
        <v>0</v>
      </c>
    </row>
    <row r="159" spans="1:28" hidden="1" x14ac:dyDescent="0.25">
      <c r="A159" s="24" t="s">
        <v>144</v>
      </c>
      <c r="B159" s="24">
        <v>2</v>
      </c>
      <c r="C159" s="24"/>
      <c r="D159" s="23">
        <v>39567</v>
      </c>
      <c r="E159" s="104">
        <v>2505</v>
      </c>
      <c r="F159" s="23">
        <v>40967</v>
      </c>
      <c r="G159" s="25">
        <v>42072</v>
      </c>
      <c r="H159" s="104">
        <v>1400</v>
      </c>
      <c r="I159" s="19">
        <v>1105</v>
      </c>
      <c r="J159" s="83" t="s">
        <v>65</v>
      </c>
      <c r="K159" s="24">
        <v>5.25</v>
      </c>
      <c r="L159" s="19">
        <v>1</v>
      </c>
      <c r="M159" s="19">
        <v>1</v>
      </c>
      <c r="N159" s="19">
        <v>1</v>
      </c>
      <c r="O159" s="19">
        <v>1</v>
      </c>
      <c r="P159" s="24">
        <v>33</v>
      </c>
      <c r="Q159" s="24">
        <v>75</v>
      </c>
      <c r="R159" s="24">
        <v>0</v>
      </c>
      <c r="S159" s="129">
        <v>0</v>
      </c>
      <c r="T159" s="129">
        <v>0</v>
      </c>
      <c r="U159" s="4">
        <v>60</v>
      </c>
      <c r="V159" s="24">
        <v>0</v>
      </c>
      <c r="W159" s="24">
        <v>2</v>
      </c>
      <c r="X159" s="24">
        <v>0.35</v>
      </c>
      <c r="Y159" s="24">
        <v>3.5</v>
      </c>
      <c r="Z159" s="24">
        <v>0.35</v>
      </c>
      <c r="AA159" s="24">
        <v>0</v>
      </c>
      <c r="AB159" s="24">
        <v>0</v>
      </c>
    </row>
    <row r="160" spans="1:28" hidden="1" x14ac:dyDescent="0.25">
      <c r="A160" s="24" t="s">
        <v>144</v>
      </c>
      <c r="B160" s="24">
        <v>2</v>
      </c>
      <c r="C160" s="24"/>
      <c r="D160" s="23">
        <v>39567</v>
      </c>
      <c r="E160" s="104">
        <v>2505</v>
      </c>
      <c r="F160" s="23">
        <v>41058</v>
      </c>
      <c r="G160" s="25">
        <v>42072</v>
      </c>
      <c r="H160" s="104">
        <v>1491</v>
      </c>
      <c r="I160" s="19">
        <v>1014</v>
      </c>
      <c r="J160" s="83" t="s">
        <v>65</v>
      </c>
      <c r="K160" s="24">
        <v>5.2</v>
      </c>
      <c r="L160" s="19">
        <v>1</v>
      </c>
      <c r="M160" s="19">
        <v>1</v>
      </c>
      <c r="N160" s="19">
        <v>1</v>
      </c>
      <c r="O160" s="19">
        <v>1</v>
      </c>
      <c r="P160" s="24">
        <v>79</v>
      </c>
      <c r="Q160" s="24">
        <v>89</v>
      </c>
      <c r="R160" s="24">
        <v>0</v>
      </c>
      <c r="S160" s="129">
        <v>0</v>
      </c>
      <c r="T160" s="129">
        <v>0</v>
      </c>
      <c r="U160" s="4">
        <v>60</v>
      </c>
      <c r="V160" s="24">
        <v>0</v>
      </c>
      <c r="W160" s="24">
        <v>2</v>
      </c>
      <c r="X160" s="24">
        <v>0.35</v>
      </c>
      <c r="Y160" s="24">
        <v>3.5</v>
      </c>
      <c r="Z160" s="24">
        <v>0.35</v>
      </c>
      <c r="AA160" s="24">
        <v>0</v>
      </c>
      <c r="AB160" s="24">
        <v>0</v>
      </c>
    </row>
    <row r="161" spans="1:28" hidden="1" x14ac:dyDescent="0.25">
      <c r="A161" s="24" t="s">
        <v>144</v>
      </c>
      <c r="B161" s="24">
        <v>2</v>
      </c>
      <c r="C161" s="24"/>
      <c r="D161" s="23">
        <v>39567</v>
      </c>
      <c r="E161" s="104">
        <v>2505</v>
      </c>
      <c r="F161" s="23">
        <v>41171</v>
      </c>
      <c r="G161" s="25">
        <v>42072</v>
      </c>
      <c r="H161" s="104">
        <v>1604</v>
      </c>
      <c r="I161" s="19">
        <v>901</v>
      </c>
      <c r="J161" s="83" t="s">
        <v>65</v>
      </c>
      <c r="K161" s="24">
        <v>5.17</v>
      </c>
      <c r="L161" s="19">
        <v>1</v>
      </c>
      <c r="M161" s="19">
        <v>1</v>
      </c>
      <c r="N161" s="19">
        <v>1</v>
      </c>
      <c r="O161" s="19">
        <v>1</v>
      </c>
      <c r="P161" s="24">
        <v>59</v>
      </c>
      <c r="Q161" s="24">
        <v>96</v>
      </c>
      <c r="R161" s="24">
        <v>0</v>
      </c>
      <c r="S161" s="129">
        <v>0</v>
      </c>
      <c r="T161" s="129">
        <v>0</v>
      </c>
      <c r="U161" s="4">
        <v>60</v>
      </c>
      <c r="V161" s="24">
        <v>0</v>
      </c>
      <c r="W161" s="24">
        <v>2</v>
      </c>
      <c r="X161" s="24">
        <v>0.35</v>
      </c>
      <c r="Y161" s="24">
        <v>3.5</v>
      </c>
      <c r="Z161" s="24">
        <v>0.35</v>
      </c>
      <c r="AA161" s="24">
        <v>0</v>
      </c>
      <c r="AB161" s="24">
        <v>0</v>
      </c>
    </row>
    <row r="162" spans="1:28" hidden="1" x14ac:dyDescent="0.25">
      <c r="A162" s="24" t="s">
        <v>144</v>
      </c>
      <c r="B162" s="24">
        <v>2</v>
      </c>
      <c r="C162" s="24"/>
      <c r="D162" s="23">
        <v>39567</v>
      </c>
      <c r="E162" s="104">
        <v>2505</v>
      </c>
      <c r="F162" s="23">
        <v>41291</v>
      </c>
      <c r="G162" s="25">
        <v>42072</v>
      </c>
      <c r="H162" s="104">
        <v>1724</v>
      </c>
      <c r="I162" s="19">
        <v>781</v>
      </c>
      <c r="J162" s="83" t="s">
        <v>65</v>
      </c>
      <c r="K162" s="24">
        <v>5.14</v>
      </c>
      <c r="L162" s="19">
        <v>1</v>
      </c>
      <c r="M162" s="19">
        <v>1</v>
      </c>
      <c r="N162" s="19">
        <v>1</v>
      </c>
      <c r="O162" s="19">
        <v>1</v>
      </c>
      <c r="P162" s="24">
        <v>49</v>
      </c>
      <c r="Q162" s="24">
        <v>95</v>
      </c>
      <c r="R162" s="24">
        <v>0</v>
      </c>
      <c r="S162" s="129">
        <v>0</v>
      </c>
      <c r="T162" s="129">
        <v>0</v>
      </c>
      <c r="U162" s="4">
        <v>60</v>
      </c>
      <c r="V162" s="24">
        <v>0</v>
      </c>
      <c r="W162" s="24">
        <v>2</v>
      </c>
      <c r="X162" s="24">
        <v>0.35</v>
      </c>
      <c r="Y162" s="24">
        <v>3.5</v>
      </c>
      <c r="Z162" s="24">
        <v>0.35</v>
      </c>
      <c r="AA162" s="24">
        <v>0</v>
      </c>
      <c r="AB162" s="24">
        <v>0</v>
      </c>
    </row>
    <row r="163" spans="1:28" hidden="1" x14ac:dyDescent="0.25">
      <c r="A163" s="24" t="s">
        <v>144</v>
      </c>
      <c r="B163" s="24">
        <v>2</v>
      </c>
      <c r="C163" s="24"/>
      <c r="D163" s="23">
        <v>39567</v>
      </c>
      <c r="E163" s="104">
        <v>2505</v>
      </c>
      <c r="F163" s="25">
        <v>41352</v>
      </c>
      <c r="G163" s="25">
        <v>42072</v>
      </c>
      <c r="H163" s="104">
        <v>1785</v>
      </c>
      <c r="I163" s="19">
        <v>720</v>
      </c>
      <c r="J163" s="83" t="s">
        <v>65</v>
      </c>
      <c r="K163" s="4">
        <v>5.14</v>
      </c>
      <c r="L163" s="19">
        <v>1</v>
      </c>
      <c r="M163" s="19">
        <v>1</v>
      </c>
      <c r="N163" s="19">
        <v>1</v>
      </c>
      <c r="O163" s="19">
        <v>1</v>
      </c>
      <c r="P163" s="4">
        <v>39</v>
      </c>
      <c r="Q163" s="4">
        <v>75</v>
      </c>
      <c r="R163" s="24">
        <v>0</v>
      </c>
      <c r="S163" s="129">
        <v>0</v>
      </c>
      <c r="T163" s="129">
        <v>0</v>
      </c>
      <c r="U163" s="4">
        <v>60</v>
      </c>
      <c r="V163" s="24">
        <v>0</v>
      </c>
      <c r="W163" s="24">
        <v>2</v>
      </c>
      <c r="X163" s="24">
        <v>0.35</v>
      </c>
      <c r="Y163" s="24">
        <v>3.5</v>
      </c>
      <c r="Z163" s="24">
        <v>0.35</v>
      </c>
      <c r="AA163" s="24">
        <v>0</v>
      </c>
      <c r="AB163" s="24">
        <v>0</v>
      </c>
    </row>
    <row r="164" spans="1:28" hidden="1" x14ac:dyDescent="0.25">
      <c r="A164" s="24" t="s">
        <v>144</v>
      </c>
      <c r="B164" s="24">
        <v>2</v>
      </c>
      <c r="C164" s="24"/>
      <c r="D164" s="23">
        <v>39567</v>
      </c>
      <c r="E164" s="104">
        <v>2505</v>
      </c>
      <c r="F164" s="27">
        <v>41428</v>
      </c>
      <c r="G164" s="25">
        <v>42072</v>
      </c>
      <c r="H164" s="104">
        <v>1861</v>
      </c>
      <c r="I164" s="19">
        <v>644</v>
      </c>
      <c r="J164" s="83" t="s">
        <v>65</v>
      </c>
      <c r="K164" s="24">
        <v>5.14</v>
      </c>
      <c r="L164" s="19">
        <v>1</v>
      </c>
      <c r="M164" s="19">
        <v>1</v>
      </c>
      <c r="N164" s="19">
        <v>1</v>
      </c>
      <c r="O164" s="19">
        <v>1</v>
      </c>
      <c r="P164" s="24">
        <v>53</v>
      </c>
      <c r="Q164" s="24">
        <v>90</v>
      </c>
      <c r="R164" s="24">
        <v>0</v>
      </c>
      <c r="S164" s="129">
        <v>0</v>
      </c>
      <c r="T164" s="129">
        <v>0</v>
      </c>
      <c r="U164" s="4">
        <v>60</v>
      </c>
      <c r="V164" s="24">
        <v>0</v>
      </c>
      <c r="W164" s="24">
        <v>2</v>
      </c>
      <c r="X164" s="24">
        <v>0.35</v>
      </c>
      <c r="Y164" s="24">
        <v>2.5</v>
      </c>
      <c r="Z164" s="24">
        <v>0.35</v>
      </c>
      <c r="AA164" s="24">
        <v>0</v>
      </c>
      <c r="AB164" s="24">
        <v>0</v>
      </c>
    </row>
    <row r="165" spans="1:28" hidden="1" x14ac:dyDescent="0.25">
      <c r="A165" s="24" t="s">
        <v>144</v>
      </c>
      <c r="B165" s="24">
        <v>2</v>
      </c>
      <c r="C165" s="24"/>
      <c r="D165" s="23">
        <v>39567</v>
      </c>
      <c r="E165" s="104">
        <v>2505</v>
      </c>
      <c r="F165" s="27">
        <v>41528</v>
      </c>
      <c r="G165" s="25">
        <v>42072</v>
      </c>
      <c r="H165" s="104">
        <v>1961</v>
      </c>
      <c r="I165" s="19">
        <v>544</v>
      </c>
      <c r="J165" s="83" t="s">
        <v>65</v>
      </c>
      <c r="K165" s="24">
        <v>5.13</v>
      </c>
      <c r="L165" s="19">
        <v>1</v>
      </c>
      <c r="M165" s="19">
        <v>1</v>
      </c>
      <c r="N165" s="19">
        <v>1</v>
      </c>
      <c r="O165" s="19">
        <v>1</v>
      </c>
      <c r="P165" s="24">
        <v>55</v>
      </c>
      <c r="Q165" s="24">
        <v>94</v>
      </c>
      <c r="R165" s="24">
        <v>0</v>
      </c>
      <c r="S165" s="129">
        <v>0</v>
      </c>
      <c r="T165" s="129">
        <v>0</v>
      </c>
      <c r="U165" s="4">
        <v>60</v>
      </c>
      <c r="V165" s="24">
        <v>0</v>
      </c>
      <c r="W165" s="24">
        <v>2</v>
      </c>
      <c r="X165" s="24">
        <v>0.35</v>
      </c>
      <c r="Y165" s="24">
        <v>2.5</v>
      </c>
      <c r="Z165" s="24">
        <v>0.35</v>
      </c>
      <c r="AA165" s="24">
        <v>0</v>
      </c>
      <c r="AB165" s="24">
        <v>0</v>
      </c>
    </row>
    <row r="166" spans="1:28" hidden="1" x14ac:dyDescent="0.25">
      <c r="A166" s="162" t="s">
        <v>144</v>
      </c>
      <c r="B166" s="24">
        <v>2</v>
      </c>
      <c r="C166" s="24"/>
      <c r="D166" s="23">
        <v>39567</v>
      </c>
      <c r="E166" s="104">
        <v>2505</v>
      </c>
      <c r="F166" s="27">
        <v>41716</v>
      </c>
      <c r="G166" s="25">
        <v>42072</v>
      </c>
      <c r="H166" s="104">
        <v>2149</v>
      </c>
      <c r="I166" s="19">
        <v>356</v>
      </c>
      <c r="J166" s="83" t="s">
        <v>65</v>
      </c>
      <c r="K166" s="24">
        <v>5.08</v>
      </c>
      <c r="L166" s="19">
        <v>0</v>
      </c>
      <c r="M166" s="19">
        <v>0</v>
      </c>
      <c r="N166" s="19">
        <v>1</v>
      </c>
      <c r="O166" s="19">
        <v>1</v>
      </c>
      <c r="P166" s="24">
        <v>41</v>
      </c>
      <c r="Q166" s="24">
        <v>96</v>
      </c>
      <c r="R166" s="24">
        <v>0</v>
      </c>
      <c r="S166" s="129">
        <v>0</v>
      </c>
      <c r="T166" s="129">
        <v>0</v>
      </c>
      <c r="U166" s="4">
        <v>60</v>
      </c>
      <c r="V166" s="24">
        <v>0</v>
      </c>
      <c r="W166" s="24">
        <v>2</v>
      </c>
      <c r="X166" s="24">
        <v>0.35</v>
      </c>
      <c r="Y166" s="24">
        <v>2.5</v>
      </c>
      <c r="Z166" s="24">
        <v>0.35</v>
      </c>
      <c r="AA166" s="24">
        <v>0</v>
      </c>
      <c r="AB166" s="24">
        <v>0</v>
      </c>
    </row>
    <row r="167" spans="1:28" hidden="1" x14ac:dyDescent="0.25">
      <c r="A167" s="162" t="s">
        <v>144</v>
      </c>
      <c r="B167" s="24">
        <v>2</v>
      </c>
      <c r="C167" s="24"/>
      <c r="D167" s="23">
        <v>39567</v>
      </c>
      <c r="E167" s="104">
        <v>2505</v>
      </c>
      <c r="F167" s="27">
        <v>41764</v>
      </c>
      <c r="G167" s="25">
        <v>42072</v>
      </c>
      <c r="H167" s="104">
        <v>2197</v>
      </c>
      <c r="I167" s="19">
        <v>308</v>
      </c>
      <c r="J167" s="83" t="s">
        <v>65</v>
      </c>
      <c r="K167" s="24">
        <v>5.07</v>
      </c>
      <c r="L167" s="19">
        <v>0</v>
      </c>
      <c r="M167" s="19">
        <v>0</v>
      </c>
      <c r="N167" s="19">
        <v>1</v>
      </c>
      <c r="O167" s="19">
        <v>1</v>
      </c>
      <c r="P167" s="24">
        <v>0</v>
      </c>
      <c r="Q167" s="24">
        <v>56</v>
      </c>
      <c r="R167" s="24">
        <v>0</v>
      </c>
      <c r="S167" s="129">
        <v>0</v>
      </c>
      <c r="T167" s="129">
        <v>0</v>
      </c>
      <c r="U167" s="4">
        <v>60</v>
      </c>
      <c r="V167" s="24">
        <v>1</v>
      </c>
      <c r="W167" s="24">
        <v>2</v>
      </c>
      <c r="X167" s="24">
        <v>0.35</v>
      </c>
      <c r="Y167" s="24">
        <v>2.5</v>
      </c>
      <c r="Z167" s="24">
        <v>0.35</v>
      </c>
      <c r="AA167" s="24">
        <v>0</v>
      </c>
      <c r="AB167" s="24">
        <v>0</v>
      </c>
    </row>
    <row r="168" spans="1:28" x14ac:dyDescent="0.25">
      <c r="A168" s="162" t="s">
        <v>144</v>
      </c>
      <c r="B168" s="24">
        <v>2</v>
      </c>
      <c r="C168" s="24"/>
      <c r="D168" s="23">
        <v>39567</v>
      </c>
      <c r="E168" s="104">
        <v>2505</v>
      </c>
      <c r="F168" s="27">
        <v>41948</v>
      </c>
      <c r="G168" s="25">
        <v>42072</v>
      </c>
      <c r="H168" s="104">
        <v>2381</v>
      </c>
      <c r="I168" s="19">
        <v>124</v>
      </c>
      <c r="J168" s="83" t="s">
        <v>65</v>
      </c>
      <c r="K168" s="24">
        <v>4.97</v>
      </c>
      <c r="L168" s="19">
        <v>0</v>
      </c>
      <c r="M168" s="19">
        <v>0</v>
      </c>
      <c r="N168" s="19">
        <v>0</v>
      </c>
      <c r="O168" s="19">
        <v>1</v>
      </c>
      <c r="P168" s="24">
        <v>0</v>
      </c>
      <c r="Q168" s="24">
        <v>96</v>
      </c>
      <c r="R168" s="24">
        <v>0</v>
      </c>
      <c r="S168" s="129">
        <v>0</v>
      </c>
      <c r="T168" s="129">
        <v>0</v>
      </c>
      <c r="U168" s="4">
        <v>60</v>
      </c>
      <c r="V168" s="24">
        <v>1</v>
      </c>
      <c r="W168" s="24">
        <v>2</v>
      </c>
      <c r="X168" s="24">
        <v>0.35</v>
      </c>
      <c r="Y168" s="24">
        <v>2.5</v>
      </c>
      <c r="Z168" s="24">
        <v>0.35</v>
      </c>
      <c r="AA168" s="24">
        <v>0</v>
      </c>
      <c r="AB168" s="24">
        <v>0</v>
      </c>
    </row>
    <row r="169" spans="1:28" x14ac:dyDescent="0.25">
      <c r="A169" s="162" t="s">
        <v>144</v>
      </c>
      <c r="B169" s="24">
        <v>2</v>
      </c>
      <c r="D169" s="27">
        <v>39567</v>
      </c>
      <c r="E169" s="104">
        <v>2505</v>
      </c>
      <c r="F169" s="25">
        <v>42065</v>
      </c>
      <c r="G169" s="25">
        <v>42072</v>
      </c>
      <c r="H169" s="104">
        <v>2498</v>
      </c>
      <c r="I169" s="19">
        <v>7</v>
      </c>
      <c r="J169" s="83" t="s">
        <v>65</v>
      </c>
      <c r="K169" s="4">
        <v>4.74</v>
      </c>
      <c r="L169" s="19">
        <v>0</v>
      </c>
      <c r="M169" s="19">
        <v>0</v>
      </c>
      <c r="N169" s="19">
        <v>0</v>
      </c>
      <c r="O169" s="19">
        <v>0</v>
      </c>
      <c r="P169" s="24">
        <v>0</v>
      </c>
      <c r="Q169" s="4">
        <v>95</v>
      </c>
      <c r="R169" s="24">
        <v>0</v>
      </c>
      <c r="S169" s="125">
        <v>0</v>
      </c>
      <c r="T169" s="125">
        <v>0</v>
      </c>
      <c r="U169" s="4">
        <v>60</v>
      </c>
      <c r="V169" s="4">
        <v>1</v>
      </c>
      <c r="W169" s="24">
        <v>0</v>
      </c>
      <c r="X169" s="24">
        <v>0</v>
      </c>
      <c r="Y169" s="4">
        <v>2.5</v>
      </c>
      <c r="Z169" s="4">
        <v>0.35</v>
      </c>
      <c r="AA169" s="24">
        <v>0</v>
      </c>
      <c r="AB169" s="24">
        <v>0</v>
      </c>
    </row>
    <row r="170" spans="1:28" x14ac:dyDescent="0.25">
      <c r="A170" s="162" t="s">
        <v>144</v>
      </c>
      <c r="B170" s="24">
        <v>2</v>
      </c>
      <c r="D170" s="27">
        <v>39567</v>
      </c>
      <c r="E170" s="104">
        <v>2505</v>
      </c>
      <c r="F170" s="25">
        <v>42072</v>
      </c>
      <c r="G170" s="25">
        <v>42072</v>
      </c>
      <c r="H170" s="104">
        <v>2505</v>
      </c>
      <c r="I170" s="19">
        <v>0</v>
      </c>
      <c r="J170" s="83" t="s">
        <v>65</v>
      </c>
      <c r="K170" s="4">
        <v>4.74</v>
      </c>
      <c r="L170" s="19">
        <v>0</v>
      </c>
      <c r="M170" s="19">
        <v>0</v>
      </c>
      <c r="N170" s="19">
        <v>0</v>
      </c>
      <c r="O170" s="19">
        <v>0</v>
      </c>
      <c r="P170" s="24">
        <v>0</v>
      </c>
      <c r="Q170" s="4">
        <v>97</v>
      </c>
      <c r="R170" s="24">
        <v>0</v>
      </c>
      <c r="S170" s="125">
        <v>0</v>
      </c>
      <c r="T170" s="125">
        <v>0</v>
      </c>
      <c r="U170" s="4">
        <v>60</v>
      </c>
      <c r="V170" s="4">
        <v>1</v>
      </c>
      <c r="W170" s="24">
        <v>0</v>
      </c>
      <c r="X170" s="24">
        <v>0</v>
      </c>
      <c r="Y170" s="4">
        <v>2.5</v>
      </c>
      <c r="Z170" s="4">
        <v>0.35</v>
      </c>
      <c r="AA170" s="24">
        <v>0</v>
      </c>
      <c r="AB170" s="24">
        <v>0</v>
      </c>
    </row>
    <row r="171" spans="1:28" hidden="1" x14ac:dyDescent="0.25">
      <c r="A171" s="24" t="s">
        <v>269</v>
      </c>
      <c r="B171" s="24">
        <v>2</v>
      </c>
      <c r="D171" s="27">
        <v>39833</v>
      </c>
      <c r="E171" s="104">
        <v>2213</v>
      </c>
      <c r="F171" s="25">
        <v>40075</v>
      </c>
      <c r="G171" s="25">
        <v>42046</v>
      </c>
      <c r="H171" s="104">
        <v>242</v>
      </c>
      <c r="I171" s="19">
        <v>1971</v>
      </c>
      <c r="J171" s="83" t="s">
        <v>65</v>
      </c>
      <c r="K171" s="24">
        <v>6.44</v>
      </c>
      <c r="L171" s="19">
        <v>1</v>
      </c>
      <c r="M171" s="19">
        <v>1</v>
      </c>
      <c r="N171" s="19">
        <v>1</v>
      </c>
      <c r="O171" s="19">
        <v>1</v>
      </c>
      <c r="P171" s="24">
        <v>99</v>
      </c>
      <c r="Q171" s="24">
        <v>91</v>
      </c>
      <c r="R171" s="24">
        <v>0</v>
      </c>
      <c r="S171" s="127">
        <v>0</v>
      </c>
      <c r="T171" s="127">
        <v>14</v>
      </c>
      <c r="U171" s="24">
        <v>55</v>
      </c>
      <c r="V171" s="24">
        <v>1</v>
      </c>
      <c r="W171" s="24">
        <v>2.5</v>
      </c>
      <c r="X171" s="24">
        <v>0.35</v>
      </c>
      <c r="Y171" s="24">
        <v>3.5</v>
      </c>
      <c r="Z171" s="24">
        <v>0.5</v>
      </c>
      <c r="AA171" s="24">
        <v>0</v>
      </c>
      <c r="AB171" s="24">
        <v>0</v>
      </c>
    </row>
    <row r="172" spans="1:28" hidden="1" x14ac:dyDescent="0.25">
      <c r="A172" s="24" t="s">
        <v>269</v>
      </c>
      <c r="B172" s="24">
        <v>2</v>
      </c>
      <c r="D172" s="27">
        <v>39833</v>
      </c>
      <c r="E172" s="104">
        <v>2213</v>
      </c>
      <c r="F172" s="25">
        <v>40077</v>
      </c>
      <c r="G172" s="25">
        <v>42046</v>
      </c>
      <c r="H172" s="104">
        <v>244</v>
      </c>
      <c r="I172" s="19">
        <v>1969</v>
      </c>
      <c r="J172" s="83" t="s">
        <v>65</v>
      </c>
      <c r="K172" s="4">
        <v>6.44</v>
      </c>
      <c r="L172" s="19">
        <v>1</v>
      </c>
      <c r="M172" s="19">
        <v>1</v>
      </c>
      <c r="N172" s="19">
        <v>1</v>
      </c>
      <c r="O172" s="19">
        <v>1</v>
      </c>
      <c r="P172" s="4">
        <v>99</v>
      </c>
      <c r="Q172" s="4">
        <v>91</v>
      </c>
      <c r="R172" s="24">
        <v>0</v>
      </c>
      <c r="S172" s="125">
        <v>0</v>
      </c>
      <c r="T172" s="125">
        <v>14</v>
      </c>
      <c r="U172" s="24">
        <v>55</v>
      </c>
      <c r="V172" s="24">
        <v>1</v>
      </c>
      <c r="W172" s="24">
        <v>2.5</v>
      </c>
      <c r="X172" s="24">
        <v>0.35</v>
      </c>
      <c r="Y172" s="24">
        <v>3.5</v>
      </c>
      <c r="Z172" s="24">
        <v>0.5</v>
      </c>
      <c r="AA172" s="24">
        <v>0</v>
      </c>
      <c r="AB172" s="24">
        <v>0</v>
      </c>
    </row>
    <row r="173" spans="1:28" hidden="1" x14ac:dyDescent="0.25">
      <c r="A173" s="24" t="s">
        <v>269</v>
      </c>
      <c r="B173" s="24">
        <v>2</v>
      </c>
      <c r="D173" s="27">
        <v>39833</v>
      </c>
      <c r="E173" s="104">
        <v>2213</v>
      </c>
      <c r="F173" s="25">
        <v>40092</v>
      </c>
      <c r="G173" s="25">
        <v>42046</v>
      </c>
      <c r="H173" s="104">
        <v>259</v>
      </c>
      <c r="I173" s="19">
        <v>1954</v>
      </c>
      <c r="J173" s="83" t="s">
        <v>65</v>
      </c>
      <c r="K173" s="4">
        <v>6.44</v>
      </c>
      <c r="L173" s="19">
        <v>1</v>
      </c>
      <c r="M173" s="19">
        <v>1</v>
      </c>
      <c r="N173" s="19">
        <v>1</v>
      </c>
      <c r="O173" s="19">
        <v>1</v>
      </c>
      <c r="P173" s="4">
        <v>100</v>
      </c>
      <c r="Q173" s="4">
        <v>92</v>
      </c>
      <c r="R173" s="24">
        <v>0</v>
      </c>
      <c r="S173" s="125">
        <v>0</v>
      </c>
      <c r="T173" s="125">
        <v>1</v>
      </c>
      <c r="U173" s="24">
        <v>55</v>
      </c>
      <c r="V173" s="24">
        <v>1</v>
      </c>
      <c r="W173" s="24">
        <v>2.5</v>
      </c>
      <c r="X173" s="24">
        <v>0.35</v>
      </c>
      <c r="Y173" s="24">
        <v>3.5</v>
      </c>
      <c r="Z173" s="24">
        <v>0.5</v>
      </c>
      <c r="AA173" s="24">
        <v>0</v>
      </c>
      <c r="AB173" s="24">
        <v>0</v>
      </c>
    </row>
    <row r="174" spans="1:28" hidden="1" x14ac:dyDescent="0.25">
      <c r="A174" s="24" t="s">
        <v>269</v>
      </c>
      <c r="B174" s="24">
        <v>2</v>
      </c>
      <c r="D174" s="27">
        <v>39833</v>
      </c>
      <c r="E174" s="104">
        <v>2213</v>
      </c>
      <c r="F174" s="25">
        <v>40274</v>
      </c>
      <c r="G174" s="25">
        <v>42046</v>
      </c>
      <c r="H174" s="104">
        <v>441</v>
      </c>
      <c r="I174" s="19">
        <v>1772</v>
      </c>
      <c r="J174" s="83" t="s">
        <v>65</v>
      </c>
      <c r="K174" s="4">
        <v>6.4</v>
      </c>
      <c r="L174" s="19">
        <v>1</v>
      </c>
      <c r="M174" s="19">
        <v>1</v>
      </c>
      <c r="N174" s="19">
        <v>1</v>
      </c>
      <c r="O174" s="19">
        <v>1</v>
      </c>
      <c r="P174" s="4">
        <v>100</v>
      </c>
      <c r="Q174" s="4">
        <v>96</v>
      </c>
      <c r="R174" s="24">
        <v>0</v>
      </c>
      <c r="S174" s="125">
        <v>0</v>
      </c>
      <c r="T174" s="125">
        <v>129</v>
      </c>
      <c r="U174" s="24">
        <v>55</v>
      </c>
      <c r="V174" s="24">
        <v>1</v>
      </c>
      <c r="W174" s="24">
        <v>2.5</v>
      </c>
      <c r="X174" s="24">
        <v>0.35</v>
      </c>
      <c r="Y174" s="24">
        <v>3.5</v>
      </c>
      <c r="Z174" s="24">
        <v>0.5</v>
      </c>
      <c r="AA174" s="24">
        <v>0</v>
      </c>
      <c r="AB174" s="24">
        <v>0</v>
      </c>
    </row>
    <row r="175" spans="1:28" hidden="1" x14ac:dyDescent="0.25">
      <c r="A175" s="24" t="s">
        <v>269</v>
      </c>
      <c r="B175" s="24">
        <v>2</v>
      </c>
      <c r="D175" s="27">
        <v>39833</v>
      </c>
      <c r="E175" s="104">
        <v>2213</v>
      </c>
      <c r="F175" s="25">
        <v>40309</v>
      </c>
      <c r="G175" s="25">
        <v>42046</v>
      </c>
      <c r="H175" s="104">
        <v>476</v>
      </c>
      <c r="I175" s="19">
        <v>1737</v>
      </c>
      <c r="J175" s="83" t="s">
        <v>65</v>
      </c>
      <c r="K175" s="4">
        <v>6.37</v>
      </c>
      <c r="L175" s="19">
        <v>1</v>
      </c>
      <c r="M175" s="19">
        <v>1</v>
      </c>
      <c r="N175" s="19">
        <v>1</v>
      </c>
      <c r="O175" s="19">
        <v>1</v>
      </c>
      <c r="P175" s="4">
        <v>96</v>
      </c>
      <c r="Q175" s="4">
        <v>57</v>
      </c>
      <c r="R175" s="24">
        <v>0</v>
      </c>
      <c r="S175" s="125">
        <v>0</v>
      </c>
      <c r="T175" s="125">
        <v>1107</v>
      </c>
      <c r="U175" s="24">
        <v>55</v>
      </c>
      <c r="V175" s="24">
        <v>1</v>
      </c>
      <c r="W175" s="24">
        <v>2.5</v>
      </c>
      <c r="X175" s="24">
        <v>0.35</v>
      </c>
      <c r="Y175" s="24">
        <v>3.5</v>
      </c>
      <c r="Z175" s="24">
        <v>0.5</v>
      </c>
      <c r="AA175" s="24">
        <v>0</v>
      </c>
      <c r="AB175" s="24">
        <v>0</v>
      </c>
    </row>
    <row r="176" spans="1:28" hidden="1" x14ac:dyDescent="0.25">
      <c r="A176" s="24" t="s">
        <v>269</v>
      </c>
      <c r="B176" s="24">
        <v>2</v>
      </c>
      <c r="D176" s="27">
        <v>39833</v>
      </c>
      <c r="E176" s="104">
        <v>2213</v>
      </c>
      <c r="F176" s="25">
        <v>40659</v>
      </c>
      <c r="G176" s="25">
        <v>42046</v>
      </c>
      <c r="H176" s="104">
        <v>826</v>
      </c>
      <c r="I176" s="19">
        <v>1387</v>
      </c>
      <c r="J176" s="83" t="s">
        <v>65</v>
      </c>
      <c r="K176" s="4">
        <v>6.04</v>
      </c>
      <c r="L176" s="19">
        <v>1</v>
      </c>
      <c r="M176" s="19">
        <v>1</v>
      </c>
      <c r="N176" s="19">
        <v>1</v>
      </c>
      <c r="O176" s="19">
        <v>1</v>
      </c>
      <c r="P176" s="4">
        <v>100</v>
      </c>
      <c r="Q176" s="4">
        <v>99</v>
      </c>
      <c r="R176" s="24">
        <v>0</v>
      </c>
      <c r="S176" s="125">
        <v>0</v>
      </c>
      <c r="T176" s="125">
        <v>0</v>
      </c>
      <c r="U176" s="24">
        <v>55</v>
      </c>
      <c r="V176" s="24">
        <v>1</v>
      </c>
      <c r="W176" s="24">
        <v>2.5</v>
      </c>
      <c r="X176" s="24">
        <v>0.35</v>
      </c>
      <c r="Y176" s="24">
        <v>3.5</v>
      </c>
      <c r="Z176" s="24">
        <v>0.5</v>
      </c>
      <c r="AA176" s="24">
        <v>0</v>
      </c>
      <c r="AB176" s="24">
        <v>0</v>
      </c>
    </row>
    <row r="177" spans="1:28" x14ac:dyDescent="0.25">
      <c r="A177" s="150" t="s">
        <v>269</v>
      </c>
      <c r="B177" s="24">
        <v>2</v>
      </c>
      <c r="D177" s="27">
        <v>39833</v>
      </c>
      <c r="E177" s="104">
        <v>2213</v>
      </c>
      <c r="F177" s="89">
        <v>42046</v>
      </c>
      <c r="G177" s="89">
        <v>42046</v>
      </c>
      <c r="H177" s="104">
        <v>2213</v>
      </c>
      <c r="I177" s="19">
        <v>0</v>
      </c>
      <c r="J177" s="83" t="s">
        <v>65</v>
      </c>
      <c r="K177" s="92">
        <v>4.5</v>
      </c>
      <c r="L177" s="19">
        <v>0</v>
      </c>
      <c r="M177" s="19">
        <v>0</v>
      </c>
      <c r="N177" s="19">
        <v>0</v>
      </c>
      <c r="O177" s="19">
        <v>0</v>
      </c>
      <c r="P177" s="92">
        <v>120</v>
      </c>
      <c r="Q177" s="92">
        <v>99</v>
      </c>
      <c r="R177" s="83">
        <v>0</v>
      </c>
      <c r="S177" s="126">
        <v>0</v>
      </c>
      <c r="T177" s="126">
        <v>0</v>
      </c>
      <c r="U177" s="24">
        <v>55</v>
      </c>
      <c r="V177" s="83">
        <v>1</v>
      </c>
      <c r="W177" s="83">
        <v>2</v>
      </c>
      <c r="X177" s="83">
        <v>0.35</v>
      </c>
      <c r="Y177" s="83">
        <v>3</v>
      </c>
      <c r="Z177" s="83">
        <v>0.5</v>
      </c>
      <c r="AA177" s="83">
        <v>0</v>
      </c>
      <c r="AB177" s="83">
        <v>0</v>
      </c>
    </row>
    <row r="178" spans="1:28" hidden="1" x14ac:dyDescent="0.25">
      <c r="A178" s="4" t="s">
        <v>50</v>
      </c>
      <c r="B178" s="4">
        <v>2</v>
      </c>
      <c r="D178" s="13">
        <v>39833</v>
      </c>
      <c r="E178" s="104">
        <v>2211</v>
      </c>
      <c r="F178" s="13">
        <v>40862</v>
      </c>
      <c r="G178" s="25">
        <v>42044</v>
      </c>
      <c r="H178" s="104">
        <v>1029</v>
      </c>
      <c r="I178" s="19">
        <v>1182</v>
      </c>
      <c r="J178" s="83" t="s">
        <v>65</v>
      </c>
      <c r="K178" s="4">
        <v>5.66</v>
      </c>
      <c r="L178" s="19">
        <v>1</v>
      </c>
      <c r="M178" s="19">
        <v>1</v>
      </c>
      <c r="N178" s="19">
        <v>1</v>
      </c>
      <c r="O178" s="19">
        <v>1</v>
      </c>
      <c r="P178" s="4">
        <v>100</v>
      </c>
      <c r="Q178" s="4">
        <v>98</v>
      </c>
      <c r="R178" s="90">
        <v>0</v>
      </c>
      <c r="S178" s="125">
        <v>0</v>
      </c>
      <c r="T178" s="125">
        <v>0</v>
      </c>
      <c r="U178" s="24">
        <v>55</v>
      </c>
      <c r="V178" s="4">
        <v>1</v>
      </c>
      <c r="W178" s="4">
        <v>2.5</v>
      </c>
      <c r="X178" s="4">
        <v>0.35</v>
      </c>
      <c r="Y178" s="4">
        <v>3.5</v>
      </c>
      <c r="Z178" s="4">
        <v>0.5</v>
      </c>
      <c r="AA178" s="90">
        <v>0</v>
      </c>
      <c r="AB178" s="90">
        <v>0</v>
      </c>
    </row>
    <row r="179" spans="1:28" hidden="1" x14ac:dyDescent="0.25">
      <c r="A179" s="4" t="s">
        <v>50</v>
      </c>
      <c r="B179" s="4">
        <v>2</v>
      </c>
      <c r="D179" s="13">
        <v>39833</v>
      </c>
      <c r="E179" s="104">
        <v>2211</v>
      </c>
      <c r="F179" s="13">
        <v>41051</v>
      </c>
      <c r="G179" s="25">
        <v>42044</v>
      </c>
      <c r="H179" s="104">
        <v>1218</v>
      </c>
      <c r="I179" s="19">
        <v>993</v>
      </c>
      <c r="J179" s="83" t="s">
        <v>65</v>
      </c>
      <c r="K179" s="4">
        <v>5.29</v>
      </c>
      <c r="L179" s="19">
        <v>1</v>
      </c>
      <c r="M179" s="19">
        <v>1</v>
      </c>
      <c r="N179" s="19">
        <v>1</v>
      </c>
      <c r="O179" s="19">
        <v>1</v>
      </c>
      <c r="P179" s="4">
        <v>100</v>
      </c>
      <c r="Q179" s="4">
        <v>99</v>
      </c>
      <c r="R179" s="90">
        <v>0</v>
      </c>
      <c r="S179" s="125">
        <v>0</v>
      </c>
      <c r="T179" s="125">
        <v>0</v>
      </c>
      <c r="U179" s="24">
        <v>55</v>
      </c>
      <c r="V179" s="4">
        <v>1</v>
      </c>
      <c r="W179" s="4">
        <v>2.5</v>
      </c>
      <c r="X179" s="4">
        <v>0.35</v>
      </c>
      <c r="Y179" s="4">
        <v>3.5</v>
      </c>
      <c r="Z179" s="4">
        <v>0.5</v>
      </c>
      <c r="AA179" s="90">
        <v>0</v>
      </c>
      <c r="AB179" s="90">
        <v>0</v>
      </c>
    </row>
    <row r="180" spans="1:28" hidden="1" x14ac:dyDescent="0.25">
      <c r="A180" s="4" t="s">
        <v>50</v>
      </c>
      <c r="B180" s="4">
        <v>2</v>
      </c>
      <c r="D180" s="13">
        <v>39833</v>
      </c>
      <c r="E180" s="104">
        <v>2211</v>
      </c>
      <c r="F180" s="13">
        <v>41193</v>
      </c>
      <c r="G180" s="25">
        <v>42044</v>
      </c>
      <c r="H180" s="104">
        <v>1360</v>
      </c>
      <c r="I180" s="19">
        <v>851</v>
      </c>
      <c r="J180" s="83" t="s">
        <v>65</v>
      </c>
      <c r="K180" s="4">
        <v>5.19</v>
      </c>
      <c r="L180" s="19">
        <v>1</v>
      </c>
      <c r="M180" s="19">
        <v>1</v>
      </c>
      <c r="N180" s="19">
        <v>1</v>
      </c>
      <c r="O180" s="19">
        <v>1</v>
      </c>
      <c r="P180" s="4">
        <v>99</v>
      </c>
      <c r="Q180" s="4">
        <v>98</v>
      </c>
      <c r="R180" s="90">
        <v>0</v>
      </c>
      <c r="S180" s="125">
        <v>0</v>
      </c>
      <c r="T180" s="125">
        <v>0</v>
      </c>
      <c r="U180" s="24">
        <v>55</v>
      </c>
      <c r="V180" s="4">
        <v>1</v>
      </c>
      <c r="W180" s="4">
        <v>2.5</v>
      </c>
      <c r="X180" s="4">
        <v>0.35</v>
      </c>
      <c r="Y180" s="4">
        <v>3.5</v>
      </c>
      <c r="Z180" s="4">
        <v>0.5</v>
      </c>
      <c r="AA180" s="90">
        <v>0</v>
      </c>
      <c r="AB180" s="90">
        <v>0</v>
      </c>
    </row>
    <row r="181" spans="1:28" hidden="1" x14ac:dyDescent="0.25">
      <c r="A181" s="4" t="s">
        <v>50</v>
      </c>
      <c r="B181" s="4">
        <v>2</v>
      </c>
      <c r="D181" s="13">
        <v>39833</v>
      </c>
      <c r="E181" s="104">
        <v>2211</v>
      </c>
      <c r="F181" s="13">
        <v>41240</v>
      </c>
      <c r="G181" s="25">
        <v>42044</v>
      </c>
      <c r="H181" s="104">
        <v>1407</v>
      </c>
      <c r="I181" s="19">
        <v>804</v>
      </c>
      <c r="J181" s="83" t="s">
        <v>65</v>
      </c>
      <c r="K181" s="4">
        <v>5.17</v>
      </c>
      <c r="L181" s="19">
        <v>1</v>
      </c>
      <c r="M181" s="19">
        <v>1</v>
      </c>
      <c r="N181" s="19">
        <v>1</v>
      </c>
      <c r="O181" s="19">
        <v>1</v>
      </c>
      <c r="P181" s="4">
        <v>100</v>
      </c>
      <c r="Q181" s="4">
        <v>95</v>
      </c>
      <c r="R181" s="90">
        <v>0</v>
      </c>
      <c r="S181" s="125">
        <v>0</v>
      </c>
      <c r="T181" s="125">
        <v>0</v>
      </c>
      <c r="U181" s="24">
        <v>55</v>
      </c>
      <c r="V181" s="4">
        <v>1</v>
      </c>
      <c r="W181" s="4">
        <v>2.5</v>
      </c>
      <c r="X181" s="4">
        <v>0.35</v>
      </c>
      <c r="Y181" s="4">
        <v>3.5</v>
      </c>
      <c r="Z181" s="4">
        <v>0.5</v>
      </c>
      <c r="AA181" s="90">
        <v>0</v>
      </c>
      <c r="AB181" s="90">
        <v>0</v>
      </c>
    </row>
    <row r="182" spans="1:28" hidden="1" x14ac:dyDescent="0.25">
      <c r="A182" s="4" t="s">
        <v>50</v>
      </c>
      <c r="B182" s="4">
        <v>2</v>
      </c>
      <c r="D182" s="13">
        <v>39833</v>
      </c>
      <c r="E182" s="104">
        <v>2211</v>
      </c>
      <c r="F182" s="13">
        <v>41394</v>
      </c>
      <c r="G182" s="25">
        <v>42044</v>
      </c>
      <c r="H182" s="104">
        <v>1561</v>
      </c>
      <c r="I182" s="19">
        <v>650</v>
      </c>
      <c r="J182" s="83" t="s">
        <v>65</v>
      </c>
      <c r="K182" s="4">
        <v>5.16</v>
      </c>
      <c r="L182" s="19">
        <v>1</v>
      </c>
      <c r="M182" s="19">
        <v>1</v>
      </c>
      <c r="N182" s="19">
        <v>1</v>
      </c>
      <c r="O182" s="19">
        <v>1</v>
      </c>
      <c r="P182" s="4">
        <v>100</v>
      </c>
      <c r="Q182" s="4">
        <v>99</v>
      </c>
      <c r="R182" s="90">
        <v>0</v>
      </c>
      <c r="S182" s="125">
        <v>0</v>
      </c>
      <c r="T182" s="125">
        <v>0</v>
      </c>
      <c r="U182" s="24">
        <v>55</v>
      </c>
      <c r="V182" s="4">
        <v>1</v>
      </c>
      <c r="W182" s="4">
        <v>2.5</v>
      </c>
      <c r="X182" s="4">
        <v>0.35</v>
      </c>
      <c r="Y182" s="4">
        <v>3.5</v>
      </c>
      <c r="Z182" s="4">
        <v>0.5</v>
      </c>
      <c r="AA182" s="90">
        <v>0</v>
      </c>
      <c r="AB182" s="90">
        <v>0</v>
      </c>
    </row>
    <row r="183" spans="1:28" hidden="1" x14ac:dyDescent="0.25">
      <c r="A183" s="4" t="s">
        <v>50</v>
      </c>
      <c r="B183" s="4">
        <v>2</v>
      </c>
      <c r="D183" s="13">
        <v>39833</v>
      </c>
      <c r="E183" s="104">
        <v>2211</v>
      </c>
      <c r="F183" s="13">
        <v>41486</v>
      </c>
      <c r="G183" s="25">
        <v>42044</v>
      </c>
      <c r="H183" s="104">
        <v>1653</v>
      </c>
      <c r="I183" s="19">
        <v>558</v>
      </c>
      <c r="J183" s="83" t="s">
        <v>65</v>
      </c>
      <c r="K183" s="4">
        <v>5.16</v>
      </c>
      <c r="L183" s="19">
        <v>1</v>
      </c>
      <c r="M183" s="19">
        <v>1</v>
      </c>
      <c r="N183" s="19">
        <v>1</v>
      </c>
      <c r="O183" s="19">
        <v>1</v>
      </c>
      <c r="P183" s="4">
        <v>100</v>
      </c>
      <c r="Q183" s="4">
        <v>100</v>
      </c>
      <c r="R183" s="90">
        <v>0</v>
      </c>
      <c r="S183" s="125">
        <v>0</v>
      </c>
      <c r="T183" s="125">
        <v>0</v>
      </c>
      <c r="U183" s="24">
        <v>55</v>
      </c>
      <c r="V183" s="4">
        <v>1</v>
      </c>
      <c r="W183" s="4">
        <v>2</v>
      </c>
      <c r="X183" s="4">
        <v>0.35</v>
      </c>
      <c r="Y183" s="4">
        <v>3</v>
      </c>
      <c r="Z183" s="4">
        <v>0.5</v>
      </c>
      <c r="AA183" s="90">
        <v>0</v>
      </c>
      <c r="AB183" s="90">
        <v>0</v>
      </c>
    </row>
    <row r="184" spans="1:28" hidden="1" x14ac:dyDescent="0.25">
      <c r="A184" s="161" t="s">
        <v>50</v>
      </c>
      <c r="B184" s="4">
        <v>2</v>
      </c>
      <c r="D184" s="13">
        <v>39833</v>
      </c>
      <c r="E184" s="104">
        <v>2211</v>
      </c>
      <c r="F184" s="13">
        <v>41568</v>
      </c>
      <c r="G184" s="25">
        <v>42044</v>
      </c>
      <c r="H184" s="104">
        <v>1735</v>
      </c>
      <c r="I184" s="19">
        <v>476</v>
      </c>
      <c r="J184" s="83" t="s">
        <v>65</v>
      </c>
      <c r="K184" s="4">
        <v>5.14</v>
      </c>
      <c r="L184" s="19">
        <v>0</v>
      </c>
      <c r="M184" s="19">
        <v>1</v>
      </c>
      <c r="N184" s="19">
        <v>1</v>
      </c>
      <c r="O184" s="19">
        <v>1</v>
      </c>
      <c r="P184" s="4">
        <v>100</v>
      </c>
      <c r="Q184" s="4">
        <v>100</v>
      </c>
      <c r="R184" s="90">
        <v>0</v>
      </c>
      <c r="S184" s="128">
        <v>0</v>
      </c>
      <c r="T184" s="128">
        <v>0</v>
      </c>
      <c r="U184" s="24">
        <v>55</v>
      </c>
      <c r="V184" s="4">
        <v>1</v>
      </c>
      <c r="W184" s="4">
        <v>2</v>
      </c>
      <c r="X184" s="4">
        <v>0.35</v>
      </c>
      <c r="Y184" s="4">
        <v>3</v>
      </c>
      <c r="Z184" s="4">
        <v>0.5</v>
      </c>
      <c r="AA184" s="90">
        <v>0</v>
      </c>
      <c r="AB184" s="90">
        <v>0</v>
      </c>
    </row>
    <row r="185" spans="1:28" hidden="1" x14ac:dyDescent="0.25">
      <c r="A185" s="161" t="s">
        <v>50</v>
      </c>
      <c r="B185" s="4">
        <v>2</v>
      </c>
      <c r="D185" s="13">
        <v>39833</v>
      </c>
      <c r="E185" s="104">
        <v>2211</v>
      </c>
      <c r="F185" s="23">
        <v>41730</v>
      </c>
      <c r="G185" s="25">
        <v>42044</v>
      </c>
      <c r="H185" s="104">
        <v>1897</v>
      </c>
      <c r="I185" s="19">
        <v>314</v>
      </c>
      <c r="J185" s="83" t="s">
        <v>65</v>
      </c>
      <c r="K185" s="24">
        <v>5.0999999999999996</v>
      </c>
      <c r="L185" s="19">
        <v>0</v>
      </c>
      <c r="M185" s="19">
        <v>0</v>
      </c>
      <c r="N185" s="19">
        <v>1</v>
      </c>
      <c r="O185" s="19">
        <v>1</v>
      </c>
      <c r="P185" s="24">
        <v>100</v>
      </c>
      <c r="Q185" s="24">
        <v>100</v>
      </c>
      <c r="R185" s="90">
        <v>0</v>
      </c>
      <c r="S185" s="128">
        <v>0</v>
      </c>
      <c r="T185" s="128">
        <v>0</v>
      </c>
      <c r="U185" s="24">
        <v>55</v>
      </c>
      <c r="V185" s="4">
        <v>1</v>
      </c>
      <c r="W185" s="4">
        <v>2</v>
      </c>
      <c r="X185" s="4">
        <v>0.35</v>
      </c>
      <c r="Y185" s="4">
        <v>3</v>
      </c>
      <c r="Z185" s="4">
        <v>0.5</v>
      </c>
      <c r="AA185" s="4">
        <v>0</v>
      </c>
      <c r="AB185" s="90">
        <v>0</v>
      </c>
    </row>
    <row r="186" spans="1:28" x14ac:dyDescent="0.25">
      <c r="A186" s="161" t="s">
        <v>50</v>
      </c>
      <c r="B186" s="4">
        <v>2</v>
      </c>
      <c r="D186" s="13">
        <v>39833</v>
      </c>
      <c r="E186" s="104">
        <v>2211</v>
      </c>
      <c r="F186" s="25">
        <v>41912</v>
      </c>
      <c r="G186" s="25">
        <v>42044</v>
      </c>
      <c r="H186" s="104">
        <v>2079</v>
      </c>
      <c r="I186" s="19">
        <v>132</v>
      </c>
      <c r="J186" s="83" t="s">
        <v>65</v>
      </c>
      <c r="K186" s="4">
        <v>4.8899999999999997</v>
      </c>
      <c r="L186" s="19">
        <v>0</v>
      </c>
      <c r="M186" s="19">
        <v>0</v>
      </c>
      <c r="N186" s="19">
        <v>0</v>
      </c>
      <c r="O186" s="19">
        <v>1</v>
      </c>
      <c r="P186" s="4">
        <v>100</v>
      </c>
      <c r="Q186" s="4">
        <v>100</v>
      </c>
      <c r="R186" s="90">
        <v>0</v>
      </c>
      <c r="S186" s="128">
        <v>0</v>
      </c>
      <c r="T186" s="128">
        <v>0</v>
      </c>
      <c r="U186" s="24">
        <v>55</v>
      </c>
      <c r="V186" s="4">
        <v>1</v>
      </c>
      <c r="W186" s="4">
        <v>2</v>
      </c>
      <c r="X186" s="4">
        <v>0.35</v>
      </c>
      <c r="Y186" s="4">
        <v>3</v>
      </c>
      <c r="Z186" s="4">
        <v>0.5</v>
      </c>
      <c r="AA186" s="90">
        <v>0</v>
      </c>
      <c r="AB186" s="90">
        <v>0</v>
      </c>
    </row>
    <row r="187" spans="1:28" x14ac:dyDescent="0.25">
      <c r="A187" s="161" t="s">
        <v>50</v>
      </c>
      <c r="B187" s="4">
        <v>2</v>
      </c>
      <c r="D187" s="13">
        <v>39833</v>
      </c>
      <c r="E187" s="104">
        <v>2211</v>
      </c>
      <c r="F187" s="89">
        <v>42020</v>
      </c>
      <c r="G187" s="89">
        <v>42044</v>
      </c>
      <c r="H187" s="104">
        <v>2187</v>
      </c>
      <c r="I187" s="19">
        <v>24</v>
      </c>
      <c r="J187" s="83" t="s">
        <v>65</v>
      </c>
      <c r="K187" s="92">
        <v>4.53</v>
      </c>
      <c r="L187" s="19">
        <v>0</v>
      </c>
      <c r="M187" s="19">
        <v>0</v>
      </c>
      <c r="N187" s="19">
        <v>0</v>
      </c>
      <c r="O187" s="19">
        <v>0</v>
      </c>
      <c r="P187" s="92">
        <v>100</v>
      </c>
      <c r="Q187" s="92">
        <v>99</v>
      </c>
      <c r="R187" s="90">
        <v>0</v>
      </c>
      <c r="S187" s="134">
        <v>0</v>
      </c>
      <c r="T187" s="134">
        <v>0</v>
      </c>
      <c r="U187" s="24">
        <v>55</v>
      </c>
      <c r="V187" s="92">
        <v>1</v>
      </c>
      <c r="W187" s="92">
        <v>2</v>
      </c>
      <c r="X187" s="92">
        <v>0.35</v>
      </c>
      <c r="Y187" s="92">
        <v>3</v>
      </c>
      <c r="Z187" s="92">
        <v>0.5</v>
      </c>
      <c r="AA187" s="90">
        <v>0</v>
      </c>
      <c r="AB187" s="90">
        <v>0</v>
      </c>
    </row>
    <row r="188" spans="1:28" x14ac:dyDescent="0.25">
      <c r="A188" s="161" t="s">
        <v>50</v>
      </c>
      <c r="B188" s="4">
        <v>2</v>
      </c>
      <c r="D188" s="13">
        <v>39833</v>
      </c>
      <c r="E188" s="104">
        <v>2211</v>
      </c>
      <c r="F188" s="89">
        <v>42044</v>
      </c>
      <c r="G188" s="89">
        <v>42044</v>
      </c>
      <c r="H188" s="104">
        <v>2211</v>
      </c>
      <c r="I188" s="19">
        <v>0</v>
      </c>
      <c r="J188" s="83" t="s">
        <v>65</v>
      </c>
      <c r="K188" s="92">
        <v>4.5</v>
      </c>
      <c r="L188" s="19">
        <v>0</v>
      </c>
      <c r="M188" s="19">
        <v>0</v>
      </c>
      <c r="N188" s="19">
        <v>0</v>
      </c>
      <c r="O188" s="19">
        <v>0</v>
      </c>
      <c r="P188" s="92">
        <v>98</v>
      </c>
      <c r="Q188" s="92">
        <v>99</v>
      </c>
      <c r="R188" s="90">
        <v>0</v>
      </c>
      <c r="S188" s="134">
        <v>0</v>
      </c>
      <c r="T188" s="134">
        <v>0</v>
      </c>
      <c r="U188" s="24">
        <v>55</v>
      </c>
      <c r="V188" s="92">
        <v>1</v>
      </c>
      <c r="W188" s="92">
        <v>2</v>
      </c>
      <c r="X188" s="92">
        <v>0.35</v>
      </c>
      <c r="Y188" s="92">
        <v>3</v>
      </c>
      <c r="Z188" s="92">
        <v>0.5</v>
      </c>
      <c r="AA188" s="90">
        <v>0</v>
      </c>
      <c r="AB188" s="90">
        <v>0</v>
      </c>
    </row>
    <row r="189" spans="1:28" hidden="1" x14ac:dyDescent="0.25">
      <c r="A189" s="4" t="s">
        <v>82</v>
      </c>
      <c r="B189" s="4">
        <v>2</v>
      </c>
      <c r="D189" s="13">
        <v>39735</v>
      </c>
      <c r="E189" s="104">
        <v>2472</v>
      </c>
      <c r="F189" s="13">
        <v>40995</v>
      </c>
      <c r="G189" s="27">
        <v>42207</v>
      </c>
      <c r="H189" s="104">
        <v>1260</v>
      </c>
      <c r="I189" s="19">
        <v>1212</v>
      </c>
      <c r="J189" s="83" t="s">
        <v>65</v>
      </c>
      <c r="K189" s="4">
        <v>5.75</v>
      </c>
      <c r="L189" s="19">
        <v>1</v>
      </c>
      <c r="M189" s="19">
        <v>1</v>
      </c>
      <c r="N189" s="19">
        <v>1</v>
      </c>
      <c r="O189" s="19">
        <v>1</v>
      </c>
      <c r="P189" s="4">
        <v>0</v>
      </c>
      <c r="Q189" s="4">
        <v>0</v>
      </c>
      <c r="R189" s="90">
        <v>0</v>
      </c>
      <c r="S189" s="125">
        <v>0</v>
      </c>
      <c r="T189" s="125">
        <v>0</v>
      </c>
      <c r="U189" s="4">
        <v>60</v>
      </c>
      <c r="V189" s="4">
        <v>1</v>
      </c>
      <c r="W189" s="4">
        <v>2.5</v>
      </c>
      <c r="X189" s="4">
        <v>0.35</v>
      </c>
      <c r="Y189" s="4">
        <v>2.5</v>
      </c>
      <c r="Z189" s="4">
        <v>0.35</v>
      </c>
      <c r="AA189" s="90">
        <v>0</v>
      </c>
      <c r="AB189" s="90">
        <v>0</v>
      </c>
    </row>
    <row r="190" spans="1:28" hidden="1" x14ac:dyDescent="0.25">
      <c r="A190" s="4" t="s">
        <v>82</v>
      </c>
      <c r="B190" s="4">
        <v>2</v>
      </c>
      <c r="D190" s="13">
        <v>39735</v>
      </c>
      <c r="E190" s="104">
        <v>2472</v>
      </c>
      <c r="F190" s="13">
        <v>41184</v>
      </c>
      <c r="G190" s="27">
        <v>42207</v>
      </c>
      <c r="H190" s="104">
        <v>1449</v>
      </c>
      <c r="I190" s="19">
        <v>1023</v>
      </c>
      <c r="J190" s="83" t="s">
        <v>65</v>
      </c>
      <c r="K190" s="4">
        <v>5.32</v>
      </c>
      <c r="L190" s="19">
        <v>1</v>
      </c>
      <c r="M190" s="19">
        <v>1</v>
      </c>
      <c r="N190" s="19">
        <v>1</v>
      </c>
      <c r="O190" s="19">
        <v>1</v>
      </c>
      <c r="P190" s="4">
        <v>90</v>
      </c>
      <c r="Q190" s="4">
        <v>100</v>
      </c>
      <c r="R190" s="90">
        <v>0</v>
      </c>
      <c r="S190" s="125">
        <v>0</v>
      </c>
      <c r="T190" s="125">
        <v>0</v>
      </c>
      <c r="U190" s="4">
        <v>60</v>
      </c>
      <c r="V190" s="4">
        <v>1</v>
      </c>
      <c r="W190" s="4">
        <v>2.5</v>
      </c>
      <c r="X190" s="4">
        <v>0.35</v>
      </c>
      <c r="Y190" s="4">
        <v>2.5</v>
      </c>
      <c r="Z190" s="4">
        <v>0.35</v>
      </c>
      <c r="AA190" s="90">
        <v>0</v>
      </c>
      <c r="AB190" s="90">
        <v>0</v>
      </c>
    </row>
    <row r="191" spans="1:28" hidden="1" x14ac:dyDescent="0.25">
      <c r="A191" s="4" t="s">
        <v>82</v>
      </c>
      <c r="B191" s="4">
        <v>2</v>
      </c>
      <c r="D191" s="13">
        <v>39735</v>
      </c>
      <c r="E191" s="104">
        <v>2472</v>
      </c>
      <c r="F191" s="13">
        <v>41309</v>
      </c>
      <c r="G191" s="27">
        <v>42207</v>
      </c>
      <c r="H191" s="104">
        <v>1574</v>
      </c>
      <c r="I191" s="19">
        <v>898</v>
      </c>
      <c r="J191" s="83" t="s">
        <v>65</v>
      </c>
      <c r="K191" s="4">
        <v>5.24</v>
      </c>
      <c r="L191" s="19">
        <v>1</v>
      </c>
      <c r="M191" s="19">
        <v>1</v>
      </c>
      <c r="N191" s="19">
        <v>1</v>
      </c>
      <c r="O191" s="19">
        <v>1</v>
      </c>
      <c r="P191" s="4">
        <v>82</v>
      </c>
      <c r="Q191" s="4">
        <v>100</v>
      </c>
      <c r="R191" s="90">
        <v>0</v>
      </c>
      <c r="S191" s="125">
        <v>0</v>
      </c>
      <c r="T191" s="125">
        <v>0</v>
      </c>
      <c r="U191" s="4">
        <v>60</v>
      </c>
      <c r="V191" s="4">
        <v>1</v>
      </c>
      <c r="W191" s="4">
        <v>2.5</v>
      </c>
      <c r="X191" s="4">
        <v>0.35</v>
      </c>
      <c r="Y191" s="4">
        <v>2.5</v>
      </c>
      <c r="Z191" s="4">
        <v>0.35</v>
      </c>
      <c r="AA191" s="90">
        <v>0</v>
      </c>
      <c r="AB191" s="90">
        <v>0</v>
      </c>
    </row>
    <row r="192" spans="1:28" hidden="1" x14ac:dyDescent="0.25">
      <c r="A192" s="4" t="s">
        <v>82</v>
      </c>
      <c r="B192" s="4">
        <v>2</v>
      </c>
      <c r="D192" s="13">
        <v>39735</v>
      </c>
      <c r="E192" s="104">
        <v>2472</v>
      </c>
      <c r="F192" s="13">
        <v>41429</v>
      </c>
      <c r="G192" s="27">
        <v>42207</v>
      </c>
      <c r="H192" s="104">
        <v>1694</v>
      </c>
      <c r="I192" s="19">
        <v>778</v>
      </c>
      <c r="J192" s="83" t="s">
        <v>65</v>
      </c>
      <c r="K192" s="4">
        <v>5.18</v>
      </c>
      <c r="L192" s="19">
        <v>1</v>
      </c>
      <c r="M192" s="19">
        <v>1</v>
      </c>
      <c r="N192" s="19">
        <v>1</v>
      </c>
      <c r="O192" s="19">
        <v>1</v>
      </c>
      <c r="P192" s="4">
        <v>87</v>
      </c>
      <c r="Q192" s="4">
        <v>100</v>
      </c>
      <c r="R192" s="90">
        <v>0</v>
      </c>
      <c r="S192" s="128">
        <v>0</v>
      </c>
      <c r="T192" s="128">
        <v>0</v>
      </c>
      <c r="U192" s="4">
        <v>60</v>
      </c>
      <c r="V192" s="4">
        <v>1</v>
      </c>
      <c r="W192" s="4">
        <v>2</v>
      </c>
      <c r="X192" s="4">
        <v>0.35</v>
      </c>
      <c r="Y192" s="4">
        <v>2.5</v>
      </c>
      <c r="Z192" s="4">
        <v>0.35</v>
      </c>
      <c r="AA192" s="90">
        <v>0</v>
      </c>
      <c r="AB192" s="90">
        <v>0</v>
      </c>
    </row>
    <row r="193" spans="1:28" hidden="1" x14ac:dyDescent="0.25">
      <c r="A193" s="4" t="s">
        <v>82</v>
      </c>
      <c r="B193" s="4">
        <v>2</v>
      </c>
      <c r="D193" s="13">
        <v>39735</v>
      </c>
      <c r="E193" s="104">
        <v>2472</v>
      </c>
      <c r="F193" s="13">
        <v>41568</v>
      </c>
      <c r="G193" s="27">
        <v>42207</v>
      </c>
      <c r="H193" s="104">
        <v>1833</v>
      </c>
      <c r="I193" s="19">
        <v>639</v>
      </c>
      <c r="J193" s="83" t="s">
        <v>65</v>
      </c>
      <c r="K193" s="4">
        <v>5.17</v>
      </c>
      <c r="L193" s="19">
        <v>1</v>
      </c>
      <c r="M193" s="19">
        <v>1</v>
      </c>
      <c r="N193" s="19">
        <v>1</v>
      </c>
      <c r="O193" s="19">
        <v>1</v>
      </c>
      <c r="P193" s="4">
        <v>90</v>
      </c>
      <c r="Q193" s="4">
        <v>100</v>
      </c>
      <c r="R193" s="90">
        <v>0</v>
      </c>
      <c r="S193" s="128">
        <v>0</v>
      </c>
      <c r="T193" s="128">
        <v>0</v>
      </c>
      <c r="U193" s="4">
        <v>60</v>
      </c>
      <c r="V193" s="4">
        <v>1</v>
      </c>
      <c r="W193" s="4">
        <v>2</v>
      </c>
      <c r="X193" s="4">
        <v>0.35</v>
      </c>
      <c r="Y193" s="4">
        <v>2.5</v>
      </c>
      <c r="Z193" s="4">
        <v>0.35</v>
      </c>
      <c r="AA193" s="90">
        <v>0</v>
      </c>
      <c r="AB193" s="90">
        <v>0</v>
      </c>
    </row>
    <row r="194" spans="1:28" hidden="1" x14ac:dyDescent="0.25">
      <c r="A194" s="156" t="s">
        <v>82</v>
      </c>
      <c r="B194" s="4">
        <v>2</v>
      </c>
      <c r="D194" s="13">
        <v>39735</v>
      </c>
      <c r="E194" s="104">
        <v>2472</v>
      </c>
      <c r="F194" s="13">
        <v>41751</v>
      </c>
      <c r="G194" s="27">
        <v>42207</v>
      </c>
      <c r="H194" s="104">
        <v>2016</v>
      </c>
      <c r="I194" s="19">
        <v>456</v>
      </c>
      <c r="J194" s="83" t="s">
        <v>65</v>
      </c>
      <c r="K194" s="4">
        <v>5.15</v>
      </c>
      <c r="L194" s="19">
        <v>0</v>
      </c>
      <c r="M194" s="19">
        <v>1</v>
      </c>
      <c r="N194" s="19">
        <v>1</v>
      </c>
      <c r="O194" s="19">
        <v>1</v>
      </c>
      <c r="P194" s="4">
        <v>84</v>
      </c>
      <c r="Q194" s="4">
        <v>100</v>
      </c>
      <c r="R194" s="90">
        <v>0</v>
      </c>
      <c r="S194" s="128">
        <v>0</v>
      </c>
      <c r="T194" s="128">
        <v>0</v>
      </c>
      <c r="U194" s="4">
        <v>60</v>
      </c>
      <c r="V194" s="4">
        <v>1</v>
      </c>
      <c r="W194" s="4">
        <v>2</v>
      </c>
      <c r="X194" s="4">
        <v>0.35</v>
      </c>
      <c r="Y194" s="4">
        <v>2.5</v>
      </c>
      <c r="Z194" s="4">
        <v>0.35</v>
      </c>
      <c r="AA194" s="90">
        <v>0</v>
      </c>
      <c r="AB194" s="90">
        <v>0</v>
      </c>
    </row>
    <row r="195" spans="1:28" hidden="1" x14ac:dyDescent="0.25">
      <c r="A195" s="156" t="s">
        <v>82</v>
      </c>
      <c r="B195" s="4">
        <v>2</v>
      </c>
      <c r="D195" s="13">
        <v>39735</v>
      </c>
      <c r="E195" s="104">
        <v>2472</v>
      </c>
      <c r="F195" s="13">
        <v>41940</v>
      </c>
      <c r="G195" s="27">
        <v>42207</v>
      </c>
      <c r="H195" s="104">
        <v>2205</v>
      </c>
      <c r="I195" s="19">
        <v>267</v>
      </c>
      <c r="J195" s="83" t="s">
        <v>65</v>
      </c>
      <c r="K195" s="4">
        <v>5.1100000000000003</v>
      </c>
      <c r="L195" s="19">
        <v>0</v>
      </c>
      <c r="M195" s="19">
        <v>0</v>
      </c>
      <c r="N195" s="19">
        <v>1</v>
      </c>
      <c r="O195" s="19">
        <v>1</v>
      </c>
      <c r="P195" s="4">
        <v>86</v>
      </c>
      <c r="Q195" s="4">
        <v>100</v>
      </c>
      <c r="R195" s="90">
        <v>0</v>
      </c>
      <c r="S195" s="125">
        <v>1</v>
      </c>
      <c r="T195" s="125">
        <v>2</v>
      </c>
      <c r="U195" s="4">
        <v>60</v>
      </c>
      <c r="V195" s="4">
        <v>1</v>
      </c>
      <c r="W195" s="4">
        <v>2</v>
      </c>
      <c r="X195" s="4">
        <v>0.35</v>
      </c>
      <c r="Y195" s="4">
        <v>2.5</v>
      </c>
      <c r="Z195" s="4">
        <v>0.35</v>
      </c>
      <c r="AA195" s="90">
        <v>0</v>
      </c>
      <c r="AB195" s="90">
        <v>0</v>
      </c>
    </row>
    <row r="196" spans="1:28" x14ac:dyDescent="0.25">
      <c r="A196" s="156" t="s">
        <v>82</v>
      </c>
      <c r="B196" s="4">
        <v>2</v>
      </c>
      <c r="D196" s="13">
        <v>39735</v>
      </c>
      <c r="E196" s="104">
        <v>2472</v>
      </c>
      <c r="F196" s="27">
        <v>42207</v>
      </c>
      <c r="G196" s="27">
        <v>42207</v>
      </c>
      <c r="H196" s="104">
        <v>2472</v>
      </c>
      <c r="I196" s="19">
        <v>0</v>
      </c>
      <c r="J196" s="83" t="s">
        <v>65</v>
      </c>
      <c r="K196" s="24">
        <v>4.8</v>
      </c>
      <c r="L196" s="19">
        <v>0</v>
      </c>
      <c r="M196" s="19">
        <v>0</v>
      </c>
      <c r="N196" s="19">
        <v>0</v>
      </c>
      <c r="O196" s="19">
        <v>0</v>
      </c>
      <c r="P196" s="24">
        <v>80</v>
      </c>
      <c r="Q196" s="24">
        <v>100</v>
      </c>
      <c r="R196" s="90">
        <v>0</v>
      </c>
      <c r="S196" s="127">
        <v>2</v>
      </c>
      <c r="T196" s="127">
        <v>4</v>
      </c>
      <c r="U196" s="4">
        <v>60</v>
      </c>
      <c r="V196" s="4">
        <v>1</v>
      </c>
      <c r="W196" s="4">
        <v>2</v>
      </c>
      <c r="X196" s="4">
        <v>0.35</v>
      </c>
      <c r="Y196" s="4">
        <v>2.5</v>
      </c>
      <c r="Z196" s="4">
        <v>0.35</v>
      </c>
      <c r="AA196" s="90">
        <v>0</v>
      </c>
      <c r="AB196" s="90">
        <v>0</v>
      </c>
    </row>
    <row r="197" spans="1:28" hidden="1" x14ac:dyDescent="0.25">
      <c r="A197" s="4" t="s">
        <v>39</v>
      </c>
      <c r="B197" s="4">
        <v>3</v>
      </c>
      <c r="C197" s="4" t="s">
        <v>26</v>
      </c>
      <c r="D197" s="13">
        <v>39763</v>
      </c>
      <c r="E197" s="104">
        <v>1813</v>
      </c>
      <c r="F197" s="81">
        <v>39763</v>
      </c>
      <c r="G197" s="79">
        <v>41576</v>
      </c>
      <c r="H197" s="104">
        <v>0</v>
      </c>
      <c r="I197" s="19">
        <v>1813</v>
      </c>
      <c r="J197" s="83" t="s">
        <v>65</v>
      </c>
      <c r="K197" s="83">
        <v>6.46</v>
      </c>
      <c r="L197" s="19">
        <v>1</v>
      </c>
      <c r="M197" s="19">
        <v>1</v>
      </c>
      <c r="N197" s="19">
        <v>1</v>
      </c>
      <c r="O197" s="19">
        <v>1</v>
      </c>
      <c r="P197" s="83">
        <v>0</v>
      </c>
      <c r="Q197" s="83">
        <v>100</v>
      </c>
      <c r="R197" s="83">
        <v>100</v>
      </c>
      <c r="S197" s="133">
        <v>0</v>
      </c>
      <c r="T197" s="133">
        <v>0</v>
      </c>
      <c r="U197" s="4">
        <v>60</v>
      </c>
      <c r="V197" s="83">
        <v>0</v>
      </c>
      <c r="W197" s="83">
        <v>3.5</v>
      </c>
      <c r="X197" s="83">
        <v>0.35</v>
      </c>
      <c r="Y197" s="83">
        <v>3.5</v>
      </c>
      <c r="Z197" s="83">
        <v>0.35</v>
      </c>
      <c r="AA197" s="83">
        <v>3.5</v>
      </c>
      <c r="AB197" s="83">
        <v>0.35</v>
      </c>
    </row>
    <row r="198" spans="1:28" hidden="1" x14ac:dyDescent="0.25">
      <c r="A198" s="4" t="s">
        <v>39</v>
      </c>
      <c r="B198" s="4">
        <v>3</v>
      </c>
      <c r="C198" s="4" t="s">
        <v>26</v>
      </c>
      <c r="D198" s="13">
        <v>39763</v>
      </c>
      <c r="E198" s="104">
        <v>1813</v>
      </c>
      <c r="F198" s="79">
        <v>39982</v>
      </c>
      <c r="G198" s="79">
        <v>41576</v>
      </c>
      <c r="H198" s="104">
        <v>219</v>
      </c>
      <c r="I198" s="19">
        <v>1594</v>
      </c>
      <c r="J198" s="83" t="s">
        <v>65</v>
      </c>
      <c r="K198" s="82">
        <v>6.44</v>
      </c>
      <c r="L198" s="19">
        <v>1</v>
      </c>
      <c r="M198" s="19">
        <v>1</v>
      </c>
      <c r="N198" s="19">
        <v>1</v>
      </c>
      <c r="O198" s="19">
        <v>1</v>
      </c>
      <c r="P198" s="82">
        <v>27</v>
      </c>
      <c r="Q198" s="82">
        <v>94</v>
      </c>
      <c r="R198" s="82">
        <v>94</v>
      </c>
      <c r="S198" s="134">
        <v>0</v>
      </c>
      <c r="T198" s="134">
        <v>0</v>
      </c>
      <c r="U198" s="4">
        <v>60</v>
      </c>
      <c r="V198" s="82">
        <v>0</v>
      </c>
      <c r="W198" s="82">
        <v>3.5</v>
      </c>
      <c r="X198" s="82">
        <v>0.35</v>
      </c>
      <c r="Y198" s="82">
        <v>3.5</v>
      </c>
      <c r="Z198" s="82">
        <v>0.35</v>
      </c>
      <c r="AA198" s="82">
        <v>3.5</v>
      </c>
      <c r="AB198" s="82">
        <v>0.35</v>
      </c>
    </row>
    <row r="199" spans="1:28" hidden="1" x14ac:dyDescent="0.25">
      <c r="A199" s="4" t="s">
        <v>39</v>
      </c>
      <c r="B199" s="4">
        <v>3</v>
      </c>
      <c r="C199" s="4" t="s">
        <v>26</v>
      </c>
      <c r="D199" s="13">
        <v>39763</v>
      </c>
      <c r="E199" s="104">
        <v>1813</v>
      </c>
      <c r="F199" s="79">
        <v>40190</v>
      </c>
      <c r="G199" s="79">
        <v>41576</v>
      </c>
      <c r="H199" s="104">
        <v>427</v>
      </c>
      <c r="I199" s="19">
        <v>1386</v>
      </c>
      <c r="J199" s="83" t="s">
        <v>65</v>
      </c>
      <c r="K199" s="82">
        <v>6.37</v>
      </c>
      <c r="L199" s="19">
        <v>1</v>
      </c>
      <c r="M199" s="19">
        <v>1</v>
      </c>
      <c r="N199" s="19">
        <v>1</v>
      </c>
      <c r="O199" s="19">
        <v>1</v>
      </c>
      <c r="P199" s="82">
        <v>18</v>
      </c>
      <c r="Q199" s="82">
        <v>95</v>
      </c>
      <c r="R199" s="82">
        <v>95</v>
      </c>
      <c r="S199" s="134">
        <v>0</v>
      </c>
      <c r="T199" s="134">
        <v>0</v>
      </c>
      <c r="U199" s="4">
        <v>60</v>
      </c>
      <c r="V199" s="82">
        <v>0</v>
      </c>
      <c r="W199" s="82">
        <v>3.5</v>
      </c>
      <c r="X199" s="82">
        <v>0.35</v>
      </c>
      <c r="Y199" s="82">
        <v>3.5</v>
      </c>
      <c r="Z199" s="82">
        <v>0.35</v>
      </c>
      <c r="AA199" s="82">
        <v>3.5</v>
      </c>
      <c r="AB199" s="82">
        <v>0.35</v>
      </c>
    </row>
    <row r="200" spans="1:28" hidden="1" x14ac:dyDescent="0.25">
      <c r="A200" s="4" t="s">
        <v>39</v>
      </c>
      <c r="B200" s="4">
        <v>3</v>
      </c>
      <c r="C200" s="4" t="s">
        <v>26</v>
      </c>
      <c r="D200" s="13">
        <v>39763</v>
      </c>
      <c r="E200" s="104">
        <v>1813</v>
      </c>
      <c r="F200" s="79">
        <v>40344</v>
      </c>
      <c r="G200" s="79">
        <v>41576</v>
      </c>
      <c r="H200" s="104">
        <v>581</v>
      </c>
      <c r="I200" s="19">
        <v>1232</v>
      </c>
      <c r="J200" s="83" t="s">
        <v>65</v>
      </c>
      <c r="K200" s="82">
        <v>6.24</v>
      </c>
      <c r="L200" s="19">
        <v>1</v>
      </c>
      <c r="M200" s="19">
        <v>1</v>
      </c>
      <c r="N200" s="19">
        <v>1</v>
      </c>
      <c r="O200" s="19">
        <v>1</v>
      </c>
      <c r="P200" s="82">
        <v>13</v>
      </c>
      <c r="Q200" s="82">
        <v>89</v>
      </c>
      <c r="R200" s="82">
        <v>89</v>
      </c>
      <c r="S200" s="134">
        <v>0</v>
      </c>
      <c r="T200" s="134">
        <v>0</v>
      </c>
      <c r="U200" s="4">
        <v>60</v>
      </c>
      <c r="V200" s="82">
        <v>0</v>
      </c>
      <c r="W200" s="82">
        <v>3.5</v>
      </c>
      <c r="X200" s="82">
        <v>0.35</v>
      </c>
      <c r="Y200" s="82">
        <v>2.5</v>
      </c>
      <c r="Z200" s="82">
        <v>0.35</v>
      </c>
      <c r="AA200" s="82">
        <v>4.5</v>
      </c>
      <c r="AB200" s="82">
        <v>1</v>
      </c>
    </row>
    <row r="201" spans="1:28" hidden="1" x14ac:dyDescent="0.25">
      <c r="A201" s="4" t="s">
        <v>39</v>
      </c>
      <c r="B201" s="4">
        <v>3</v>
      </c>
      <c r="C201" s="4" t="s">
        <v>26</v>
      </c>
      <c r="D201" s="13">
        <v>39763</v>
      </c>
      <c r="E201" s="104">
        <v>1813</v>
      </c>
      <c r="F201" s="79">
        <v>40820</v>
      </c>
      <c r="G201" s="79">
        <v>41576</v>
      </c>
      <c r="H201" s="104">
        <v>1057</v>
      </c>
      <c r="I201" s="19">
        <v>756</v>
      </c>
      <c r="J201" s="83" t="s">
        <v>65</v>
      </c>
      <c r="K201" s="82">
        <v>5.23</v>
      </c>
      <c r="L201" s="19">
        <v>1</v>
      </c>
      <c r="M201" s="19">
        <v>1</v>
      </c>
      <c r="N201" s="19">
        <v>1</v>
      </c>
      <c r="O201" s="19">
        <v>1</v>
      </c>
      <c r="P201" s="82">
        <v>39</v>
      </c>
      <c r="Q201" s="82">
        <v>92</v>
      </c>
      <c r="R201" s="82">
        <v>92</v>
      </c>
      <c r="S201" s="134">
        <v>0</v>
      </c>
      <c r="T201" s="134">
        <v>0</v>
      </c>
      <c r="U201" s="4">
        <v>60</v>
      </c>
      <c r="V201" s="82">
        <v>0</v>
      </c>
      <c r="W201" s="82">
        <v>3.5</v>
      </c>
      <c r="X201" s="82">
        <v>0.35</v>
      </c>
      <c r="Y201" s="82">
        <v>3</v>
      </c>
      <c r="Z201" s="82">
        <v>0.35</v>
      </c>
      <c r="AA201" s="82">
        <v>4.5</v>
      </c>
      <c r="AB201" s="82">
        <v>1</v>
      </c>
    </row>
    <row r="202" spans="1:28" hidden="1" x14ac:dyDescent="0.25">
      <c r="A202" s="4" t="s">
        <v>39</v>
      </c>
      <c r="B202" s="4">
        <v>3</v>
      </c>
      <c r="C202" s="4" t="s">
        <v>26</v>
      </c>
      <c r="D202" s="13">
        <v>39763</v>
      </c>
      <c r="E202" s="104">
        <v>1813</v>
      </c>
      <c r="F202" s="79">
        <v>41009</v>
      </c>
      <c r="G202" s="79">
        <v>41576</v>
      </c>
      <c r="H202" s="104">
        <v>1246</v>
      </c>
      <c r="I202" s="19">
        <v>567</v>
      </c>
      <c r="J202" s="83" t="s">
        <v>65</v>
      </c>
      <c r="K202" s="82">
        <v>5.14</v>
      </c>
      <c r="L202" s="19">
        <v>1</v>
      </c>
      <c r="M202" s="19">
        <v>1</v>
      </c>
      <c r="N202" s="19">
        <v>1</v>
      </c>
      <c r="O202" s="19">
        <v>1</v>
      </c>
      <c r="P202" s="82">
        <v>31</v>
      </c>
      <c r="Q202" s="82">
        <v>91</v>
      </c>
      <c r="R202" s="82">
        <v>91</v>
      </c>
      <c r="S202" s="134">
        <v>0</v>
      </c>
      <c r="T202" s="134">
        <v>0</v>
      </c>
      <c r="U202" s="4">
        <v>60</v>
      </c>
      <c r="V202" s="82">
        <v>0</v>
      </c>
      <c r="W202" s="82">
        <v>3.5</v>
      </c>
      <c r="X202" s="82">
        <v>0.35</v>
      </c>
      <c r="Y202" s="82">
        <v>3</v>
      </c>
      <c r="Z202" s="82">
        <v>0.35</v>
      </c>
      <c r="AA202" s="82">
        <v>4.5</v>
      </c>
      <c r="AB202" s="82">
        <v>1</v>
      </c>
    </row>
    <row r="203" spans="1:28" hidden="1" x14ac:dyDescent="0.25">
      <c r="A203" s="161" t="s">
        <v>39</v>
      </c>
      <c r="B203" s="4">
        <v>3</v>
      </c>
      <c r="C203" s="4" t="s">
        <v>26</v>
      </c>
      <c r="D203" s="13">
        <v>39763</v>
      </c>
      <c r="E203" s="104">
        <v>1813</v>
      </c>
      <c r="F203" s="79">
        <v>41114</v>
      </c>
      <c r="G203" s="79">
        <v>41576</v>
      </c>
      <c r="H203" s="104">
        <v>1351</v>
      </c>
      <c r="I203" s="19">
        <v>462</v>
      </c>
      <c r="J203" s="83" t="s">
        <v>65</v>
      </c>
      <c r="K203" s="82">
        <v>5.13</v>
      </c>
      <c r="L203" s="19">
        <v>0</v>
      </c>
      <c r="M203" s="19">
        <v>1</v>
      </c>
      <c r="N203" s="19">
        <v>1</v>
      </c>
      <c r="O203" s="19">
        <v>1</v>
      </c>
      <c r="P203" s="82">
        <v>27</v>
      </c>
      <c r="Q203" s="82">
        <v>93</v>
      </c>
      <c r="R203" s="82">
        <v>93</v>
      </c>
      <c r="S203" s="134">
        <v>0</v>
      </c>
      <c r="T203" s="134">
        <v>0</v>
      </c>
      <c r="U203" s="4">
        <v>60</v>
      </c>
      <c r="V203" s="82">
        <v>0</v>
      </c>
      <c r="W203" s="82">
        <v>3.5</v>
      </c>
      <c r="X203" s="82">
        <v>0.35</v>
      </c>
      <c r="Y203" s="82">
        <v>3</v>
      </c>
      <c r="Z203" s="82">
        <v>0.35</v>
      </c>
      <c r="AA203" s="82">
        <v>4.5</v>
      </c>
      <c r="AB203" s="82">
        <v>1</v>
      </c>
    </row>
    <row r="204" spans="1:28" hidden="1" x14ac:dyDescent="0.25">
      <c r="A204" s="161" t="s">
        <v>39</v>
      </c>
      <c r="B204" s="4">
        <v>3</v>
      </c>
      <c r="C204" s="4" t="s">
        <v>26</v>
      </c>
      <c r="D204" s="13">
        <v>39763</v>
      </c>
      <c r="E204" s="104">
        <v>1813</v>
      </c>
      <c r="F204" s="79">
        <v>41219</v>
      </c>
      <c r="G204" s="79">
        <v>41576</v>
      </c>
      <c r="H204" s="104">
        <v>1456</v>
      </c>
      <c r="I204" s="19">
        <v>357</v>
      </c>
      <c r="J204" s="83" t="s">
        <v>65</v>
      </c>
      <c r="K204" s="82">
        <v>5.1100000000000003</v>
      </c>
      <c r="L204" s="19">
        <v>0</v>
      </c>
      <c r="M204" s="19">
        <v>0</v>
      </c>
      <c r="N204" s="19">
        <v>1</v>
      </c>
      <c r="O204" s="19">
        <v>1</v>
      </c>
      <c r="P204" s="82">
        <v>29</v>
      </c>
      <c r="Q204" s="82">
        <v>92</v>
      </c>
      <c r="R204" s="82">
        <v>92</v>
      </c>
      <c r="S204" s="134">
        <v>0</v>
      </c>
      <c r="T204" s="134">
        <v>0</v>
      </c>
      <c r="U204" s="4">
        <v>60</v>
      </c>
      <c r="V204" s="82">
        <v>0</v>
      </c>
      <c r="W204" s="82">
        <v>3.5</v>
      </c>
      <c r="X204" s="82">
        <v>0.35</v>
      </c>
      <c r="Y204" s="82">
        <v>3</v>
      </c>
      <c r="Z204" s="82">
        <v>0.35</v>
      </c>
      <c r="AA204" s="82">
        <v>4.5</v>
      </c>
      <c r="AB204" s="82">
        <v>1</v>
      </c>
    </row>
    <row r="205" spans="1:28" x14ac:dyDescent="0.25">
      <c r="A205" s="161" t="s">
        <v>39</v>
      </c>
      <c r="B205" s="4">
        <v>3</v>
      </c>
      <c r="C205" s="4" t="s">
        <v>26</v>
      </c>
      <c r="D205" s="13">
        <v>39763</v>
      </c>
      <c r="E205" s="104">
        <v>1813</v>
      </c>
      <c r="F205" s="79">
        <v>41401</v>
      </c>
      <c r="G205" s="79">
        <v>41576</v>
      </c>
      <c r="H205" s="104">
        <v>1638</v>
      </c>
      <c r="I205" s="19">
        <v>175</v>
      </c>
      <c r="J205" s="83" t="s">
        <v>65</v>
      </c>
      <c r="K205" s="82">
        <v>5.0599999999999996</v>
      </c>
      <c r="L205" s="19">
        <v>0</v>
      </c>
      <c r="M205" s="19">
        <v>0</v>
      </c>
      <c r="N205" s="19">
        <v>0</v>
      </c>
      <c r="O205" s="19">
        <v>1</v>
      </c>
      <c r="P205" s="82">
        <v>0</v>
      </c>
      <c r="Q205" s="82">
        <v>58</v>
      </c>
      <c r="R205" s="82">
        <v>58</v>
      </c>
      <c r="S205" s="134">
        <v>0</v>
      </c>
      <c r="T205" s="134">
        <v>0</v>
      </c>
      <c r="U205" s="4">
        <v>60</v>
      </c>
      <c r="V205" s="82">
        <v>0</v>
      </c>
      <c r="W205" s="82">
        <v>3.5</v>
      </c>
      <c r="X205" s="82">
        <v>0.35</v>
      </c>
      <c r="Y205" s="82">
        <v>3</v>
      </c>
      <c r="Z205" s="82">
        <v>0.35</v>
      </c>
      <c r="AA205" s="82">
        <v>4.5</v>
      </c>
      <c r="AB205" s="82">
        <v>1</v>
      </c>
    </row>
    <row r="206" spans="1:28" x14ac:dyDescent="0.25">
      <c r="A206" s="161" t="s">
        <v>39</v>
      </c>
      <c r="B206" s="4">
        <v>3</v>
      </c>
      <c r="C206" s="4" t="s">
        <v>26</v>
      </c>
      <c r="D206" s="13">
        <v>39763</v>
      </c>
      <c r="E206" s="104">
        <v>1813</v>
      </c>
      <c r="F206" s="79">
        <v>41499</v>
      </c>
      <c r="G206" s="79">
        <v>41576</v>
      </c>
      <c r="H206" s="104">
        <v>1736</v>
      </c>
      <c r="I206" s="19">
        <v>77</v>
      </c>
      <c r="J206" s="83" t="s">
        <v>65</v>
      </c>
      <c r="K206" s="82">
        <v>4.8899999999999997</v>
      </c>
      <c r="L206" s="19">
        <v>0</v>
      </c>
      <c r="M206" s="19">
        <v>0</v>
      </c>
      <c r="N206" s="19">
        <v>0</v>
      </c>
      <c r="O206" s="19">
        <v>0</v>
      </c>
      <c r="P206" s="82">
        <v>0</v>
      </c>
      <c r="Q206" s="82">
        <v>70</v>
      </c>
      <c r="R206" s="82">
        <v>70</v>
      </c>
      <c r="S206" s="134">
        <v>0</v>
      </c>
      <c r="T206" s="134">
        <v>0</v>
      </c>
      <c r="U206" s="82">
        <v>70</v>
      </c>
      <c r="V206" s="82">
        <v>0</v>
      </c>
      <c r="W206" s="82">
        <v>0</v>
      </c>
      <c r="X206" s="82">
        <v>0</v>
      </c>
      <c r="Y206" s="82">
        <v>2</v>
      </c>
      <c r="Z206" s="82">
        <v>0.35</v>
      </c>
      <c r="AA206" s="82">
        <v>4.5</v>
      </c>
      <c r="AB206" s="82">
        <v>1</v>
      </c>
    </row>
    <row r="207" spans="1:28" x14ac:dyDescent="0.25">
      <c r="A207" s="161" t="s">
        <v>39</v>
      </c>
      <c r="B207" s="4">
        <v>3</v>
      </c>
      <c r="C207" s="4" t="s">
        <v>26</v>
      </c>
      <c r="D207" s="13">
        <v>39763</v>
      </c>
      <c r="E207" s="104">
        <v>1813</v>
      </c>
      <c r="F207" s="79">
        <v>41576</v>
      </c>
      <c r="G207" s="79">
        <v>41576</v>
      </c>
      <c r="H207" s="104">
        <v>1813</v>
      </c>
      <c r="I207" s="19">
        <v>0</v>
      </c>
      <c r="J207" s="83" t="s">
        <v>65</v>
      </c>
      <c r="K207" s="82">
        <v>4.6399999999999997</v>
      </c>
      <c r="L207" s="19">
        <v>0</v>
      </c>
      <c r="M207" s="19">
        <v>0</v>
      </c>
      <c r="N207" s="19">
        <v>0</v>
      </c>
      <c r="O207" s="19">
        <v>0</v>
      </c>
      <c r="P207" s="82">
        <v>0</v>
      </c>
      <c r="Q207" s="82">
        <v>91</v>
      </c>
      <c r="R207" s="82">
        <v>91</v>
      </c>
      <c r="S207" s="134">
        <v>0</v>
      </c>
      <c r="T207" s="134">
        <v>0</v>
      </c>
      <c r="U207" s="82">
        <v>70</v>
      </c>
      <c r="V207" s="82">
        <v>0</v>
      </c>
      <c r="W207" s="82">
        <v>0</v>
      </c>
      <c r="X207" s="82">
        <v>0</v>
      </c>
      <c r="Y207" s="82">
        <v>2</v>
      </c>
      <c r="Z207" s="82">
        <v>0.35</v>
      </c>
      <c r="AA207" s="82">
        <v>4.5</v>
      </c>
      <c r="AB207" s="82">
        <v>1</v>
      </c>
    </row>
    <row r="208" spans="1:28" hidden="1" x14ac:dyDescent="0.25">
      <c r="A208" s="24" t="s">
        <v>215</v>
      </c>
      <c r="B208" s="24">
        <v>2</v>
      </c>
      <c r="D208" s="27">
        <v>39868</v>
      </c>
      <c r="E208" s="104">
        <v>2360</v>
      </c>
      <c r="F208" s="25">
        <v>40750</v>
      </c>
      <c r="G208" s="25">
        <v>42228</v>
      </c>
      <c r="H208" s="104">
        <v>882</v>
      </c>
      <c r="I208" s="19">
        <v>1478</v>
      </c>
      <c r="J208" s="83" t="s">
        <v>65</v>
      </c>
      <c r="K208" s="24">
        <v>6.01</v>
      </c>
      <c r="L208" s="19">
        <v>1</v>
      </c>
      <c r="M208" s="19">
        <v>1</v>
      </c>
      <c r="N208" s="19">
        <v>1</v>
      </c>
      <c r="O208" s="19">
        <v>1</v>
      </c>
      <c r="P208" s="24">
        <v>100</v>
      </c>
      <c r="Q208" s="24">
        <v>85</v>
      </c>
      <c r="R208" s="24">
        <v>0</v>
      </c>
      <c r="S208" s="129">
        <v>0</v>
      </c>
      <c r="T208" s="129">
        <v>0</v>
      </c>
      <c r="U208" s="24">
        <v>60</v>
      </c>
      <c r="V208" s="24">
        <v>1</v>
      </c>
      <c r="W208" s="24">
        <v>3.5</v>
      </c>
      <c r="X208" s="24">
        <v>0.35</v>
      </c>
      <c r="Y208" s="24">
        <v>3.5</v>
      </c>
      <c r="Z208" s="24">
        <v>0.35</v>
      </c>
      <c r="AA208" s="24">
        <v>0</v>
      </c>
      <c r="AB208" s="24">
        <v>0</v>
      </c>
    </row>
    <row r="209" spans="1:28" hidden="1" x14ac:dyDescent="0.25">
      <c r="A209" s="24" t="s">
        <v>215</v>
      </c>
      <c r="B209" s="24">
        <v>2</v>
      </c>
      <c r="D209" s="27">
        <v>39868</v>
      </c>
      <c r="E209" s="104">
        <v>2360</v>
      </c>
      <c r="F209" s="25">
        <v>40778</v>
      </c>
      <c r="G209" s="25">
        <v>42228</v>
      </c>
      <c r="H209" s="104">
        <v>910</v>
      </c>
      <c r="I209" s="19">
        <v>1450</v>
      </c>
      <c r="J209" s="83" t="s">
        <v>65</v>
      </c>
      <c r="K209" s="4">
        <v>6</v>
      </c>
      <c r="L209" s="19">
        <v>1</v>
      </c>
      <c r="M209" s="19">
        <v>1</v>
      </c>
      <c r="N209" s="19">
        <v>1</v>
      </c>
      <c r="O209" s="19">
        <v>1</v>
      </c>
      <c r="P209" s="4">
        <v>77</v>
      </c>
      <c r="Q209" s="4">
        <v>51</v>
      </c>
      <c r="R209" s="24">
        <v>0</v>
      </c>
      <c r="S209" s="125">
        <v>0</v>
      </c>
      <c r="T209" s="125">
        <v>0</v>
      </c>
      <c r="U209" s="24">
        <v>60</v>
      </c>
      <c r="V209" s="24">
        <v>1</v>
      </c>
      <c r="W209" s="24">
        <v>3.5</v>
      </c>
      <c r="X209" s="24">
        <v>0.35</v>
      </c>
      <c r="Y209" s="24">
        <v>3.5</v>
      </c>
      <c r="Z209" s="24">
        <v>0.35</v>
      </c>
      <c r="AA209" s="24">
        <v>0</v>
      </c>
      <c r="AB209" s="24">
        <v>0</v>
      </c>
    </row>
    <row r="210" spans="1:28" hidden="1" x14ac:dyDescent="0.25">
      <c r="A210" s="24" t="s">
        <v>215</v>
      </c>
      <c r="B210" s="24">
        <v>2</v>
      </c>
      <c r="D210" s="27">
        <v>39868</v>
      </c>
      <c r="E210" s="104">
        <v>2360</v>
      </c>
      <c r="F210" s="25">
        <v>40806</v>
      </c>
      <c r="G210" s="25">
        <v>42228</v>
      </c>
      <c r="H210" s="104">
        <v>938</v>
      </c>
      <c r="I210" s="19">
        <v>1422</v>
      </c>
      <c r="J210" s="83" t="s">
        <v>65</v>
      </c>
      <c r="K210" s="4">
        <v>5.96</v>
      </c>
      <c r="L210" s="19">
        <v>1</v>
      </c>
      <c r="M210" s="19">
        <v>1</v>
      </c>
      <c r="N210" s="19">
        <v>1</v>
      </c>
      <c r="O210" s="19">
        <v>1</v>
      </c>
      <c r="P210" s="4">
        <v>27</v>
      </c>
      <c r="Q210" s="4">
        <v>8</v>
      </c>
      <c r="R210" s="24">
        <v>0</v>
      </c>
      <c r="S210" s="125">
        <v>0</v>
      </c>
      <c r="T210" s="125">
        <v>0</v>
      </c>
      <c r="U210" s="24">
        <v>60</v>
      </c>
      <c r="V210" s="24">
        <v>1</v>
      </c>
      <c r="W210" s="24">
        <v>3.5</v>
      </c>
      <c r="X210" s="24">
        <v>0.35</v>
      </c>
      <c r="Y210" s="24">
        <v>3.5</v>
      </c>
      <c r="Z210" s="24">
        <v>0.35</v>
      </c>
      <c r="AA210" s="24">
        <v>0</v>
      </c>
      <c r="AB210" s="24">
        <v>0</v>
      </c>
    </row>
    <row r="211" spans="1:28" hidden="1" x14ac:dyDescent="0.25">
      <c r="A211" s="24" t="s">
        <v>215</v>
      </c>
      <c r="B211" s="24">
        <v>2</v>
      </c>
      <c r="D211" s="27">
        <v>39868</v>
      </c>
      <c r="E211" s="104">
        <v>2360</v>
      </c>
      <c r="F211" s="25">
        <v>40960</v>
      </c>
      <c r="G211" s="25">
        <v>42228</v>
      </c>
      <c r="H211" s="104">
        <v>1092</v>
      </c>
      <c r="I211" s="19">
        <v>1268</v>
      </c>
      <c r="J211" s="83" t="s">
        <v>65</v>
      </c>
      <c r="K211" s="4">
        <v>5.79</v>
      </c>
      <c r="L211" s="19">
        <v>1</v>
      </c>
      <c r="M211" s="19">
        <v>1</v>
      </c>
      <c r="N211" s="19">
        <v>1</v>
      </c>
      <c r="O211" s="19">
        <v>1</v>
      </c>
      <c r="P211" s="4">
        <v>27</v>
      </c>
      <c r="Q211" s="4">
        <v>24</v>
      </c>
      <c r="R211" s="24">
        <v>0</v>
      </c>
      <c r="S211" s="125">
        <v>0</v>
      </c>
      <c r="T211" s="125">
        <v>0</v>
      </c>
      <c r="U211" s="24">
        <v>60</v>
      </c>
      <c r="V211" s="24">
        <v>1</v>
      </c>
      <c r="W211" s="24">
        <v>3.5</v>
      </c>
      <c r="X211" s="24">
        <v>0.35</v>
      </c>
      <c r="Y211" s="24">
        <v>3.5</v>
      </c>
      <c r="Z211" s="24">
        <v>0.35</v>
      </c>
      <c r="AA211" s="24">
        <v>0</v>
      </c>
      <c r="AB211" s="24">
        <v>0</v>
      </c>
    </row>
    <row r="212" spans="1:28" hidden="1" x14ac:dyDescent="0.25">
      <c r="A212" s="24" t="s">
        <v>215</v>
      </c>
      <c r="B212" s="24">
        <v>2</v>
      </c>
      <c r="D212" s="27">
        <v>39868</v>
      </c>
      <c r="E212" s="104">
        <v>2360</v>
      </c>
      <c r="F212" s="25">
        <v>41163</v>
      </c>
      <c r="G212" s="25">
        <v>42228</v>
      </c>
      <c r="H212" s="104">
        <v>1295</v>
      </c>
      <c r="I212" s="19">
        <v>1065</v>
      </c>
      <c r="J212" s="83" t="s">
        <v>65</v>
      </c>
      <c r="K212" s="4">
        <v>5.33</v>
      </c>
      <c r="L212" s="19">
        <v>1</v>
      </c>
      <c r="M212" s="19">
        <v>1</v>
      </c>
      <c r="N212" s="19">
        <v>1</v>
      </c>
      <c r="O212" s="19">
        <v>1</v>
      </c>
      <c r="P212" s="4">
        <v>55</v>
      </c>
      <c r="Q212" s="4">
        <v>21</v>
      </c>
      <c r="R212" s="24">
        <v>0</v>
      </c>
      <c r="S212" s="125">
        <v>0</v>
      </c>
      <c r="T212" s="125">
        <v>0</v>
      </c>
      <c r="U212" s="24">
        <v>60</v>
      </c>
      <c r="V212" s="24">
        <v>1</v>
      </c>
      <c r="W212" s="24">
        <v>3.5</v>
      </c>
      <c r="X212" s="24">
        <v>0.35</v>
      </c>
      <c r="Y212" s="24">
        <v>3.5</v>
      </c>
      <c r="Z212" s="24">
        <v>0.35</v>
      </c>
      <c r="AA212" s="24">
        <v>0</v>
      </c>
      <c r="AB212" s="24">
        <v>0</v>
      </c>
    </row>
    <row r="213" spans="1:28" hidden="1" x14ac:dyDescent="0.25">
      <c r="A213" s="24" t="s">
        <v>215</v>
      </c>
      <c r="B213" s="24">
        <v>2</v>
      </c>
      <c r="D213" s="27">
        <v>39868</v>
      </c>
      <c r="E213" s="104">
        <v>2360</v>
      </c>
      <c r="F213" s="25">
        <v>41359</v>
      </c>
      <c r="G213" s="25">
        <v>42228</v>
      </c>
      <c r="H213" s="104">
        <v>1491</v>
      </c>
      <c r="I213" s="19">
        <v>869</v>
      </c>
      <c r="J213" s="83" t="s">
        <v>65</v>
      </c>
      <c r="K213" s="4">
        <v>5.2</v>
      </c>
      <c r="L213" s="19">
        <v>1</v>
      </c>
      <c r="M213" s="19">
        <v>1</v>
      </c>
      <c r="N213" s="19">
        <v>1</v>
      </c>
      <c r="O213" s="19">
        <v>1</v>
      </c>
      <c r="P213" s="4">
        <v>70</v>
      </c>
      <c r="Q213" s="4">
        <v>34</v>
      </c>
      <c r="R213" s="24">
        <v>0</v>
      </c>
      <c r="S213" s="125">
        <v>0</v>
      </c>
      <c r="T213" s="125">
        <v>1</v>
      </c>
      <c r="U213" s="24">
        <v>60</v>
      </c>
      <c r="V213" s="24">
        <v>1</v>
      </c>
      <c r="W213" s="24">
        <v>3.5</v>
      </c>
      <c r="X213" s="24">
        <v>0.35</v>
      </c>
      <c r="Y213" s="24">
        <v>3.5</v>
      </c>
      <c r="Z213" s="24">
        <v>0.35</v>
      </c>
      <c r="AA213" s="24">
        <v>0</v>
      </c>
      <c r="AB213" s="24">
        <v>0</v>
      </c>
    </row>
    <row r="214" spans="1:28" hidden="1" x14ac:dyDescent="0.25">
      <c r="A214" s="24" t="s">
        <v>215</v>
      </c>
      <c r="B214" s="24">
        <v>2</v>
      </c>
      <c r="D214" s="27">
        <v>39868</v>
      </c>
      <c r="E214" s="104">
        <v>2360</v>
      </c>
      <c r="F214" s="25">
        <v>41534</v>
      </c>
      <c r="G214" s="25">
        <v>42228</v>
      </c>
      <c r="H214" s="104">
        <v>1666</v>
      </c>
      <c r="I214" s="19">
        <v>694</v>
      </c>
      <c r="J214" s="83" t="s">
        <v>65</v>
      </c>
      <c r="K214" s="4">
        <v>5.17</v>
      </c>
      <c r="L214" s="19">
        <v>1</v>
      </c>
      <c r="M214" s="19">
        <v>1</v>
      </c>
      <c r="N214" s="19">
        <v>1</v>
      </c>
      <c r="O214" s="19">
        <v>1</v>
      </c>
      <c r="P214" s="4">
        <v>91</v>
      </c>
      <c r="Q214" s="4">
        <v>82</v>
      </c>
      <c r="R214" s="24">
        <v>0</v>
      </c>
      <c r="S214" s="125">
        <v>0</v>
      </c>
      <c r="T214" s="125">
        <v>2</v>
      </c>
      <c r="U214" s="24">
        <v>60</v>
      </c>
      <c r="V214" s="24">
        <v>1</v>
      </c>
      <c r="W214" s="24">
        <v>2</v>
      </c>
      <c r="X214" s="24">
        <v>0.35</v>
      </c>
      <c r="Y214" s="24">
        <v>2.5</v>
      </c>
      <c r="Z214" s="24">
        <v>0.35</v>
      </c>
      <c r="AA214" s="24">
        <v>0</v>
      </c>
      <c r="AB214" s="24">
        <v>0</v>
      </c>
    </row>
    <row r="215" spans="1:28" hidden="1" x14ac:dyDescent="0.25">
      <c r="A215" s="162" t="s">
        <v>215</v>
      </c>
      <c r="B215" s="24">
        <v>2</v>
      </c>
      <c r="D215" s="27">
        <v>39868</v>
      </c>
      <c r="E215" s="104">
        <v>2360</v>
      </c>
      <c r="F215" s="27">
        <v>41716</v>
      </c>
      <c r="G215" s="25">
        <v>42228</v>
      </c>
      <c r="H215" s="104">
        <v>1848</v>
      </c>
      <c r="I215" s="19">
        <v>512</v>
      </c>
      <c r="J215" s="83" t="s">
        <v>65</v>
      </c>
      <c r="K215" s="24">
        <v>5.16</v>
      </c>
      <c r="L215" s="19">
        <v>0</v>
      </c>
      <c r="M215" s="19">
        <v>1</v>
      </c>
      <c r="N215" s="19">
        <v>1</v>
      </c>
      <c r="O215" s="19">
        <v>1</v>
      </c>
      <c r="P215" s="24">
        <v>92</v>
      </c>
      <c r="Q215" s="24">
        <v>84</v>
      </c>
      <c r="R215" s="24">
        <v>0</v>
      </c>
      <c r="S215" s="129">
        <v>0</v>
      </c>
      <c r="T215" s="129">
        <v>0</v>
      </c>
      <c r="U215" s="24">
        <v>60</v>
      </c>
      <c r="V215" s="24">
        <v>1</v>
      </c>
      <c r="W215" s="24">
        <v>2</v>
      </c>
      <c r="X215" s="24">
        <v>0.35</v>
      </c>
      <c r="Y215" s="24">
        <v>2.5</v>
      </c>
      <c r="Z215" s="24">
        <v>0.35</v>
      </c>
      <c r="AA215" s="24">
        <v>0</v>
      </c>
      <c r="AB215" s="24">
        <v>0</v>
      </c>
    </row>
    <row r="216" spans="1:28" hidden="1" x14ac:dyDescent="0.25">
      <c r="A216" s="162" t="s">
        <v>215</v>
      </c>
      <c r="B216" s="24">
        <v>2</v>
      </c>
      <c r="D216" s="27">
        <v>39868</v>
      </c>
      <c r="E216" s="104">
        <v>2360</v>
      </c>
      <c r="F216" s="25">
        <v>41897</v>
      </c>
      <c r="G216" s="25">
        <v>42228</v>
      </c>
      <c r="H216" s="104">
        <v>2029</v>
      </c>
      <c r="I216" s="19">
        <v>331</v>
      </c>
      <c r="J216" s="83" t="s">
        <v>65</v>
      </c>
      <c r="K216" s="4">
        <v>5.14</v>
      </c>
      <c r="L216" s="19">
        <v>0</v>
      </c>
      <c r="M216" s="19">
        <v>0</v>
      </c>
      <c r="N216" s="19">
        <v>1</v>
      </c>
      <c r="O216" s="19">
        <v>1</v>
      </c>
      <c r="P216" s="4">
        <v>95</v>
      </c>
      <c r="Q216" s="4">
        <v>86</v>
      </c>
      <c r="R216" s="24">
        <v>0</v>
      </c>
      <c r="S216" s="125">
        <v>0</v>
      </c>
      <c r="T216" s="125">
        <v>0</v>
      </c>
      <c r="U216" s="24">
        <v>60</v>
      </c>
      <c r="V216" s="24">
        <v>1</v>
      </c>
      <c r="W216" s="24">
        <v>2</v>
      </c>
      <c r="X216" s="24">
        <v>0.35</v>
      </c>
      <c r="Y216" s="24">
        <v>2.5</v>
      </c>
      <c r="Z216" s="24">
        <v>0.35</v>
      </c>
      <c r="AA216" s="24">
        <v>0</v>
      </c>
      <c r="AB216" s="24">
        <v>0</v>
      </c>
    </row>
    <row r="217" spans="1:28" x14ac:dyDescent="0.25">
      <c r="A217" s="162" t="s">
        <v>215</v>
      </c>
      <c r="B217" s="24">
        <v>2</v>
      </c>
      <c r="D217" s="27">
        <v>39868</v>
      </c>
      <c r="E217" s="104">
        <v>2360</v>
      </c>
      <c r="F217" s="25">
        <v>42066</v>
      </c>
      <c r="G217" s="25">
        <v>42228</v>
      </c>
      <c r="H217" s="104">
        <v>2198</v>
      </c>
      <c r="I217" s="19">
        <v>162</v>
      </c>
      <c r="J217" s="83" t="s">
        <v>65</v>
      </c>
      <c r="K217" s="4">
        <v>5.04</v>
      </c>
      <c r="L217" s="19">
        <v>0</v>
      </c>
      <c r="M217" s="19">
        <v>0</v>
      </c>
      <c r="N217" s="19">
        <v>0</v>
      </c>
      <c r="O217" s="19">
        <v>1</v>
      </c>
      <c r="P217" s="4">
        <v>97</v>
      </c>
      <c r="Q217" s="4">
        <v>91</v>
      </c>
      <c r="R217" s="24">
        <v>0</v>
      </c>
      <c r="S217" s="125">
        <v>0</v>
      </c>
      <c r="T217" s="125">
        <v>1</v>
      </c>
      <c r="U217" s="24">
        <v>60</v>
      </c>
      <c r="V217" s="24">
        <v>1</v>
      </c>
      <c r="W217" s="24">
        <v>2</v>
      </c>
      <c r="X217" s="24">
        <v>0.35</v>
      </c>
      <c r="Y217" s="24">
        <v>2.5</v>
      </c>
      <c r="Z217" s="24">
        <v>0.35</v>
      </c>
      <c r="AA217" s="24">
        <v>0</v>
      </c>
      <c r="AB217" s="24">
        <v>0</v>
      </c>
    </row>
    <row r="218" spans="1:28" x14ac:dyDescent="0.25">
      <c r="A218" s="162" t="s">
        <v>215</v>
      </c>
      <c r="B218" s="24">
        <v>2</v>
      </c>
      <c r="D218" s="27">
        <v>39868</v>
      </c>
      <c r="E218" s="104">
        <v>2360</v>
      </c>
      <c r="F218" s="25">
        <v>42157</v>
      </c>
      <c r="G218" s="25">
        <v>42228</v>
      </c>
      <c r="H218" s="104">
        <v>2289</v>
      </c>
      <c r="I218" s="19">
        <v>71</v>
      </c>
      <c r="J218" s="83" t="s">
        <v>65</v>
      </c>
      <c r="K218" s="4">
        <v>4.91</v>
      </c>
      <c r="L218" s="19">
        <v>0</v>
      </c>
      <c r="M218" s="19">
        <v>0</v>
      </c>
      <c r="N218" s="19">
        <v>0</v>
      </c>
      <c r="O218" s="19">
        <v>0</v>
      </c>
      <c r="P218" s="4">
        <v>97</v>
      </c>
      <c r="Q218" s="4">
        <v>93</v>
      </c>
      <c r="R218" s="24">
        <v>0</v>
      </c>
      <c r="S218" s="125">
        <v>0</v>
      </c>
      <c r="T218" s="125">
        <v>1</v>
      </c>
      <c r="U218" s="24">
        <v>60</v>
      </c>
      <c r="V218" s="24">
        <v>1</v>
      </c>
      <c r="W218" s="24">
        <v>2</v>
      </c>
      <c r="X218" s="24">
        <v>0.35</v>
      </c>
      <c r="Y218" s="24">
        <v>2.5</v>
      </c>
      <c r="Z218" s="24">
        <v>0.35</v>
      </c>
      <c r="AA218" s="24">
        <v>0</v>
      </c>
      <c r="AB218" s="24">
        <v>0</v>
      </c>
    </row>
    <row r="219" spans="1:28" x14ac:dyDescent="0.25">
      <c r="A219" s="162" t="s">
        <v>215</v>
      </c>
      <c r="B219" s="24">
        <v>2</v>
      </c>
      <c r="D219" s="27">
        <v>39868</v>
      </c>
      <c r="E219" s="104">
        <v>2360</v>
      </c>
      <c r="F219" s="25">
        <v>42228</v>
      </c>
      <c r="G219" s="25">
        <v>42228</v>
      </c>
      <c r="H219" s="104">
        <v>2360</v>
      </c>
      <c r="I219" s="19">
        <v>0</v>
      </c>
      <c r="J219" s="83" t="s">
        <v>65</v>
      </c>
      <c r="K219" s="4">
        <v>4.7300000000000004</v>
      </c>
      <c r="L219" s="19">
        <v>0</v>
      </c>
      <c r="M219" s="19">
        <v>0</v>
      </c>
      <c r="N219" s="19">
        <v>0</v>
      </c>
      <c r="O219" s="19">
        <v>0</v>
      </c>
      <c r="P219" s="4">
        <v>97</v>
      </c>
      <c r="Q219" s="4">
        <v>89</v>
      </c>
      <c r="R219" s="24">
        <v>0</v>
      </c>
      <c r="S219" s="125">
        <v>0</v>
      </c>
      <c r="T219" s="125">
        <v>0</v>
      </c>
      <c r="U219" s="24">
        <v>60</v>
      </c>
      <c r="V219" s="24">
        <v>1</v>
      </c>
      <c r="W219" s="24">
        <v>2</v>
      </c>
      <c r="X219" s="24">
        <v>0.35</v>
      </c>
      <c r="Y219" s="24">
        <v>2.5</v>
      </c>
      <c r="Z219" s="24">
        <v>0.35</v>
      </c>
      <c r="AA219" s="24">
        <v>0</v>
      </c>
      <c r="AB219" s="24">
        <v>0</v>
      </c>
    </row>
    <row r="227" spans="7:7" x14ac:dyDescent="0.25">
      <c r="G227">
        <f>G18-F18</f>
        <v>133</v>
      </c>
    </row>
  </sheetData>
  <autoFilter ref="A1:I219">
    <filterColumn colId="8">
      <customFilters>
        <customFilter operator="lessThan" val="180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1"/>
  <sheetViews>
    <sheetView workbookViewId="0">
      <selection activeCell="R34" sqref="R34"/>
    </sheetView>
  </sheetViews>
  <sheetFormatPr baseColWidth="10" defaultColWidth="9.1796875" defaultRowHeight="12.5" x14ac:dyDescent="0.25"/>
  <cols>
    <col min="2" max="2" width="16.54296875" customWidth="1"/>
    <col min="3" max="4" width="6" customWidth="1"/>
    <col min="5" max="5" width="6.1796875" customWidth="1"/>
    <col min="6" max="7" width="6.81640625" customWidth="1"/>
  </cols>
  <sheetData>
    <row r="2" spans="1:20" ht="13" x14ac:dyDescent="0.3">
      <c r="A2" s="168" t="s">
        <v>415</v>
      </c>
      <c r="B2" s="168"/>
      <c r="C2" s="151">
        <v>1</v>
      </c>
      <c r="D2" s="151">
        <v>2</v>
      </c>
      <c r="E2" s="151">
        <v>3</v>
      </c>
      <c r="F2" s="151">
        <v>4</v>
      </c>
      <c r="G2" s="151">
        <v>5</v>
      </c>
      <c r="H2" s="151">
        <v>6</v>
      </c>
      <c r="I2" s="151">
        <v>7</v>
      </c>
      <c r="J2" s="151">
        <v>8</v>
      </c>
      <c r="K2" s="151">
        <v>9</v>
      </c>
      <c r="L2" s="151">
        <v>10</v>
      </c>
      <c r="M2" s="151">
        <v>11</v>
      </c>
      <c r="N2" s="151">
        <v>12</v>
      </c>
      <c r="O2" s="151">
        <v>13</v>
      </c>
      <c r="P2" s="151">
        <v>14</v>
      </c>
      <c r="Q2" s="153">
        <v>15</v>
      </c>
      <c r="S2" s="154">
        <v>21</v>
      </c>
    </row>
    <row r="3" spans="1:20" ht="13" x14ac:dyDescent="0.3">
      <c r="A3">
        <v>180</v>
      </c>
      <c r="B3" s="151" t="s">
        <v>406</v>
      </c>
      <c r="C3" s="152">
        <v>7</v>
      </c>
      <c r="D3" s="152">
        <v>5</v>
      </c>
      <c r="E3" s="152">
        <v>9</v>
      </c>
      <c r="F3" s="152">
        <v>1</v>
      </c>
      <c r="G3" s="152">
        <v>0</v>
      </c>
      <c r="H3" s="152">
        <v>0</v>
      </c>
      <c r="I3" s="152">
        <v>0</v>
      </c>
      <c r="J3" s="152">
        <v>1</v>
      </c>
      <c r="K3" s="152">
        <v>0</v>
      </c>
      <c r="L3" s="152">
        <v>0</v>
      </c>
      <c r="M3" s="152">
        <v>0</v>
      </c>
      <c r="N3" s="152">
        <v>0</v>
      </c>
      <c r="O3" s="152">
        <v>0</v>
      </c>
      <c r="P3" s="152">
        <v>0</v>
      </c>
    </row>
    <row r="4" spans="1:20" ht="13" x14ac:dyDescent="0.3">
      <c r="A4">
        <v>360</v>
      </c>
      <c r="B4" s="151" t="s">
        <v>407</v>
      </c>
      <c r="C4" s="152">
        <v>2</v>
      </c>
      <c r="D4" s="152">
        <v>5</v>
      </c>
      <c r="E4" s="152">
        <v>1</v>
      </c>
      <c r="F4" s="152">
        <v>9</v>
      </c>
      <c r="G4" s="152">
        <v>4</v>
      </c>
      <c r="H4" s="152">
        <v>0</v>
      </c>
      <c r="I4" s="152">
        <v>0</v>
      </c>
      <c r="J4" s="152">
        <v>0</v>
      </c>
      <c r="K4" s="152">
        <v>0</v>
      </c>
      <c r="L4" s="152">
        <v>0</v>
      </c>
      <c r="M4" s="152">
        <v>1</v>
      </c>
      <c r="N4" s="152">
        <v>0</v>
      </c>
      <c r="O4" s="152">
        <v>0</v>
      </c>
      <c r="P4" s="152">
        <v>0</v>
      </c>
    </row>
    <row r="5" spans="1:20" ht="13" x14ac:dyDescent="0.3">
      <c r="A5" s="164">
        <f>A4+A3</f>
        <v>540</v>
      </c>
      <c r="B5" s="165" t="s">
        <v>408</v>
      </c>
      <c r="C5" s="166">
        <v>3</v>
      </c>
      <c r="D5" s="166">
        <v>1</v>
      </c>
      <c r="E5" s="166">
        <v>4</v>
      </c>
      <c r="F5" s="166">
        <v>2</v>
      </c>
      <c r="G5" s="166">
        <v>7</v>
      </c>
      <c r="H5" s="166">
        <v>6</v>
      </c>
      <c r="I5" s="166">
        <v>0</v>
      </c>
      <c r="J5" s="166"/>
      <c r="K5" s="166"/>
      <c r="L5" s="166"/>
      <c r="M5" s="166"/>
      <c r="N5" s="166"/>
      <c r="O5" s="166">
        <v>1</v>
      </c>
      <c r="P5" s="152"/>
    </row>
    <row r="7" spans="1:20" x14ac:dyDescent="0.25">
      <c r="A7" s="239" t="s">
        <v>414</v>
      </c>
      <c r="B7" t="s">
        <v>411</v>
      </c>
      <c r="C7">
        <f>C3*C$2</f>
        <v>7</v>
      </c>
      <c r="D7">
        <f t="shared" ref="D7:P7" si="0">D3*D$2</f>
        <v>10</v>
      </c>
      <c r="E7">
        <f t="shared" si="0"/>
        <v>27</v>
      </c>
      <c r="F7">
        <f t="shared" si="0"/>
        <v>4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8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20" x14ac:dyDescent="0.25">
      <c r="A8" s="239"/>
      <c r="B8" t="s">
        <v>412</v>
      </c>
      <c r="C8">
        <f t="shared" ref="C8:P8" si="1">C4*C$2</f>
        <v>2</v>
      </c>
      <c r="D8">
        <f t="shared" si="1"/>
        <v>10</v>
      </c>
      <c r="E8">
        <f t="shared" si="1"/>
        <v>3</v>
      </c>
      <c r="F8">
        <f t="shared" si="1"/>
        <v>36</v>
      </c>
      <c r="G8">
        <f t="shared" si="1"/>
        <v>20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11</v>
      </c>
      <c r="N8">
        <f t="shared" si="1"/>
        <v>0</v>
      </c>
      <c r="O8">
        <f t="shared" si="1"/>
        <v>0</v>
      </c>
      <c r="P8">
        <f t="shared" si="1"/>
        <v>0</v>
      </c>
    </row>
    <row r="9" spans="1:20" x14ac:dyDescent="0.25">
      <c r="A9" s="239"/>
      <c r="B9" t="s">
        <v>413</v>
      </c>
      <c r="C9">
        <f t="shared" ref="C9:P9" si="2">C5*C$2</f>
        <v>3</v>
      </c>
      <c r="D9">
        <f t="shared" si="2"/>
        <v>2</v>
      </c>
      <c r="E9">
        <f t="shared" si="2"/>
        <v>12</v>
      </c>
      <c r="F9">
        <f t="shared" si="2"/>
        <v>8</v>
      </c>
      <c r="G9">
        <f t="shared" si="2"/>
        <v>35</v>
      </c>
      <c r="H9">
        <f t="shared" si="2"/>
        <v>36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13</v>
      </c>
      <c r="P9">
        <f t="shared" si="2"/>
        <v>0</v>
      </c>
    </row>
    <row r="10" spans="1:20" x14ac:dyDescent="0.25">
      <c r="C10">
        <f t="shared" ref="C10:P10" si="3">C6*C$2</f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</row>
    <row r="13" spans="1:20" ht="13" x14ac:dyDescent="0.3">
      <c r="B13" t="s">
        <v>410</v>
      </c>
      <c r="C13" s="151">
        <v>1</v>
      </c>
      <c r="D13" s="151">
        <v>2</v>
      </c>
      <c r="E13" s="151">
        <v>3</v>
      </c>
      <c r="F13" s="151">
        <v>4</v>
      </c>
      <c r="G13" s="151">
        <v>5</v>
      </c>
      <c r="H13" s="151">
        <v>6</v>
      </c>
      <c r="I13" s="151">
        <v>7</v>
      </c>
      <c r="J13" s="151">
        <v>8</v>
      </c>
      <c r="K13" s="151">
        <v>9</v>
      </c>
      <c r="L13" s="151">
        <v>10</v>
      </c>
      <c r="M13" s="151">
        <v>11</v>
      </c>
      <c r="N13" s="151">
        <v>12</v>
      </c>
      <c r="O13" s="151">
        <v>13</v>
      </c>
      <c r="P13" s="151">
        <v>14</v>
      </c>
      <c r="Q13" s="153">
        <v>15</v>
      </c>
      <c r="S13" s="154">
        <v>21</v>
      </c>
    </row>
    <row r="14" spans="1:20" ht="13" x14ac:dyDescent="0.3">
      <c r="B14" s="165" t="s">
        <v>381</v>
      </c>
      <c r="C14" s="165"/>
      <c r="D14" s="165"/>
      <c r="E14" s="165">
        <v>1</v>
      </c>
      <c r="F14" s="165"/>
      <c r="G14" s="165">
        <v>2</v>
      </c>
      <c r="H14" s="165">
        <v>4</v>
      </c>
      <c r="I14" s="165">
        <v>3</v>
      </c>
      <c r="J14" s="165">
        <v>2</v>
      </c>
      <c r="K14" s="165">
        <v>2</v>
      </c>
      <c r="L14" s="165">
        <v>1</v>
      </c>
      <c r="M14" s="165">
        <v>4</v>
      </c>
      <c r="N14" s="165">
        <v>3</v>
      </c>
      <c r="O14" s="165"/>
      <c r="P14" s="165"/>
      <c r="Q14" s="165">
        <v>1</v>
      </c>
      <c r="R14" s="165"/>
      <c r="S14" s="167">
        <v>1</v>
      </c>
    </row>
    <row r="15" spans="1:20" x14ac:dyDescent="0.25">
      <c r="B15" t="s">
        <v>409</v>
      </c>
      <c r="C15">
        <f>C14*C2</f>
        <v>0</v>
      </c>
      <c r="D15">
        <f t="shared" ref="D15:S15" si="4">D14*D2</f>
        <v>0</v>
      </c>
      <c r="E15">
        <f t="shared" si="4"/>
        <v>3</v>
      </c>
      <c r="F15">
        <f t="shared" si="4"/>
        <v>0</v>
      </c>
      <c r="G15">
        <f t="shared" si="4"/>
        <v>10</v>
      </c>
      <c r="H15">
        <f t="shared" si="4"/>
        <v>24</v>
      </c>
      <c r="I15">
        <f t="shared" si="4"/>
        <v>21</v>
      </c>
      <c r="J15">
        <f t="shared" si="4"/>
        <v>16</v>
      </c>
      <c r="K15">
        <f t="shared" si="4"/>
        <v>18</v>
      </c>
      <c r="L15">
        <f t="shared" si="4"/>
        <v>10</v>
      </c>
      <c r="M15">
        <f t="shared" si="4"/>
        <v>44</v>
      </c>
      <c r="N15">
        <f t="shared" si="4"/>
        <v>36</v>
      </c>
      <c r="O15">
        <f t="shared" si="4"/>
        <v>0</v>
      </c>
      <c r="P15">
        <f t="shared" si="4"/>
        <v>0</v>
      </c>
      <c r="Q15">
        <f t="shared" si="4"/>
        <v>15</v>
      </c>
      <c r="R15">
        <f t="shared" si="4"/>
        <v>0</v>
      </c>
      <c r="S15">
        <f t="shared" si="4"/>
        <v>21</v>
      </c>
      <c r="T15">
        <f>SUM(C15:S15)</f>
        <v>218</v>
      </c>
    </row>
    <row r="23" spans="5:10" x14ac:dyDescent="0.25">
      <c r="E23">
        <v>3</v>
      </c>
      <c r="F23">
        <v>12</v>
      </c>
      <c r="J23" s="155">
        <f>12/22</f>
        <v>0.54545454545454541</v>
      </c>
    </row>
    <row r="24" spans="5:10" x14ac:dyDescent="0.25">
      <c r="E24">
        <v>5</v>
      </c>
      <c r="F24">
        <v>12</v>
      </c>
    </row>
    <row r="25" spans="5:10" x14ac:dyDescent="0.25">
      <c r="E25">
        <v>5</v>
      </c>
      <c r="F25">
        <v>15</v>
      </c>
    </row>
    <row r="26" spans="5:10" x14ac:dyDescent="0.25">
      <c r="E26">
        <v>6</v>
      </c>
      <c r="F26">
        <v>21</v>
      </c>
    </row>
    <row r="27" spans="5:10" x14ac:dyDescent="0.25">
      <c r="E27">
        <v>6</v>
      </c>
    </row>
    <row r="28" spans="5:10" x14ac:dyDescent="0.25">
      <c r="E28">
        <v>6</v>
      </c>
    </row>
    <row r="29" spans="5:10" x14ac:dyDescent="0.25">
      <c r="E29">
        <v>6</v>
      </c>
    </row>
    <row r="30" spans="5:10" x14ac:dyDescent="0.25">
      <c r="E30">
        <v>7</v>
      </c>
    </row>
    <row r="31" spans="5:10" x14ac:dyDescent="0.25">
      <c r="E31">
        <v>7</v>
      </c>
    </row>
    <row r="32" spans="5:10" x14ac:dyDescent="0.25">
      <c r="E32">
        <v>7</v>
      </c>
    </row>
    <row r="33" spans="5:5" x14ac:dyDescent="0.25">
      <c r="E33">
        <v>8</v>
      </c>
    </row>
    <row r="34" spans="5:5" x14ac:dyDescent="0.25">
      <c r="E34">
        <v>8</v>
      </c>
    </row>
    <row r="35" spans="5:5" x14ac:dyDescent="0.25">
      <c r="E35">
        <v>9</v>
      </c>
    </row>
    <row r="36" spans="5:5" x14ac:dyDescent="0.25">
      <c r="E36">
        <v>9</v>
      </c>
    </row>
    <row r="37" spans="5:5" x14ac:dyDescent="0.25">
      <c r="E37">
        <v>10</v>
      </c>
    </row>
    <row r="38" spans="5:5" x14ac:dyDescent="0.25">
      <c r="E38">
        <v>11</v>
      </c>
    </row>
    <row r="39" spans="5:5" x14ac:dyDescent="0.25">
      <c r="E39">
        <v>11</v>
      </c>
    </row>
    <row r="40" spans="5:5" x14ac:dyDescent="0.25">
      <c r="E40">
        <v>11</v>
      </c>
    </row>
    <row r="41" spans="5:5" x14ac:dyDescent="0.25">
      <c r="E41">
        <v>11</v>
      </c>
    </row>
  </sheetData>
  <mergeCells count="1">
    <mergeCell ref="A7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9911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Histograma</vt:lpstr>
      <vt:lpstr>HDesdeImplante</vt:lpstr>
      <vt:lpstr>Tabla</vt:lpstr>
      <vt:lpstr>Datos</vt:lpstr>
      <vt:lpstr>Explicación de campos</vt:lpstr>
      <vt:lpstr>Longevidad</vt:lpstr>
      <vt:lpstr>Longevidades</vt:lpstr>
      <vt:lpstr>ERI_Alcanzado</vt:lpstr>
      <vt:lpstr>Seguimientos</vt:lpstr>
      <vt:lpstr>total</vt:lpstr>
      <vt:lpstr>2 camaras</vt:lpstr>
      <vt:lpstr>3 camaras</vt:lpstr>
      <vt:lpstr>1 camara</vt:lpstr>
      <vt:lpstr>Longevidades!Área_de_extracción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Elena Campillo</cp:lastModifiedBy>
  <cp:revision>27</cp:revision>
  <cp:lastPrinted>2015-05-07T15:01:21Z</cp:lastPrinted>
  <dcterms:created xsi:type="dcterms:W3CDTF">2015-05-07T13:22:36Z</dcterms:created>
  <dcterms:modified xsi:type="dcterms:W3CDTF">2017-03-24T11:21:23Z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