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_1" sheetId="1" r:id="rId4"/>
    <sheet state="visible" name="EJERCICIO_2" sheetId="2" r:id="rId5"/>
    <sheet state="visible" name="EJERCICIO_3" sheetId="3" r:id="rId6"/>
    <sheet state="visible" name="EJERCICIO_4" sheetId="4" r:id="rId7"/>
    <sheet state="visible" name="EJERCICIO_5" sheetId="5" r:id="rId8"/>
  </sheets>
  <definedNames/>
  <calcPr/>
</workbook>
</file>

<file path=xl/sharedStrings.xml><?xml version="1.0" encoding="utf-8"?>
<sst xmlns="http://schemas.openxmlformats.org/spreadsheetml/2006/main" count="563" uniqueCount="135">
  <si>
    <t>CORRIENTE ALTERNA EN SERIE</t>
  </si>
  <si>
    <t>DATOS</t>
  </si>
  <si>
    <t>FRECUENCIA</t>
  </si>
  <si>
    <t>Hz</t>
  </si>
  <si>
    <t>R</t>
  </si>
  <si>
    <t xml:space="preserve">Resistencia </t>
  </si>
  <si>
    <t>Ω</t>
  </si>
  <si>
    <t>XL</t>
  </si>
  <si>
    <t>Inductor</t>
  </si>
  <si>
    <t>2 x PI X Hy x Hz</t>
  </si>
  <si>
    <t>Henry</t>
  </si>
  <si>
    <t>Hy</t>
  </si>
  <si>
    <t>XC</t>
  </si>
  <si>
    <t>Capacitor</t>
  </si>
  <si>
    <t>(10^6) / (2 x PI x uF x Hz)</t>
  </si>
  <si>
    <t>MicroFaradiso</t>
  </si>
  <si>
    <t>uF</t>
  </si>
  <si>
    <t>Vo</t>
  </si>
  <si>
    <t>Voltaje Valor Eficaz</t>
  </si>
  <si>
    <t>v</t>
  </si>
  <si>
    <t>Voltaje Valor Pico</t>
  </si>
  <si>
    <t>ω</t>
  </si>
  <si>
    <t>Velocidad Angular</t>
  </si>
  <si>
    <t>Hallar VT, F, Z</t>
  </si>
  <si>
    <t>4)</t>
  </si>
  <si>
    <t>Diagrama FASORIAL DE TENSIONES</t>
  </si>
  <si>
    <t>VR</t>
  </si>
  <si>
    <t>VL-VC</t>
  </si>
  <si>
    <t>Z x I</t>
  </si>
  <si>
    <t>Vo = Vpico / √ 2</t>
  </si>
  <si>
    <t>Resultado:</t>
  </si>
  <si>
    <t>X</t>
  </si>
  <si>
    <t>Y</t>
  </si>
  <si>
    <t>HIPOTENUSA</t>
  </si>
  <si>
    <t>F = ω / (2* π)</t>
  </si>
  <si>
    <t xml:space="preserve">1) IMPEDANCIA - </t>
  </si>
  <si>
    <t>Z = √  (R² + ( XL - XC )²)</t>
  </si>
  <si>
    <t>5)</t>
  </si>
  <si>
    <t>Diagrama fasorial de IMPEDANCIAS</t>
  </si>
  <si>
    <t>Hallar I, VR, VL, VC, cosP</t>
  </si>
  <si>
    <t>XL - XC</t>
  </si>
  <si>
    <t>Z</t>
  </si>
  <si>
    <t>2) CORRIENTE TOTAL</t>
  </si>
  <si>
    <t>I = Vo / Z</t>
  </si>
  <si>
    <t>A</t>
  </si>
  <si>
    <t>3.1) VOLTAJE R</t>
  </si>
  <si>
    <t>VR = R * I</t>
  </si>
  <si>
    <t>V</t>
  </si>
  <si>
    <t>3.2) VOLTAJE L</t>
  </si>
  <si>
    <t>VL = XL * I</t>
  </si>
  <si>
    <t>9)</t>
  </si>
  <si>
    <t>El circuito esta en resonancia, o casi en resonancia, ya que XL = XC. La potencia reactiva total es cero.</t>
  </si>
  <si>
    <t>3.3) VOLTAJE C</t>
  </si>
  <si>
    <t>VC = XC * I</t>
  </si>
  <si>
    <t>6) COSENO φ</t>
  </si>
  <si>
    <t>φ = R / Z</t>
  </si>
  <si>
    <t>º</t>
  </si>
  <si>
    <t>Hallar ACTIVA (W) , REACTIVA (VAR) , APARENTE (VA)</t>
  </si>
  <si>
    <t>7.1) POTENCIA ACTIVA</t>
  </si>
  <si>
    <t>P(w) = R * I²</t>
  </si>
  <si>
    <t>W</t>
  </si>
  <si>
    <t>7.2) POTENCIA REACTIVA</t>
  </si>
  <si>
    <t>Q(var) = ( L - C ) * I²</t>
  </si>
  <si>
    <t>var</t>
  </si>
  <si>
    <t>7.3) POTENCIA REACTIVA INDUCTIVA</t>
  </si>
  <si>
    <t>QL(var) = ( L ) * I²</t>
  </si>
  <si>
    <t>7.4) POTENCIA REAACTIVA CAPACITIVA</t>
  </si>
  <si>
    <t>QC(var) = ( C ) * I²</t>
  </si>
  <si>
    <t>8) POTENCIA APARENTE</t>
  </si>
  <si>
    <t>VL = L * I²</t>
  </si>
  <si>
    <t>va</t>
  </si>
  <si>
    <t>Hallar Io</t>
  </si>
  <si>
    <t>i = Io / √ 2</t>
  </si>
  <si>
    <t>kΩ</t>
  </si>
  <si>
    <t>L</t>
  </si>
  <si>
    <t>Hy MILI 10^-3</t>
  </si>
  <si>
    <t>C</t>
  </si>
  <si>
    <t>R x I</t>
  </si>
  <si>
    <t>(XL -XC ) x I</t>
  </si>
  <si>
    <t>Z = √  (R² + ( L - C )²)</t>
  </si>
  <si>
    <t>XR</t>
  </si>
  <si>
    <t>4) COSENO φ ANGULO</t>
  </si>
  <si>
    <t>4.2) COSENO φ</t>
  </si>
  <si>
    <t>φ</t>
  </si>
  <si>
    <t>5) POTENCIA ACTIVA</t>
  </si>
  <si>
    <t>5.2) POTENCIA REACTIVA</t>
  </si>
  <si>
    <t>P(var) = ( L - C ) * I²</t>
  </si>
  <si>
    <t>5.3) POTENCIA APARENTE</t>
  </si>
  <si>
    <t>1 ) XC</t>
  </si>
  <si>
    <t>[PI + Z X RAIZ(3) ] / 2</t>
  </si>
  <si>
    <t>2)</t>
  </si>
  <si>
    <t>XC = XL +/- RAIZ(Z^2-R^2)</t>
  </si>
  <si>
    <t>6.1)</t>
  </si>
  <si>
    <t>VT = Vo / √ 2</t>
  </si>
  <si>
    <t>Z = V / I</t>
  </si>
  <si>
    <t>6.2)</t>
  </si>
  <si>
    <t>I = VT / Z</t>
  </si>
  <si>
    <t>3.1)</t>
  </si>
  <si>
    <t>3.2)</t>
  </si>
  <si>
    <t>3.3)</t>
  </si>
  <si>
    <t>4.1)</t>
  </si>
  <si>
    <t>4.2)</t>
  </si>
  <si>
    <t>5.1)</t>
  </si>
  <si>
    <t>5.2)</t>
  </si>
  <si>
    <t>Q(var) = ( XL - XC ) * I²</t>
  </si>
  <si>
    <t>Q(var) = ( XL ) * I²</t>
  </si>
  <si>
    <t>Q(var) = ( XC ) * I²</t>
  </si>
  <si>
    <t>5.3)</t>
  </si>
  <si>
    <t>S = Z * I²</t>
  </si>
  <si>
    <t>Io</t>
  </si>
  <si>
    <t>Intensidad Eficaz</t>
  </si>
  <si>
    <t>Intensidad Pico</t>
  </si>
  <si>
    <t>Z = Io / Vo</t>
  </si>
  <si>
    <t>VL = L * I</t>
  </si>
  <si>
    <t>VC = C * I</t>
  </si>
  <si>
    <t>COSENO</t>
  </si>
  <si>
    <t>φ = VR / VT</t>
  </si>
  <si>
    <t>φ = P(w) / S(V*I)</t>
  </si>
  <si>
    <t>Q(var) = ( L) * I²</t>
  </si>
  <si>
    <t>Q(var) = ( C ) * I²</t>
  </si>
  <si>
    <t>S = L * I²</t>
  </si>
  <si>
    <t>SENO</t>
  </si>
  <si>
    <t>φ = (VL - VC) / VT</t>
  </si>
  <si>
    <t>φ = (XL - XC) / Z</t>
  </si>
  <si>
    <t>φ = Q/S</t>
  </si>
  <si>
    <t>TANGENTE</t>
  </si>
  <si>
    <t>φ = (VL - VC) / VR</t>
  </si>
  <si>
    <t>1- IMPEDANCIA Z</t>
  </si>
  <si>
    <t>Z =  Vo / I</t>
  </si>
  <si>
    <t>2- REACTANCIA INDUCTIVA</t>
  </si>
  <si>
    <t>XL = √(( Z^2 - R^2 ) + XC)</t>
  </si>
  <si>
    <t>XC = XL - √( Z^2 - R^2 )</t>
  </si>
  <si>
    <t>3- COSENO PHI</t>
  </si>
  <si>
    <t>Q(var) = ( XL) * I²</t>
  </si>
  <si>
    <t>S(va) = Z * I²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</si>
</sst>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"/>
    <numFmt numFmtId="165" formatCode="#,##0.000"/>
    <numFmt numFmtId="166" formatCode="0.00000000"/>
    <numFmt numFmtId="167" formatCode="0.000"/>
    <numFmt numFmtId="168" formatCode="0.0"/>
    <numFmt numFmtId="169" formatCode="0.00000"/>
  </numFmts>
  <fonts count="17">
    <font>
      <sz val="10.0"/>
      <color rgb="FF000000"/>
      <name val="Arial"/>
    </font>
    <font>
      <color rgb="FFFFFFFF"/>
      <name val="Arial"/>
    </font>
    <font>
      <color theme="1"/>
      <name val="Arial"/>
    </font>
    <font>
      <b/>
      <color rgb="FFEAD1DC"/>
      <name val="Arial"/>
    </font>
    <font>
      <b/>
      <color rgb="FF222222"/>
      <name val="Arial"/>
    </font>
    <font>
      <b/>
      <sz val="12.0"/>
      <color rgb="FFFFFFFF"/>
      <name val="Arial"/>
    </font>
    <font>
      <b/>
      <color theme="1"/>
      <name val="Arial"/>
    </font>
    <font>
      <sz val="18.0"/>
      <color rgb="FF222222"/>
      <name val="Arial"/>
    </font>
    <font>
      <b/>
      <color rgb="FFFF0000"/>
      <name val="Arial"/>
    </font>
    <font/>
    <font>
      <sz val="18.0"/>
      <color theme="1"/>
      <name val="Arial"/>
    </font>
    <font>
      <color rgb="FFEAD1DC"/>
      <name val="Arial"/>
    </font>
    <font>
      <b/>
      <sz val="8.0"/>
      <color theme="1"/>
      <name val="Arial"/>
    </font>
    <font>
      <sz val="7.0"/>
      <color theme="1"/>
      <name val="Arial"/>
    </font>
    <font>
      <b/>
      <sz val="7.0"/>
      <color theme="1"/>
      <name val="Arial"/>
    </font>
    <font>
      <color rgb="FFFF0000"/>
      <name val="Arial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horizontal="center" shrinkToFit="0" vertical="bottom" wrapText="1"/>
    </xf>
    <xf borderId="0" fillId="3" fontId="1" numFmtId="0" xfId="0" applyAlignment="1" applyFont="1">
      <alignment vertical="bottom"/>
    </xf>
    <xf borderId="0" fillId="4" fontId="2" numFmtId="0" xfId="0" applyAlignment="1" applyFill="1" applyFont="1">
      <alignment horizontal="right" vertical="bottom"/>
    </xf>
    <xf borderId="0" fillId="5" fontId="4" numFmtId="0" xfId="0" applyAlignment="1" applyFill="1" applyFont="1">
      <alignment vertical="bottom"/>
    </xf>
    <xf borderId="0" fillId="3" fontId="5" numFmtId="0" xfId="0" applyAlignment="1" applyFont="1">
      <alignment horizontal="right" shrinkToFit="0" vertical="bottom" wrapText="1"/>
    </xf>
    <xf borderId="1" fillId="4" fontId="6" numFmtId="0" xfId="0" applyAlignment="1" applyBorder="1" applyFont="1">
      <alignment horizontal="right" readingOrder="0" vertical="bottom"/>
    </xf>
    <xf borderId="1" fillId="5" fontId="7" numFmtId="0" xfId="0" applyAlignment="1" applyBorder="1" applyFont="1">
      <alignment vertical="bottom"/>
    </xf>
    <xf borderId="0" fillId="3" fontId="5" numFmtId="0" xfId="0" applyAlignment="1" applyFont="1">
      <alignment horizontal="right" readingOrder="0" shrinkToFit="0" vertical="bottom" wrapText="1"/>
    </xf>
    <xf borderId="1" fillId="3" fontId="1" numFmtId="0" xfId="0" applyAlignment="1" applyBorder="1" applyFont="1">
      <alignment vertical="bottom"/>
    </xf>
    <xf borderId="1" fillId="5" fontId="8" numFmtId="0" xfId="0" applyAlignment="1" applyBorder="1" applyFont="1">
      <alignment horizontal="right" vertical="bottom"/>
    </xf>
    <xf borderId="2" fillId="6" fontId="2" numFmtId="0" xfId="0" applyAlignment="1" applyBorder="1" applyFill="1" applyFont="1">
      <alignment vertical="bottom"/>
    </xf>
    <xf borderId="3" fillId="0" fontId="9" numFmtId="0" xfId="0" applyBorder="1" applyFont="1"/>
    <xf borderId="1" fillId="0" fontId="2" numFmtId="0" xfId="0" applyAlignment="1" applyBorder="1" applyFont="1">
      <alignment vertical="bottom"/>
    </xf>
    <xf borderId="1" fillId="4" fontId="2" numFmtId="0" xfId="0" applyAlignment="1" applyBorder="1" applyFont="1">
      <alignment horizontal="right" readingOrder="0" vertical="bottom"/>
    </xf>
    <xf borderId="1" fillId="0" fontId="6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5" fontId="8" numFmtId="164" xfId="0" applyAlignment="1" applyBorder="1" applyFont="1" applyNumberFormat="1">
      <alignment horizontal="right" vertical="bottom"/>
    </xf>
    <xf borderId="2" fillId="6" fontId="2" numFmtId="0" xfId="0" applyAlignment="1" applyBorder="1" applyFont="1">
      <alignment shrinkToFit="0" vertical="bottom" wrapText="0"/>
    </xf>
    <xf borderId="0" fillId="5" fontId="6" numFmtId="164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1" fillId="0" fontId="2" numFmtId="0" xfId="0" applyAlignment="1" applyBorder="1" applyFont="1">
      <alignment readingOrder="0" vertical="bottom"/>
    </xf>
    <xf borderId="1" fillId="4" fontId="2" numFmtId="0" xfId="0" applyAlignment="1" applyBorder="1" applyFont="1">
      <alignment readingOrder="0" vertical="bottom"/>
    </xf>
    <xf borderId="0" fillId="3" fontId="5" numFmtId="0" xfId="0" applyAlignment="1" applyFont="1">
      <alignment horizontal="right" shrinkToFit="0" vertical="bottom" wrapText="1"/>
    </xf>
    <xf borderId="0" fillId="4" fontId="6" numFmtId="0" xfId="0" applyAlignment="1" applyFont="1">
      <alignment horizontal="right" vertical="bottom"/>
    </xf>
    <xf borderId="0" fillId="5" fontId="7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11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2" fillId="3" fontId="3" numFmtId="0" xfId="0" applyAlignment="1" applyBorder="1" applyFont="1">
      <alignment horizontal="center" readingOrder="0" vertical="bottom"/>
    </xf>
    <xf borderId="4" fillId="0" fontId="9" numFmtId="0" xfId="0" applyBorder="1" applyFont="1"/>
    <xf borderId="0" fillId="0" fontId="2" numFmtId="0" xfId="0" applyAlignment="1" applyFont="1">
      <alignment horizontal="right" vertical="bottom"/>
    </xf>
    <xf borderId="5" fillId="0" fontId="6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center"/>
    </xf>
    <xf borderId="0" fillId="7" fontId="6" numFmtId="0" xfId="0" applyAlignment="1" applyFill="1" applyFont="1">
      <alignment readingOrder="0" vertical="bottom"/>
    </xf>
    <xf borderId="0" fillId="7" fontId="2" numFmtId="0" xfId="0" applyAlignment="1" applyFont="1">
      <alignment vertical="bottom"/>
    </xf>
    <xf borderId="0" fillId="7" fontId="2" numFmtId="0" xfId="0" applyAlignment="1" applyFont="1">
      <alignment horizontal="right" vertical="bottom"/>
    </xf>
    <xf borderId="0" fillId="7" fontId="12" numFmtId="0" xfId="0" applyAlignment="1" applyFont="1">
      <alignment vertical="bottom"/>
    </xf>
    <xf borderId="6" fillId="0" fontId="9" numFmtId="0" xfId="0" applyBorder="1" applyFont="1"/>
    <xf borderId="0" fillId="0" fontId="13" numFmtId="0" xfId="0" applyAlignment="1" applyFont="1">
      <alignment shrinkToFit="0" vertical="bottom" wrapText="1"/>
    </xf>
    <xf borderId="0" fillId="8" fontId="6" numFmtId="0" xfId="0" applyAlignment="1" applyFill="1" applyFont="1">
      <alignment vertical="bottom"/>
    </xf>
    <xf borderId="0" fillId="8" fontId="2" numFmtId="0" xfId="0" applyAlignment="1" applyFont="1">
      <alignment vertical="bottom"/>
    </xf>
    <xf borderId="0" fillId="8" fontId="2" numFmtId="0" xfId="0" applyAlignment="1" applyFont="1">
      <alignment horizontal="right" vertical="bottom"/>
    </xf>
    <xf borderId="0" fillId="8" fontId="12" numFmtId="0" xfId="0" applyAlignment="1" applyFont="1">
      <alignment vertical="bottom"/>
    </xf>
    <xf borderId="7" fillId="0" fontId="9" numFmtId="0" xfId="0" applyBorder="1" applyFont="1"/>
    <xf borderId="1" fillId="0" fontId="2" numFmtId="0" xfId="0" applyAlignment="1" applyBorder="1" applyFont="1">
      <alignment horizontal="center" vertical="center"/>
    </xf>
    <xf borderId="0" fillId="0" fontId="14" numFmtId="0" xfId="0" applyAlignment="1" applyFont="1">
      <alignment readingOrder="0" shrinkToFit="0" vertical="bottom" wrapText="1"/>
    </xf>
    <xf borderId="0" fillId="7" fontId="6" numFmtId="1" xfId="0" applyAlignment="1" applyFont="1" applyNumberFormat="1">
      <alignment horizontal="right" vertical="bottom"/>
    </xf>
    <xf borderId="0" fillId="7" fontId="12" numFmtId="0" xfId="0" applyAlignment="1" applyFont="1">
      <alignment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2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1" xfId="0" applyAlignment="1" applyBorder="1" applyFont="1" applyNumberFormat="1">
      <alignment horizontal="center" vertical="center"/>
    </xf>
    <xf borderId="8" fillId="0" fontId="2" numFmtId="0" xfId="0" applyAlignment="1" applyBorder="1" applyFont="1">
      <alignment horizontal="center" readingOrder="0" shrinkToFit="0" vertical="center" wrapText="1"/>
    </xf>
    <xf borderId="9" fillId="0" fontId="9" numFmtId="0" xfId="0" applyBorder="1" applyFont="1"/>
    <xf borderId="10" fillId="0" fontId="9" numFmtId="0" xfId="0" applyBorder="1" applyFont="1"/>
    <xf borderId="0" fillId="8" fontId="6" numFmtId="0" xfId="0" applyAlignment="1" applyFont="1">
      <alignment readingOrder="0" vertical="bottom"/>
    </xf>
    <xf borderId="11" fillId="0" fontId="9" numFmtId="0" xfId="0" applyBorder="1" applyFont="1"/>
    <xf borderId="12" fillId="0" fontId="9" numFmtId="0" xfId="0" applyBorder="1" applyFont="1"/>
    <xf borderId="0" fillId="7" fontId="6" numFmtId="0" xfId="0" applyAlignment="1" applyFont="1">
      <alignment vertical="bottom"/>
    </xf>
    <xf borderId="0" fillId="7" fontId="2" numFmtId="164" xfId="0" applyAlignment="1" applyFont="1" applyNumberFormat="1">
      <alignment horizontal="right" vertical="bottom"/>
    </xf>
    <xf borderId="13" fillId="0" fontId="9" numFmtId="0" xfId="0" applyBorder="1" applyFont="1"/>
    <xf borderId="14" fillId="0" fontId="9" numFmtId="0" xfId="0" applyBorder="1" applyFont="1"/>
    <xf borderId="15" fillId="0" fontId="9" numFmtId="0" xfId="0" applyBorder="1" applyFont="1"/>
    <xf borderId="0" fillId="8" fontId="6" numFmtId="0" xfId="0" applyAlignment="1" applyFont="1">
      <alignment vertical="bottom"/>
    </xf>
    <xf borderId="0" fillId="0" fontId="14" numFmtId="0" xfId="0" applyAlignment="1" applyFont="1">
      <alignment readingOrder="0" shrinkToFit="0" wrapText="1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3" fontId="3" numFmtId="0" xfId="0" applyAlignment="1" applyFont="1">
      <alignment horizontal="center" shrinkToFit="0" vertical="center" wrapText="1"/>
    </xf>
    <xf borderId="0" fillId="3" fontId="1" numFmtId="0" xfId="0" applyAlignment="1" applyFont="1">
      <alignment vertical="center"/>
    </xf>
    <xf borderId="0" fillId="4" fontId="2" numFmtId="0" xfId="0" applyAlignment="1" applyFont="1">
      <alignment horizontal="right" readingOrder="0" vertical="center"/>
    </xf>
    <xf borderId="0" fillId="5" fontId="4" numFmtId="0" xfId="0" applyAlignment="1" applyFont="1">
      <alignment vertical="center"/>
    </xf>
    <xf borderId="0" fillId="3" fontId="5" numFmtId="0" xfId="0" applyAlignment="1" applyFont="1">
      <alignment horizontal="right" shrinkToFit="0" vertical="center" wrapText="1"/>
    </xf>
    <xf borderId="1" fillId="4" fontId="6" numFmtId="165" xfId="0" applyAlignment="1" applyBorder="1" applyFont="1" applyNumberFormat="1">
      <alignment horizontal="right" readingOrder="0" vertical="center"/>
    </xf>
    <xf borderId="1" fillId="5" fontId="7" numFmtId="0" xfId="0" applyAlignment="1" applyBorder="1" applyFont="1">
      <alignment vertical="center"/>
    </xf>
    <xf borderId="1" fillId="5" fontId="6" numFmtId="165" xfId="0" applyAlignment="1" applyBorder="1" applyFont="1" applyNumberFormat="1">
      <alignment horizontal="right" readingOrder="0" vertical="center"/>
    </xf>
    <xf borderId="1" fillId="5" fontId="7" numFmtId="0" xfId="0" applyAlignment="1" applyBorder="1" applyFont="1">
      <alignment readingOrder="0" vertical="center"/>
    </xf>
    <xf borderId="1" fillId="3" fontId="1" numFmtId="0" xfId="0" applyAlignment="1" applyBorder="1" applyFont="1">
      <alignment vertical="center"/>
    </xf>
    <xf borderId="1" fillId="5" fontId="8" numFmtId="0" xfId="0" applyAlignment="1" applyBorder="1" applyFont="1">
      <alignment horizontal="right" vertical="center"/>
    </xf>
    <xf borderId="2" fillId="6" fontId="2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4" fontId="2" numFmtId="0" xfId="0" applyAlignment="1" applyBorder="1" applyFont="1">
      <alignment horizontal="right" readingOrder="0" vertical="center"/>
    </xf>
    <xf borderId="1" fillId="0" fontId="6" numFmtId="0" xfId="0" applyAlignment="1" applyBorder="1" applyFont="1">
      <alignment vertical="center"/>
    </xf>
    <xf borderId="1" fillId="0" fontId="2" numFmtId="0" xfId="0" applyAlignment="1" applyBorder="1" applyFont="1">
      <alignment horizontal="right" vertical="center"/>
    </xf>
    <xf borderId="1" fillId="0" fontId="6" numFmtId="0" xfId="0" applyAlignment="1" applyBorder="1" applyFont="1">
      <alignment readingOrder="0" vertical="center"/>
    </xf>
    <xf borderId="1" fillId="5" fontId="8" numFmtId="164" xfId="0" applyAlignment="1" applyBorder="1" applyFont="1" applyNumberFormat="1">
      <alignment horizontal="right" readingOrder="0" vertical="center"/>
    </xf>
    <xf borderId="2" fillId="6" fontId="2" numFmtId="0" xfId="0" applyAlignment="1" applyBorder="1" applyFont="1">
      <alignment shrinkToFit="0" vertical="center" wrapText="0"/>
    </xf>
    <xf borderId="1" fillId="5" fontId="6" numFmtId="1" xfId="0" applyAlignment="1" applyBorder="1" applyFont="1" applyNumberFormat="1">
      <alignment horizontal="right" vertical="center"/>
    </xf>
    <xf borderId="1" fillId="0" fontId="10" numFmtId="0" xfId="0" applyAlignment="1" applyBorder="1" applyFont="1">
      <alignment vertical="center"/>
    </xf>
    <xf borderId="1" fillId="0" fontId="2" numFmtId="0" xfId="0" applyAlignment="1" applyBorder="1" applyFont="1">
      <alignment readingOrder="0" vertical="center"/>
    </xf>
    <xf borderId="1" fillId="4" fontId="2" numFmtId="0" xfId="0" applyAlignment="1" applyBorder="1" applyFont="1">
      <alignment readingOrder="0" vertical="center"/>
    </xf>
    <xf borderId="0" fillId="3" fontId="5" numFmtId="0" xfId="0" applyAlignment="1" applyFont="1">
      <alignment horizontal="right" shrinkToFit="0" vertical="center" wrapText="1"/>
    </xf>
    <xf borderId="1" fillId="5" fontId="6" numFmtId="0" xfId="0" applyAlignment="1" applyBorder="1" applyFont="1">
      <alignment horizontal="right" vertical="center"/>
    </xf>
    <xf borderId="0" fillId="0" fontId="2" numFmtId="0" xfId="0" applyAlignment="1" applyFont="1">
      <alignment shrinkToFit="0" vertical="center" wrapText="1"/>
    </xf>
    <xf borderId="0" fillId="3" fontId="11" numFmtId="0" xfId="0" applyAlignment="1" applyFont="1">
      <alignment horizontal="center" vertical="center"/>
    </xf>
    <xf borderId="0" fillId="0" fontId="2" numFmtId="0" xfId="0" applyAlignment="1" applyFont="1">
      <alignment horizontal="right" readingOrder="0" vertical="center"/>
    </xf>
    <xf borderId="2" fillId="3" fontId="3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right" vertical="center"/>
    </xf>
    <xf borderId="5" fillId="0" fontId="6" numFmtId="0" xfId="0" applyAlignment="1" applyBorder="1" applyFont="1">
      <alignment horizontal="center" vertical="center"/>
    </xf>
    <xf borderId="0" fillId="7" fontId="6" numFmtId="0" xfId="0" applyAlignment="1" applyFont="1">
      <alignment readingOrder="0" vertical="center"/>
    </xf>
    <xf borderId="0" fillId="7" fontId="2" numFmtId="0" xfId="0" applyAlignment="1" applyFont="1">
      <alignment vertical="center"/>
    </xf>
    <xf borderId="0" fillId="7" fontId="2" numFmtId="0" xfId="0" applyAlignment="1" applyFont="1">
      <alignment horizontal="right" vertical="center"/>
    </xf>
    <xf borderId="0" fillId="7" fontId="12" numFmtId="0" xfId="0" applyAlignment="1" applyFont="1">
      <alignment vertical="center"/>
    </xf>
    <xf borderId="0" fillId="0" fontId="13" numFmtId="0" xfId="0" applyAlignment="1" applyFont="1">
      <alignment shrinkToFit="0" vertical="center" wrapText="1"/>
    </xf>
    <xf borderId="0" fillId="8" fontId="6" numFmtId="0" xfId="0" applyAlignment="1" applyFont="1">
      <alignment vertical="center"/>
    </xf>
    <xf borderId="0" fillId="8" fontId="2" numFmtId="0" xfId="0" applyAlignment="1" applyFont="1">
      <alignment vertical="center"/>
    </xf>
    <xf borderId="0" fillId="8" fontId="2" numFmtId="0" xfId="0" applyAlignment="1" applyFont="1">
      <alignment horizontal="right" vertical="center"/>
    </xf>
    <xf borderId="0" fillId="8" fontId="12" numFmtId="0" xfId="0" applyAlignment="1" applyFont="1">
      <alignment vertical="center"/>
    </xf>
    <xf borderId="0" fillId="0" fontId="14" numFmtId="0" xfId="0" applyAlignment="1" applyFont="1">
      <alignment readingOrder="0" shrinkToFit="0" vertical="center" wrapText="1"/>
    </xf>
    <xf borderId="0" fillId="7" fontId="6" numFmtId="0" xfId="0" applyAlignment="1" applyFont="1">
      <alignment vertical="center"/>
    </xf>
    <xf borderId="0" fillId="7" fontId="6" numFmtId="0" xfId="0" applyAlignment="1" applyFont="1">
      <alignment horizontal="right" vertical="center"/>
    </xf>
    <xf borderId="0" fillId="7" fontId="12" numFmtId="0" xfId="0" applyAlignment="1" applyFont="1">
      <alignment readingOrder="0" vertical="center"/>
    </xf>
    <xf borderId="1" fillId="0" fontId="2" numFmtId="2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0" fillId="8" fontId="6" numFmtId="0" xfId="0" applyAlignment="1" applyFont="1">
      <alignment readingOrder="0" vertical="center"/>
    </xf>
    <xf borderId="0" fillId="7" fontId="2" numFmtId="164" xfId="0" applyAlignment="1" applyFont="1" applyNumberFormat="1">
      <alignment horizontal="right" vertical="center"/>
    </xf>
    <xf borderId="0" fillId="7" fontId="2" numFmtId="166" xfId="0" applyAlignment="1" applyFont="1" applyNumberFormat="1">
      <alignment horizontal="right" vertical="center"/>
    </xf>
    <xf borderId="0" fillId="0" fontId="14" numFmtId="0" xfId="0" applyAlignment="1" applyFont="1">
      <alignment readingOrder="0" shrinkToFit="0" vertical="center" wrapText="1"/>
    </xf>
    <xf borderId="1" fillId="4" fontId="2" numFmtId="165" xfId="0" applyAlignment="1" applyBorder="1" applyFont="1" applyNumberFormat="1">
      <alignment horizontal="right" readingOrder="0" vertical="bottom"/>
    </xf>
    <xf borderId="1" fillId="5" fontId="15" numFmtId="164" xfId="0" applyAlignment="1" applyBorder="1" applyFont="1" applyNumberFormat="1">
      <alignment horizontal="right" readingOrder="0" vertical="bottom"/>
    </xf>
    <xf borderId="2" fillId="6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vertical="bottom"/>
    </xf>
    <xf borderId="0" fillId="4" fontId="6" numFmtId="1" xfId="0" applyAlignment="1" applyFont="1" applyNumberFormat="1">
      <alignment horizontal="right" readingOrder="0" vertical="bottom"/>
    </xf>
    <xf borderId="1" fillId="5" fontId="2" numFmtId="0" xfId="0" applyAlignment="1" applyBorder="1" applyFont="1">
      <alignment readingOrder="0"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7" fontId="6" numFmtId="0" xfId="0" applyAlignment="1" applyFont="1">
      <alignment horizontal="right" vertical="bottom"/>
    </xf>
    <xf borderId="0" fillId="4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vertical="bottom" wrapText="1"/>
    </xf>
    <xf borderId="0" fillId="7" fontId="2" numFmtId="2" xfId="0" applyAlignment="1" applyFont="1" applyNumberFormat="1">
      <alignment horizontal="right" vertical="center"/>
    </xf>
    <xf borderId="1" fillId="5" fontId="6" numFmtId="0" xfId="0" applyAlignment="1" applyBorder="1" applyFont="1">
      <alignment horizontal="right" readingOrder="0" vertical="bottom"/>
    </xf>
    <xf borderId="1" fillId="5" fontId="8" numFmtId="0" xfId="0" applyAlignment="1" applyBorder="1" applyFont="1">
      <alignment horizontal="right" readingOrder="0" vertical="bottom"/>
    </xf>
    <xf borderId="1" fillId="5" fontId="2" numFmtId="0" xfId="0" applyAlignment="1" applyBorder="1" applyFont="1">
      <alignment horizontal="right" readingOrder="0" vertical="bottom"/>
    </xf>
    <xf borderId="1" fillId="5" fontId="6" numFmtId="164" xfId="0" applyAlignment="1" applyBorder="1" applyFont="1" applyNumberFormat="1">
      <alignment horizontal="right" vertical="bottom"/>
    </xf>
    <xf borderId="1" fillId="0" fontId="10" numFmtId="0" xfId="0" applyAlignment="1" applyBorder="1" applyFont="1">
      <alignment vertical="bottom"/>
    </xf>
    <xf borderId="0" fillId="3" fontId="1" numFmtId="0" xfId="0" applyAlignment="1" applyFont="1">
      <alignment readingOrder="0" vertical="bottom"/>
    </xf>
    <xf borderId="1" fillId="5" fontId="6" numFmtId="0" xfId="0" applyAlignment="1" applyBorder="1" applyFont="1">
      <alignment horizontal="right" vertical="bottom"/>
    </xf>
    <xf borderId="0" fillId="0" fontId="8" numFmtId="2" xfId="0" applyAlignment="1" applyFont="1" applyNumberFormat="1">
      <alignment vertical="bottom"/>
    </xf>
    <xf borderId="0" fillId="0" fontId="13" numFmtId="0" xfId="0" applyAlignment="1" applyFont="1">
      <alignment readingOrder="0" shrinkToFit="0" vertical="bottom" wrapText="1"/>
    </xf>
    <xf borderId="0" fillId="3" fontId="11" numFmtId="0" xfId="0" applyAlignment="1" applyFont="1">
      <alignment horizontal="center" readingOrder="0" vertical="bottom"/>
    </xf>
    <xf borderId="0" fillId="4" fontId="6" numFmtId="0" xfId="0" applyAlignment="1" applyFont="1">
      <alignment readingOrder="0" vertical="bottom"/>
    </xf>
    <xf borderId="0" fillId="4" fontId="2" numFmtId="0" xfId="0" applyAlignment="1" applyFont="1">
      <alignment vertical="bottom"/>
    </xf>
    <xf borderId="0" fillId="4" fontId="2" numFmtId="164" xfId="0" applyAlignment="1" applyFont="1" applyNumberFormat="1">
      <alignment horizontal="right" vertical="bottom"/>
    </xf>
    <xf borderId="0" fillId="4" fontId="12" numFmtId="0" xfId="0" applyAlignment="1" applyFont="1">
      <alignment vertical="bottom"/>
    </xf>
    <xf borderId="0" fillId="7" fontId="2" numFmtId="0" xfId="0" applyAlignment="1" applyFont="1">
      <alignment horizontal="right" readingOrder="0" vertical="bottom"/>
    </xf>
    <xf borderId="1" fillId="5" fontId="8" numFmtId="164" xfId="0" applyAlignment="1" applyBorder="1" applyFont="1" applyNumberFormat="1">
      <alignment horizontal="right" readingOrder="0" vertical="bottom"/>
    </xf>
    <xf borderId="1" fillId="4" fontId="6" numFmtId="164" xfId="0" applyAlignment="1" applyBorder="1" applyFont="1" applyNumberFormat="1">
      <alignment horizontal="right" readingOrder="0" vertical="bottom"/>
    </xf>
    <xf borderId="1" fillId="5" fontId="2" numFmtId="167" xfId="0" applyAlignment="1" applyBorder="1" applyFont="1" applyNumberFormat="1">
      <alignment readingOrder="0" vertical="bottom"/>
    </xf>
    <xf borderId="1" fillId="0" fontId="2" numFmtId="0" xfId="0" applyAlignment="1" applyBorder="1" applyFont="1">
      <alignment readingOrder="0"/>
    </xf>
    <xf borderId="1" fillId="0" fontId="2" numFmtId="167" xfId="0" applyBorder="1" applyFont="1" applyNumberFormat="1"/>
    <xf borderId="0" fillId="7" fontId="6" numFmtId="168" xfId="0" applyAlignment="1" applyFont="1" applyNumberFormat="1">
      <alignment horizontal="right" vertical="bottom"/>
    </xf>
    <xf borderId="0" fillId="8" fontId="2" numFmtId="164" xfId="0" applyAlignment="1" applyFont="1" applyNumberFormat="1">
      <alignment horizontal="right" vertical="bottom"/>
    </xf>
    <xf borderId="0" fillId="7" fontId="6" numFmtId="169" xfId="0" applyAlignment="1" applyFont="1" applyNumberFormat="1">
      <alignment horizontal="right" vertical="bottom"/>
    </xf>
    <xf borderId="1" fillId="0" fontId="2" numFmtId="168" xfId="0" applyAlignment="1" applyBorder="1" applyFont="1" applyNumberFormat="1">
      <alignment horizontal="center" vertical="center"/>
    </xf>
    <xf borderId="0" fillId="8" fontId="2" numFmtId="167" xfId="0" applyAlignment="1" applyFont="1" applyNumberFormat="1">
      <alignment horizontal="right" vertical="bottom"/>
    </xf>
    <xf borderId="0" fillId="7" fontId="2" numFmtId="2" xfId="0" applyAlignment="1" applyFont="1" applyNumberFormat="1">
      <alignment horizontal="right" vertical="bottom"/>
    </xf>
    <xf borderId="0" fillId="8" fontId="2" numFmtId="2" xfId="0" applyAlignment="1" applyFont="1" applyNumberFormat="1">
      <alignment horizontal="right" vertical="bottom"/>
    </xf>
    <xf borderId="0" fillId="0" fontId="1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3.71"/>
    <col customWidth="1" min="2" max="2" width="24.29"/>
    <col customWidth="1" min="3" max="3" width="12.29"/>
    <col customWidth="1" min="5" max="5" width="18.0"/>
  </cols>
  <sheetData>
    <row r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E2" s="4" t="s">
        <v>2</v>
      </c>
      <c r="F2" s="5">
        <v>50.0</v>
      </c>
      <c r="G2" s="6" t="s">
        <v>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4</v>
      </c>
      <c r="B3" s="4" t="s">
        <v>5</v>
      </c>
      <c r="C3" s="8">
        <v>110.0</v>
      </c>
      <c r="D3" s="9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0" t="s">
        <v>7</v>
      </c>
      <c r="B4" s="11" t="s">
        <v>8</v>
      </c>
      <c r="C4" s="12">
        <f>ROUND(2*PI()*H4*F2,4)</f>
        <v>18.8496</v>
      </c>
      <c r="D4" s="9" t="s">
        <v>6</v>
      </c>
      <c r="E4" s="13" t="s">
        <v>9</v>
      </c>
      <c r="F4" s="14"/>
      <c r="G4" s="15" t="s">
        <v>10</v>
      </c>
      <c r="H4" s="16">
        <v>0.06</v>
      </c>
      <c r="I4" s="17" t="s">
        <v>11</v>
      </c>
      <c r="J4" s="18">
        <f t="shared" ref="J4:J5" si="1">H4*(POWER(10,-6))</f>
        <v>0.00000006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0" t="s">
        <v>12</v>
      </c>
      <c r="B5" s="11" t="s">
        <v>13</v>
      </c>
      <c r="C5" s="19">
        <f>ROUND((POWER(10,6)/((2*PI()*H5*F2))),4)</f>
        <v>18.947</v>
      </c>
      <c r="D5" s="9" t="s">
        <v>6</v>
      </c>
      <c r="E5" s="20" t="s">
        <v>14</v>
      </c>
      <c r="F5" s="14"/>
      <c r="G5" s="15" t="s">
        <v>15</v>
      </c>
      <c r="H5" s="16">
        <v>168.0</v>
      </c>
      <c r="I5" s="17" t="s">
        <v>16</v>
      </c>
      <c r="J5" s="18">
        <f t="shared" si="1"/>
        <v>0.000168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17</v>
      </c>
      <c r="B6" s="4" t="s">
        <v>18</v>
      </c>
      <c r="C6" s="21">
        <f>ROUND(F6/SQRT(2),4)</f>
        <v>109.6016</v>
      </c>
      <c r="D6" s="22" t="s">
        <v>19</v>
      </c>
      <c r="E6" s="23" t="s">
        <v>20</v>
      </c>
      <c r="F6" s="24">
        <v>155.0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5" t="s">
        <v>21</v>
      </c>
      <c r="B7" s="4" t="s">
        <v>22</v>
      </c>
      <c r="C7" s="26">
        <v>314.0</v>
      </c>
      <c r="D7" s="27" t="s">
        <v>21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8"/>
      <c r="B9" s="29" t="s">
        <v>23</v>
      </c>
      <c r="F9" s="30" t="s">
        <v>24</v>
      </c>
      <c r="G9" s="31" t="s">
        <v>25</v>
      </c>
      <c r="H9" s="32"/>
      <c r="I9" s="32"/>
      <c r="J9" s="14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8"/>
      <c r="B10" s="2"/>
      <c r="C10" s="2"/>
      <c r="D10" s="2"/>
      <c r="E10" s="2"/>
      <c r="F10" s="33"/>
      <c r="G10" s="34" t="s">
        <v>1</v>
      </c>
      <c r="H10" s="35" t="s">
        <v>26</v>
      </c>
      <c r="I10" s="35" t="s">
        <v>27</v>
      </c>
      <c r="J10" s="36" t="s">
        <v>28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8"/>
      <c r="B11" s="37" t="s">
        <v>29</v>
      </c>
      <c r="C11" s="38" t="s">
        <v>30</v>
      </c>
      <c r="D11" s="39">
        <f>ROUND(F6/SQRT(2),4)</f>
        <v>109.6016</v>
      </c>
      <c r="E11" s="40" t="s">
        <v>19</v>
      </c>
      <c r="F11" s="33"/>
      <c r="G11" s="41"/>
      <c r="H11" s="35" t="s">
        <v>31</v>
      </c>
      <c r="I11" s="35" t="s">
        <v>32</v>
      </c>
      <c r="J11" s="36" t="s">
        <v>33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2"/>
      <c r="B12" s="43" t="s">
        <v>34</v>
      </c>
      <c r="C12" s="44" t="s">
        <v>30</v>
      </c>
      <c r="D12" s="45">
        <f>ROUND(C7/(2*PI()),0)</f>
        <v>50</v>
      </c>
      <c r="E12" s="46" t="s">
        <v>3</v>
      </c>
      <c r="F12" s="33"/>
      <c r="G12" s="47"/>
      <c r="H12" s="35">
        <f>D18</f>
        <v>109.604</v>
      </c>
      <c r="I12" s="35">
        <f>D19-D20</f>
        <v>-0.0971</v>
      </c>
      <c r="J12" s="48">
        <f>D13*D17</f>
        <v>109.604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9" t="s">
        <v>35</v>
      </c>
      <c r="B13" s="37" t="s">
        <v>36</v>
      </c>
      <c r="C13" s="38" t="s">
        <v>30</v>
      </c>
      <c r="D13" s="50">
        <f>ROUND(SQRT(C3^2+(C4-C5)^2),4)</f>
        <v>110</v>
      </c>
      <c r="E13" s="51" t="s">
        <v>6</v>
      </c>
      <c r="F13" s="3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2"/>
      <c r="B14" s="2"/>
      <c r="C14" s="2"/>
      <c r="D14" s="2"/>
      <c r="E14" s="2"/>
      <c r="F14" s="30" t="s">
        <v>37</v>
      </c>
      <c r="G14" s="31" t="s">
        <v>38</v>
      </c>
      <c r="H14" s="32"/>
      <c r="I14" s="32"/>
      <c r="J14" s="1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2"/>
      <c r="B15" s="29" t="s">
        <v>39</v>
      </c>
      <c r="F15" s="33"/>
      <c r="G15" s="34" t="s">
        <v>1</v>
      </c>
      <c r="H15" s="52" t="s">
        <v>4</v>
      </c>
      <c r="I15" s="52" t="s">
        <v>40</v>
      </c>
      <c r="J15" s="36" t="s">
        <v>41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2"/>
      <c r="B16" s="2"/>
      <c r="C16" s="2"/>
      <c r="D16" s="2"/>
      <c r="E16" s="2"/>
      <c r="F16" s="33"/>
      <c r="G16" s="41"/>
      <c r="H16" s="35" t="s">
        <v>31</v>
      </c>
      <c r="I16" s="35" t="s">
        <v>32</v>
      </c>
      <c r="J16" s="36" t="s">
        <v>33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9" t="s">
        <v>42</v>
      </c>
      <c r="B17" s="37" t="s">
        <v>43</v>
      </c>
      <c r="C17" s="38" t="s">
        <v>30</v>
      </c>
      <c r="D17" s="39">
        <f>ROUND(D11/D13,4)</f>
        <v>0.9964</v>
      </c>
      <c r="E17" s="40" t="s">
        <v>44</v>
      </c>
      <c r="F17" s="33"/>
      <c r="G17" s="47"/>
      <c r="H17" s="53">
        <f>C3</f>
        <v>110</v>
      </c>
      <c r="I17" s="54">
        <f>C4-C5</f>
        <v>-0.0974</v>
      </c>
      <c r="J17" s="55">
        <f>D13</f>
        <v>110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9" t="s">
        <v>45</v>
      </c>
      <c r="B18" s="43" t="s">
        <v>46</v>
      </c>
      <c r="C18" s="44" t="s">
        <v>30</v>
      </c>
      <c r="D18" s="45">
        <f>C3*$D$17</f>
        <v>109.604</v>
      </c>
      <c r="E18" s="46" t="s">
        <v>47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9" t="s">
        <v>48</v>
      </c>
      <c r="B19" s="37" t="s">
        <v>49</v>
      </c>
      <c r="C19" s="38" t="s">
        <v>30</v>
      </c>
      <c r="D19" s="39">
        <f t="shared" ref="D19:D20" si="2">ROUND(C4*$D$17,4)</f>
        <v>18.7817</v>
      </c>
      <c r="E19" s="40" t="s">
        <v>47</v>
      </c>
      <c r="F19" s="30" t="s">
        <v>50</v>
      </c>
      <c r="G19" s="56" t="s">
        <v>51</v>
      </c>
      <c r="H19" s="57"/>
      <c r="I19" s="57"/>
      <c r="J19" s="58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9" t="s">
        <v>52</v>
      </c>
      <c r="B20" s="59" t="s">
        <v>53</v>
      </c>
      <c r="C20" s="44" t="s">
        <v>30</v>
      </c>
      <c r="D20" s="45">
        <f t="shared" si="2"/>
        <v>18.8788</v>
      </c>
      <c r="E20" s="46" t="s">
        <v>47</v>
      </c>
      <c r="F20" s="2"/>
      <c r="G20" s="60"/>
      <c r="J20" s="6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9" t="s">
        <v>54</v>
      </c>
      <c r="B21" s="62" t="s">
        <v>55</v>
      </c>
      <c r="C21" s="38" t="s">
        <v>30</v>
      </c>
      <c r="D21" s="63">
        <f>ROUND(ACOS(C3/D13)*180/PI(),4)</f>
        <v>0</v>
      </c>
      <c r="E21" s="40" t="s">
        <v>56</v>
      </c>
      <c r="F21" s="2"/>
      <c r="G21" s="64"/>
      <c r="H21" s="65"/>
      <c r="I21" s="65"/>
      <c r="J21" s="6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2"/>
      <c r="B22" s="67" t="s">
        <v>55</v>
      </c>
      <c r="C22" s="44" t="s">
        <v>30</v>
      </c>
      <c r="D22" s="45">
        <f>ROUND(C3/D13,4)</f>
        <v>1</v>
      </c>
      <c r="E22" s="4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2"/>
      <c r="B24" s="29" t="s">
        <v>57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9" t="s">
        <v>58</v>
      </c>
      <c r="B26" s="62" t="s">
        <v>59</v>
      </c>
      <c r="C26" s="38" t="s">
        <v>30</v>
      </c>
      <c r="D26" s="39">
        <f>ROUND(C3*(D17^2),4)</f>
        <v>109.2094</v>
      </c>
      <c r="E26" s="40" t="s">
        <v>60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9" t="s">
        <v>61</v>
      </c>
      <c r="B27" s="59" t="s">
        <v>62</v>
      </c>
      <c r="C27" s="44" t="s">
        <v>30</v>
      </c>
      <c r="D27" s="45">
        <f>ROUND((C4-C5)*D17^2,4)</f>
        <v>-0.0967</v>
      </c>
      <c r="E27" s="46" t="s">
        <v>63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8" t="s">
        <v>64</v>
      </c>
      <c r="B28" s="59" t="s">
        <v>65</v>
      </c>
      <c r="C28" s="44" t="s">
        <v>30</v>
      </c>
      <c r="D28" s="45">
        <f>ROUND((C4)*D17^2,4)</f>
        <v>18.7141</v>
      </c>
      <c r="E28" s="46" t="s">
        <v>63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8" t="s">
        <v>66</v>
      </c>
      <c r="B29" s="59" t="s">
        <v>67</v>
      </c>
      <c r="C29" s="44" t="s">
        <v>30</v>
      </c>
      <c r="D29" s="45">
        <f>ROUND((C5)*D17^2,4)</f>
        <v>18.8108</v>
      </c>
      <c r="E29" s="46" t="s">
        <v>63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9" t="s">
        <v>68</v>
      </c>
      <c r="B30" s="62" t="s">
        <v>69</v>
      </c>
      <c r="C30" s="38" t="s">
        <v>30</v>
      </c>
      <c r="D30" s="39">
        <f>ROUND(D13*D17^2,4)</f>
        <v>109.2094</v>
      </c>
      <c r="E30" s="40" t="s">
        <v>70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2"/>
      <c r="B32" s="29" t="s">
        <v>71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B34" s="62" t="s">
        <v>72</v>
      </c>
      <c r="C34" s="38" t="s">
        <v>30</v>
      </c>
      <c r="D34" s="39">
        <f>ROUND(D17*SQRT(2),4)</f>
        <v>1.4091</v>
      </c>
      <c r="E34" s="40" t="s">
        <v>44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8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8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8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8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8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8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8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8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8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8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8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8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8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8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8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8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8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8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8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8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8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3">
    <mergeCell ref="G14:J14"/>
    <mergeCell ref="B15:E15"/>
    <mergeCell ref="G15:G17"/>
    <mergeCell ref="G19:J21"/>
    <mergeCell ref="B24:E24"/>
    <mergeCell ref="B32:E32"/>
    <mergeCell ref="A1:J1"/>
    <mergeCell ref="A2:D2"/>
    <mergeCell ref="E4:F4"/>
    <mergeCell ref="E5:F5"/>
    <mergeCell ref="B9:E9"/>
    <mergeCell ref="G9:J9"/>
    <mergeCell ref="G10:G1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3.71"/>
    <col customWidth="1" min="2" max="2" width="19.0"/>
    <col customWidth="1" min="3" max="3" width="12.29"/>
    <col customWidth="1" min="5" max="5" width="18.0"/>
  </cols>
  <sheetData>
    <row r="1">
      <c r="A1" s="69" t="s">
        <v>0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>
      <c r="A2" s="71" t="s">
        <v>1</v>
      </c>
      <c r="E2" s="72" t="s">
        <v>2</v>
      </c>
      <c r="F2" s="73">
        <v>60.0</v>
      </c>
      <c r="G2" s="74" t="s">
        <v>3</v>
      </c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>
      <c r="A3" s="75" t="s">
        <v>4</v>
      </c>
      <c r="B3" s="72" t="s">
        <v>5</v>
      </c>
      <c r="C3" s="76">
        <v>1000.0</v>
      </c>
      <c r="D3" s="77" t="s">
        <v>6</v>
      </c>
      <c r="E3" s="78">
        <f>C3*10^-3</f>
        <v>1</v>
      </c>
      <c r="F3" s="79" t="s">
        <v>73</v>
      </c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>
      <c r="A4" s="75" t="s">
        <v>74</v>
      </c>
      <c r="B4" s="80" t="s">
        <v>8</v>
      </c>
      <c r="C4" s="81">
        <f>ROUND(2*PI()*H4*F2,4)</f>
        <v>565.4867</v>
      </c>
      <c r="D4" s="77" t="s">
        <v>6</v>
      </c>
      <c r="E4" s="82" t="s">
        <v>9</v>
      </c>
      <c r="F4" s="14"/>
      <c r="G4" s="83" t="s">
        <v>10</v>
      </c>
      <c r="H4" s="84">
        <f>1500*(10^-3)</f>
        <v>1.5</v>
      </c>
      <c r="I4" s="85" t="s">
        <v>11</v>
      </c>
      <c r="J4" s="86">
        <f>H4*(POWER(10,3))</f>
        <v>1500</v>
      </c>
      <c r="K4" s="87" t="s">
        <v>75</v>
      </c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>
      <c r="A5" s="75" t="s">
        <v>76</v>
      </c>
      <c r="B5" s="80" t="s">
        <v>13</v>
      </c>
      <c r="C5" s="88">
        <v>0.0</v>
      </c>
      <c r="D5" s="77" t="s">
        <v>6</v>
      </c>
      <c r="E5" s="89" t="s">
        <v>14</v>
      </c>
      <c r="F5" s="14"/>
      <c r="G5" s="83" t="s">
        <v>15</v>
      </c>
      <c r="H5" s="84">
        <v>0.0</v>
      </c>
      <c r="I5" s="85" t="s">
        <v>16</v>
      </c>
      <c r="J5" s="86">
        <f>H5*(POWER(10,-6))</f>
        <v>0</v>
      </c>
      <c r="K5" s="85" t="s">
        <v>16</v>
      </c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>
      <c r="A6" s="75" t="s">
        <v>17</v>
      </c>
      <c r="B6" s="72" t="s">
        <v>18</v>
      </c>
      <c r="C6" s="90">
        <f>F6/SQRT(2)</f>
        <v>229.8097039</v>
      </c>
      <c r="D6" s="91" t="s">
        <v>19</v>
      </c>
      <c r="E6" s="92" t="s">
        <v>20</v>
      </c>
      <c r="F6" s="93">
        <v>325.0</v>
      </c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>
      <c r="A7" s="94" t="s">
        <v>21</v>
      </c>
      <c r="B7" s="72" t="s">
        <v>22</v>
      </c>
      <c r="C7" s="95">
        <f>ROUND((2*PI())*F2,4)</f>
        <v>376.9911</v>
      </c>
      <c r="D7" s="77" t="s">
        <v>21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>
      <c r="A8" s="96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>
      <c r="A9" s="96"/>
      <c r="B9" s="97" t="s">
        <v>23</v>
      </c>
      <c r="F9" s="98" t="s">
        <v>24</v>
      </c>
      <c r="G9" s="99" t="s">
        <v>25</v>
      </c>
      <c r="H9" s="32"/>
      <c r="I9" s="32"/>
      <c r="J9" s="14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>
      <c r="A10" s="96"/>
      <c r="B10" s="70"/>
      <c r="C10" s="70"/>
      <c r="D10" s="70"/>
      <c r="E10" s="70"/>
      <c r="F10" s="100"/>
      <c r="G10" s="101" t="s">
        <v>1</v>
      </c>
      <c r="H10" s="36" t="s">
        <v>77</v>
      </c>
      <c r="I10" s="36" t="s">
        <v>78</v>
      </c>
      <c r="J10" s="36" t="s">
        <v>28</v>
      </c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>
      <c r="A11" s="96"/>
      <c r="B11" s="102" t="s">
        <v>29</v>
      </c>
      <c r="C11" s="103" t="s">
        <v>30</v>
      </c>
      <c r="D11" s="104">
        <f>ROUND(F6/SQRT(2),4)</f>
        <v>229.8097</v>
      </c>
      <c r="E11" s="105" t="s">
        <v>19</v>
      </c>
      <c r="F11" s="100"/>
      <c r="G11" s="41"/>
      <c r="H11" s="48" t="s">
        <v>31</v>
      </c>
      <c r="I11" s="48" t="s">
        <v>32</v>
      </c>
      <c r="J11" s="36" t="s">
        <v>33</v>
      </c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>
      <c r="A12" s="106"/>
      <c r="B12" s="107" t="s">
        <v>34</v>
      </c>
      <c r="C12" s="108" t="s">
        <v>30</v>
      </c>
      <c r="D12" s="109">
        <f>F2</f>
        <v>60</v>
      </c>
      <c r="E12" s="110" t="s">
        <v>3</v>
      </c>
      <c r="F12" s="100"/>
      <c r="G12" s="47"/>
      <c r="H12" s="48">
        <f>C3*D17</f>
        <v>200</v>
      </c>
      <c r="I12" s="48">
        <f>(C4-C5)*D17</f>
        <v>113.09734</v>
      </c>
      <c r="J12" s="48">
        <f>D13*D17</f>
        <v>229.76294</v>
      </c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>
      <c r="A13" s="111" t="s">
        <v>35</v>
      </c>
      <c r="B13" s="112" t="s">
        <v>79</v>
      </c>
      <c r="C13" s="103" t="s">
        <v>30</v>
      </c>
      <c r="D13" s="113">
        <f>ROUND(SQRT(C3^2+(C4-C5)^2),4)</f>
        <v>1148.8147</v>
      </c>
      <c r="E13" s="114" t="s">
        <v>6</v>
      </c>
      <c r="F13" s="10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>
      <c r="A14" s="106"/>
      <c r="B14" s="70"/>
      <c r="C14" s="70"/>
      <c r="D14" s="70"/>
      <c r="E14" s="70"/>
      <c r="F14" s="98" t="s">
        <v>37</v>
      </c>
      <c r="G14" s="99" t="s">
        <v>38</v>
      </c>
      <c r="H14" s="32"/>
      <c r="I14" s="32"/>
      <c r="J14" s="14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>
      <c r="A15" s="106"/>
      <c r="B15" s="97" t="s">
        <v>39</v>
      </c>
      <c r="F15" s="100"/>
      <c r="G15" s="101" t="s">
        <v>1</v>
      </c>
      <c r="H15" s="36" t="s">
        <v>80</v>
      </c>
      <c r="I15" s="36" t="s">
        <v>40</v>
      </c>
      <c r="J15" s="36" t="s">
        <v>41</v>
      </c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>
      <c r="A16" s="106"/>
      <c r="B16" s="70"/>
      <c r="C16" s="70"/>
      <c r="D16" s="70"/>
      <c r="E16" s="70"/>
      <c r="F16" s="100"/>
      <c r="G16" s="41"/>
      <c r="H16" s="48" t="s">
        <v>31</v>
      </c>
      <c r="I16" s="48" t="s">
        <v>32</v>
      </c>
      <c r="J16" s="36" t="s">
        <v>33</v>
      </c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>
      <c r="A17" s="111" t="s">
        <v>42</v>
      </c>
      <c r="B17" s="102" t="s">
        <v>43</v>
      </c>
      <c r="C17" s="103" t="s">
        <v>30</v>
      </c>
      <c r="D17" s="104">
        <f>ROUND(D11/D13,4)</f>
        <v>0.2</v>
      </c>
      <c r="E17" s="105" t="s">
        <v>44</v>
      </c>
      <c r="F17" s="100"/>
      <c r="G17" s="47"/>
      <c r="H17" s="115">
        <f>C3</f>
        <v>1000</v>
      </c>
      <c r="I17" s="116">
        <f>C4-C5</f>
        <v>565.4867</v>
      </c>
      <c r="J17" s="48">
        <f>D13</f>
        <v>1148.8147</v>
      </c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>
      <c r="A18" s="111" t="s">
        <v>45</v>
      </c>
      <c r="B18" s="107" t="s">
        <v>46</v>
      </c>
      <c r="C18" s="108" t="s">
        <v>30</v>
      </c>
      <c r="D18" s="109">
        <f>C3*$D$17</f>
        <v>200</v>
      </c>
      <c r="E18" s="110" t="s">
        <v>47</v>
      </c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>
      <c r="A19" s="111" t="s">
        <v>48</v>
      </c>
      <c r="B19" s="102" t="s">
        <v>49</v>
      </c>
      <c r="C19" s="103" t="s">
        <v>30</v>
      </c>
      <c r="D19" s="104">
        <f t="shared" ref="D19:D20" si="1">ROUND(C4*$D$17,4)</f>
        <v>113.0973</v>
      </c>
      <c r="E19" s="105" t="s">
        <v>47</v>
      </c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>
      <c r="A20" s="111"/>
      <c r="B20" s="117" t="s">
        <v>53</v>
      </c>
      <c r="C20" s="108" t="s">
        <v>30</v>
      </c>
      <c r="D20" s="109">
        <f t="shared" si="1"/>
        <v>0</v>
      </c>
      <c r="E20" s="110" t="s">
        <v>47</v>
      </c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>
      <c r="A21" s="111" t="s">
        <v>81</v>
      </c>
      <c r="B21" s="112" t="s">
        <v>55</v>
      </c>
      <c r="C21" s="103" t="s">
        <v>30</v>
      </c>
      <c r="D21" s="118">
        <f>ROUND(ACOS(C3/D13)*180/PI(),4)</f>
        <v>29.4876</v>
      </c>
      <c r="E21" s="105" t="s">
        <v>56</v>
      </c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>
      <c r="A22" s="111" t="s">
        <v>82</v>
      </c>
      <c r="B22" s="112" t="s">
        <v>55</v>
      </c>
      <c r="C22" s="103" t="s">
        <v>30</v>
      </c>
      <c r="D22" s="119">
        <f>ROUND((C3/D13),9)</f>
        <v>0.870462399</v>
      </c>
      <c r="E22" s="114" t="s">
        <v>83</v>
      </c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>
      <c r="A23" s="106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>
      <c r="A24" s="106"/>
      <c r="B24" s="97" t="s">
        <v>57</v>
      </c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>
      <c r="A25" s="106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>
      <c r="A26" s="111" t="s">
        <v>84</v>
      </c>
      <c r="B26" s="112" t="s">
        <v>59</v>
      </c>
      <c r="C26" s="103" t="s">
        <v>30</v>
      </c>
      <c r="D26" s="104">
        <f>ROUND(C3*(D17^2),4)</f>
        <v>40</v>
      </c>
      <c r="E26" s="105" t="s">
        <v>60</v>
      </c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>
      <c r="A27" s="111" t="s">
        <v>85</v>
      </c>
      <c r="B27" s="117" t="s">
        <v>62</v>
      </c>
      <c r="C27" s="108" t="s">
        <v>30</v>
      </c>
      <c r="D27" s="109">
        <f>ROUND((C4-C5)*D17^2,4)</f>
        <v>22.6195</v>
      </c>
      <c r="E27" s="110" t="s">
        <v>63</v>
      </c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hidden="1">
      <c r="A28" s="120"/>
      <c r="B28" s="107" t="s">
        <v>86</v>
      </c>
      <c r="C28" s="108" t="s">
        <v>30</v>
      </c>
      <c r="D28" s="109">
        <f>ROUND((C4)*D17^2,4)</f>
        <v>22.6195</v>
      </c>
      <c r="E28" s="110" t="s">
        <v>63</v>
      </c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hidden="1">
      <c r="A29" s="120"/>
      <c r="B29" s="107" t="s">
        <v>86</v>
      </c>
      <c r="C29" s="108" t="s">
        <v>30</v>
      </c>
      <c r="D29" s="109">
        <f>ROUND((C5)*D17^2,4)</f>
        <v>0</v>
      </c>
      <c r="E29" s="110" t="s">
        <v>63</v>
      </c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>
      <c r="A30" s="111" t="s">
        <v>87</v>
      </c>
      <c r="B30" s="112" t="s">
        <v>69</v>
      </c>
      <c r="C30" s="103" t="s">
        <v>30</v>
      </c>
      <c r="D30" s="104">
        <f>ROUND(D13*D17^2,4)</f>
        <v>45.9526</v>
      </c>
      <c r="E30" s="105" t="s">
        <v>70</v>
      </c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>
      <c r="A31" s="106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>
      <c r="A32" s="106"/>
      <c r="B32" s="97" t="s">
        <v>71</v>
      </c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>
      <c r="A33" s="106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>
      <c r="B34" s="112" t="s">
        <v>72</v>
      </c>
      <c r="C34" s="103" t="s">
        <v>30</v>
      </c>
      <c r="D34" s="104">
        <f>ROUND(D17*SQRT(2),4)</f>
        <v>0.2828</v>
      </c>
      <c r="E34" s="105" t="s">
        <v>44</v>
      </c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>
      <c r="A35" s="96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>
      <c r="A36" s="96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>
      <c r="A37" s="96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>
      <c r="A38" s="96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>
      <c r="A39" s="96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>
      <c r="A40" s="96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>
      <c r="A41" s="96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>
      <c r="A42" s="96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>
      <c r="A43" s="96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>
      <c r="A44" s="96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>
      <c r="A45" s="96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>
      <c r="A46" s="96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>
      <c r="A47" s="96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>
      <c r="A48" s="96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>
      <c r="A49" s="96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>
      <c r="A50" s="96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>
      <c r="A51" s="96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>
      <c r="A52" s="96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>
      <c r="A53" s="96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>
      <c r="A54" s="96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>
      <c r="A55" s="96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>
      <c r="A56" s="96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>
      <c r="A57" s="96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>
      <c r="A58" s="96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>
      <c r="A59" s="96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>
      <c r="A60" s="96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>
      <c r="A61" s="96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>
      <c r="A62" s="96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>
      <c r="A63" s="96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>
      <c r="A64" s="96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>
      <c r="A65" s="96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>
      <c r="A66" s="96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>
      <c r="A67" s="96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>
      <c r="A68" s="96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>
      <c r="A69" s="96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>
      <c r="A70" s="96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>
      <c r="A71" s="96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>
      <c r="A72" s="96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>
      <c r="A73" s="96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>
      <c r="A74" s="96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>
      <c r="A75" s="96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>
      <c r="A76" s="96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>
      <c r="A77" s="96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>
      <c r="A78" s="96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>
      <c r="A79" s="96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>
      <c r="A80" s="96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>
      <c r="A81" s="96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>
      <c r="A82" s="96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>
      <c r="A83" s="96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>
      <c r="A84" s="96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>
      <c r="A85" s="96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>
      <c r="A86" s="96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>
      <c r="A87" s="96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>
      <c r="A88" s="96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>
      <c r="A89" s="96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>
      <c r="A90" s="96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>
      <c r="A91" s="96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>
      <c r="A92" s="96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>
      <c r="A93" s="96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>
      <c r="A94" s="96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>
      <c r="A95" s="96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>
      <c r="A96" s="96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>
      <c r="A97" s="96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>
      <c r="A98" s="96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>
      <c r="A99" s="96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>
      <c r="A100" s="96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>
      <c r="A101" s="96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>
      <c r="A102" s="96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>
      <c r="A103" s="96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>
      <c r="A104" s="96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>
      <c r="A105" s="96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>
      <c r="A106" s="96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>
      <c r="A107" s="96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>
      <c r="A108" s="96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>
      <c r="A109" s="96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>
      <c r="A110" s="96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>
      <c r="A111" s="96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>
      <c r="A112" s="96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>
      <c r="A113" s="96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>
      <c r="A114" s="96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>
      <c r="A115" s="96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>
      <c r="A116" s="96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>
      <c r="A117" s="96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>
      <c r="A118" s="96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>
      <c r="A119" s="96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>
      <c r="A120" s="96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>
      <c r="A121" s="96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>
      <c r="A122" s="96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>
      <c r="A123" s="96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>
      <c r="A124" s="96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>
      <c r="A125" s="96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>
      <c r="A126" s="96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>
      <c r="A127" s="96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>
      <c r="A128" s="96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>
      <c r="A129" s="96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>
      <c r="A130" s="96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>
      <c r="A131" s="96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>
      <c r="A132" s="96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>
      <c r="A133" s="96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>
      <c r="A134" s="96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>
      <c r="A135" s="96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>
      <c r="A136" s="96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>
      <c r="A137" s="96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>
      <c r="A138" s="96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>
      <c r="A139" s="96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>
      <c r="A140" s="96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>
      <c r="A141" s="96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>
      <c r="A142" s="96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>
      <c r="A143" s="96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>
      <c r="A144" s="96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>
      <c r="A145" s="96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>
      <c r="A146" s="96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>
      <c r="A147" s="96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>
      <c r="A148" s="96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>
      <c r="A149" s="96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>
      <c r="A150" s="96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>
      <c r="A151" s="96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>
      <c r="A152" s="96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>
      <c r="A153" s="96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>
      <c r="A154" s="96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>
      <c r="A155" s="96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>
      <c r="A156" s="96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>
      <c r="A157" s="96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>
      <c r="A158" s="96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>
      <c r="A159" s="96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>
      <c r="A160" s="96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>
      <c r="A161" s="96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>
      <c r="A162" s="96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>
      <c r="A163" s="96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>
      <c r="A164" s="96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>
      <c r="A165" s="96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>
      <c r="A166" s="96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>
      <c r="A167" s="96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>
      <c r="A168" s="96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>
      <c r="A169" s="96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>
      <c r="A170" s="96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>
      <c r="A171" s="96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>
      <c r="A172" s="96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>
      <c r="A173" s="96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>
      <c r="A174" s="96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>
      <c r="A175" s="96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>
      <c r="A176" s="96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>
      <c r="A177" s="96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>
      <c r="A178" s="96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>
      <c r="A179" s="96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>
      <c r="A180" s="96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>
      <c r="A181" s="96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>
      <c r="A182" s="96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>
      <c r="A183" s="96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>
      <c r="A184" s="96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>
      <c r="A185" s="96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>
      <c r="A186" s="96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>
      <c r="A187" s="96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>
      <c r="A188" s="96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>
      <c r="A189" s="96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>
      <c r="A190" s="96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>
      <c r="A191" s="96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>
      <c r="A192" s="96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>
      <c r="A193" s="96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>
      <c r="A194" s="96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>
      <c r="A195" s="96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>
      <c r="A196" s="96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>
      <c r="A197" s="96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>
      <c r="A198" s="96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>
      <c r="A199" s="96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>
      <c r="A200" s="96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>
      <c r="A201" s="96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>
      <c r="A202" s="96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>
      <c r="A203" s="96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>
      <c r="A204" s="96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>
      <c r="A205" s="96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>
      <c r="A206" s="96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>
      <c r="A207" s="96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>
      <c r="A208" s="96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>
      <c r="A209" s="96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>
      <c r="A210" s="96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>
      <c r="A211" s="96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>
      <c r="A212" s="96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>
      <c r="A213" s="96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>
      <c r="A214" s="96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>
      <c r="A215" s="96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>
      <c r="A216" s="96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>
      <c r="A217" s="96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>
      <c r="A218" s="96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>
      <c r="A219" s="96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>
      <c r="A220" s="96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>
      <c r="A221" s="96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>
      <c r="A222" s="96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>
      <c r="A223" s="96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>
      <c r="A224" s="96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>
      <c r="A225" s="96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>
      <c r="A226" s="96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>
      <c r="A227" s="96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>
      <c r="A228" s="96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>
      <c r="A229" s="96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>
      <c r="A230" s="96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>
      <c r="A231" s="96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>
      <c r="A232" s="96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>
      <c r="A233" s="96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>
      <c r="A234" s="96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>
      <c r="A235" s="96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>
      <c r="A236" s="96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>
      <c r="A237" s="96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>
      <c r="A238" s="96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>
      <c r="A239" s="96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>
      <c r="A240" s="96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>
      <c r="A241" s="96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>
      <c r="A242" s="96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>
      <c r="A243" s="96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>
      <c r="A244" s="96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>
      <c r="A245" s="96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>
      <c r="A246" s="96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>
      <c r="A247" s="96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>
      <c r="A248" s="96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>
      <c r="A249" s="96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>
      <c r="A250" s="96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>
      <c r="A251" s="96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>
      <c r="A252" s="96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>
      <c r="A253" s="96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>
      <c r="A254" s="96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>
      <c r="A255" s="96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>
      <c r="A256" s="96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>
      <c r="A257" s="96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>
      <c r="A258" s="96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>
      <c r="A259" s="96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>
      <c r="A260" s="96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>
      <c r="A261" s="96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>
      <c r="A262" s="96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>
      <c r="A263" s="96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>
      <c r="A264" s="96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>
      <c r="A265" s="96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>
      <c r="A266" s="96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>
      <c r="A267" s="96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>
      <c r="A268" s="96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>
      <c r="A269" s="96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>
      <c r="A270" s="96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>
      <c r="A271" s="96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>
      <c r="A272" s="96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>
      <c r="A273" s="96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>
      <c r="A274" s="96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>
      <c r="A275" s="96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>
      <c r="A276" s="96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>
      <c r="A277" s="96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>
      <c r="A278" s="96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>
      <c r="A279" s="96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>
      <c r="A280" s="96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>
      <c r="A281" s="96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>
      <c r="A282" s="96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>
      <c r="A283" s="96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>
      <c r="A284" s="96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>
      <c r="A285" s="96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>
      <c r="A286" s="96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>
      <c r="A287" s="96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>
      <c r="A288" s="96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>
      <c r="A289" s="96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>
      <c r="A290" s="96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>
      <c r="A291" s="96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>
      <c r="A292" s="96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>
      <c r="A293" s="96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>
      <c r="A294" s="96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>
      <c r="A295" s="96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>
      <c r="A296" s="96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>
      <c r="A297" s="96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>
      <c r="A298" s="96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>
      <c r="A299" s="96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>
      <c r="A300" s="96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>
      <c r="A301" s="96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>
      <c r="A302" s="96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>
      <c r="A303" s="96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>
      <c r="A304" s="96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>
      <c r="A305" s="96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>
      <c r="A306" s="96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>
      <c r="A307" s="96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>
      <c r="A308" s="96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>
      <c r="A309" s="96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>
      <c r="A310" s="96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>
      <c r="A311" s="96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>
      <c r="A312" s="96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>
      <c r="A313" s="96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>
      <c r="A314" s="96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>
      <c r="A315" s="96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>
      <c r="A316" s="96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>
      <c r="A317" s="96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>
      <c r="A318" s="96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>
      <c r="A319" s="96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>
      <c r="A320" s="96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>
      <c r="A321" s="96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>
      <c r="A322" s="96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>
      <c r="A323" s="96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>
      <c r="A324" s="96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>
      <c r="A325" s="96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>
      <c r="A326" s="96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>
      <c r="A327" s="96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>
      <c r="A328" s="96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>
      <c r="A329" s="96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>
      <c r="A330" s="96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>
      <c r="A331" s="96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>
      <c r="A332" s="96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>
      <c r="A333" s="96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>
      <c r="A334" s="96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>
      <c r="A335" s="96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>
      <c r="A336" s="96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>
      <c r="A337" s="96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>
      <c r="A338" s="96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>
      <c r="A339" s="96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>
      <c r="A340" s="96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>
      <c r="A341" s="96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>
      <c r="A342" s="96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>
      <c r="A343" s="96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>
      <c r="A344" s="96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>
      <c r="A345" s="96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>
      <c r="A346" s="96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>
      <c r="A347" s="96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>
      <c r="A348" s="96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>
      <c r="A349" s="96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>
      <c r="A350" s="96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>
      <c r="A351" s="96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>
      <c r="A352" s="96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>
      <c r="A353" s="96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>
      <c r="A354" s="96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>
      <c r="A355" s="96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>
      <c r="A356" s="96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>
      <c r="A357" s="96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>
      <c r="A358" s="96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>
      <c r="A359" s="96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>
      <c r="A360" s="96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>
      <c r="A361" s="96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>
      <c r="A362" s="96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>
      <c r="A363" s="96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>
      <c r="A364" s="96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>
      <c r="A365" s="96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>
      <c r="A366" s="96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>
      <c r="A367" s="96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>
      <c r="A368" s="96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>
      <c r="A369" s="96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>
      <c r="A370" s="96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>
      <c r="A371" s="96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>
      <c r="A372" s="96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>
      <c r="A373" s="96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>
      <c r="A374" s="96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>
      <c r="A375" s="96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>
      <c r="A376" s="96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>
      <c r="A377" s="96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>
      <c r="A378" s="96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>
      <c r="A379" s="96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>
      <c r="A380" s="96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>
      <c r="A381" s="96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>
      <c r="A382" s="96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>
      <c r="A383" s="96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>
      <c r="A384" s="96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>
      <c r="A385" s="96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>
      <c r="A386" s="96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>
      <c r="A387" s="96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>
      <c r="A388" s="96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>
      <c r="A389" s="96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>
      <c r="A390" s="96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>
      <c r="A391" s="96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>
      <c r="A392" s="96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>
      <c r="A393" s="96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>
      <c r="A394" s="96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>
      <c r="A395" s="96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>
      <c r="A396" s="96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>
      <c r="A397" s="96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>
      <c r="A398" s="96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>
      <c r="A399" s="96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>
      <c r="A400" s="96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>
      <c r="A401" s="96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>
      <c r="A402" s="96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>
      <c r="A403" s="96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>
      <c r="A404" s="96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>
      <c r="A405" s="96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>
      <c r="A406" s="96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>
      <c r="A407" s="96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>
      <c r="A408" s="96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>
      <c r="A409" s="96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>
      <c r="A410" s="96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>
      <c r="A411" s="96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>
      <c r="A412" s="96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>
      <c r="A413" s="96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>
      <c r="A414" s="96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>
      <c r="A415" s="96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>
      <c r="A416" s="96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>
      <c r="A417" s="96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>
      <c r="A418" s="96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>
      <c r="A419" s="96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>
      <c r="A420" s="96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>
      <c r="A421" s="96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>
      <c r="A422" s="96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>
      <c r="A423" s="96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>
      <c r="A424" s="96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>
      <c r="A425" s="96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>
      <c r="A426" s="96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>
      <c r="A427" s="96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>
      <c r="A428" s="96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>
      <c r="A429" s="96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>
      <c r="A430" s="96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>
      <c r="A431" s="96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>
      <c r="A432" s="96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>
      <c r="A433" s="96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>
      <c r="A434" s="96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>
      <c r="A435" s="96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>
      <c r="A436" s="96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>
      <c r="A437" s="96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>
      <c r="A438" s="96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>
      <c r="A439" s="96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>
      <c r="A440" s="96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>
      <c r="A441" s="96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>
      <c r="A442" s="96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>
      <c r="A443" s="96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>
      <c r="A444" s="96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>
      <c r="A445" s="96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>
      <c r="A446" s="96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>
      <c r="A447" s="96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>
      <c r="A448" s="96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>
      <c r="A449" s="96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>
      <c r="A450" s="96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>
      <c r="A451" s="96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>
      <c r="A452" s="96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>
      <c r="A453" s="96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>
      <c r="A454" s="96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>
      <c r="A455" s="96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>
      <c r="A456" s="96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>
      <c r="A457" s="96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>
      <c r="A458" s="96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>
      <c r="A459" s="96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>
      <c r="A460" s="96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>
      <c r="A461" s="96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>
      <c r="A462" s="96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>
      <c r="A463" s="96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>
      <c r="A464" s="96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>
      <c r="A465" s="96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>
      <c r="A466" s="96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>
      <c r="A467" s="96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>
      <c r="A468" s="96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>
      <c r="A469" s="96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>
      <c r="A470" s="96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>
      <c r="A471" s="96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>
      <c r="A472" s="96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>
      <c r="A473" s="96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>
      <c r="A474" s="96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>
      <c r="A475" s="96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>
      <c r="A476" s="96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>
      <c r="A477" s="96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>
      <c r="A478" s="96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>
      <c r="A479" s="96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>
      <c r="A480" s="96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>
      <c r="A481" s="96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>
      <c r="A482" s="96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>
      <c r="A483" s="96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>
      <c r="A484" s="96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>
      <c r="A485" s="96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>
      <c r="A486" s="96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>
      <c r="A487" s="96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>
      <c r="A488" s="96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>
      <c r="A489" s="96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>
      <c r="A490" s="96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>
      <c r="A491" s="96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>
      <c r="A492" s="96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>
      <c r="A493" s="96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>
      <c r="A494" s="96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>
      <c r="A495" s="96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>
      <c r="A496" s="96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>
      <c r="A497" s="96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>
      <c r="A498" s="96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>
      <c r="A499" s="96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>
      <c r="A500" s="96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>
      <c r="A501" s="96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>
      <c r="A502" s="96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>
      <c r="A503" s="96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>
      <c r="A504" s="96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>
      <c r="A505" s="96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>
      <c r="A506" s="96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>
      <c r="A507" s="96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>
      <c r="A508" s="96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>
      <c r="A509" s="96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>
      <c r="A510" s="96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>
      <c r="A511" s="96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>
      <c r="A512" s="96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>
      <c r="A513" s="96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>
      <c r="A514" s="96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>
      <c r="A515" s="96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>
      <c r="A516" s="96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>
      <c r="A517" s="96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>
      <c r="A518" s="96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>
      <c r="A519" s="96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>
      <c r="A520" s="96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>
      <c r="A521" s="96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>
      <c r="A522" s="96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>
      <c r="A523" s="96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>
      <c r="A524" s="96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>
      <c r="A525" s="96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>
      <c r="A526" s="96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>
      <c r="A527" s="96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>
      <c r="A528" s="96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>
      <c r="A529" s="96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>
      <c r="A530" s="96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>
      <c r="A531" s="96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>
      <c r="A532" s="96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>
      <c r="A533" s="96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>
      <c r="A534" s="96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>
      <c r="A535" s="96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>
      <c r="A536" s="96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>
      <c r="A537" s="96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>
      <c r="A538" s="96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>
      <c r="A539" s="96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>
      <c r="A540" s="96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>
      <c r="A541" s="96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>
      <c r="A542" s="96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>
      <c r="A543" s="96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>
      <c r="A544" s="96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>
      <c r="A545" s="96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>
      <c r="A546" s="96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>
      <c r="A547" s="96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>
      <c r="A548" s="96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>
      <c r="A549" s="96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>
      <c r="A550" s="96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>
      <c r="A551" s="96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>
      <c r="A552" s="96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>
      <c r="A553" s="96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>
      <c r="A554" s="96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>
      <c r="A555" s="96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>
      <c r="A556" s="96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>
      <c r="A557" s="96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>
      <c r="A558" s="96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>
      <c r="A559" s="96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>
      <c r="A560" s="96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>
      <c r="A561" s="96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>
      <c r="A562" s="96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>
      <c r="A563" s="96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>
      <c r="A564" s="96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>
      <c r="A565" s="96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>
      <c r="A566" s="96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>
      <c r="A567" s="96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>
      <c r="A568" s="96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>
      <c r="A569" s="96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>
      <c r="A570" s="96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>
      <c r="A571" s="96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>
      <c r="A572" s="96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>
      <c r="A573" s="96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>
      <c r="A574" s="96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>
      <c r="A575" s="96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>
      <c r="A576" s="96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>
      <c r="A577" s="96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>
      <c r="A578" s="96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>
      <c r="A579" s="96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>
      <c r="A580" s="96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>
      <c r="A581" s="96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>
      <c r="A582" s="96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>
      <c r="A583" s="96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>
      <c r="A584" s="96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>
      <c r="A585" s="96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>
      <c r="A586" s="96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>
      <c r="A587" s="96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>
      <c r="A588" s="96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>
      <c r="A589" s="96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>
      <c r="A590" s="96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>
      <c r="A591" s="96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>
      <c r="A592" s="96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>
      <c r="A593" s="96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>
      <c r="A594" s="96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>
      <c r="A595" s="96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>
      <c r="A596" s="96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>
      <c r="A597" s="96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>
      <c r="A598" s="96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>
      <c r="A599" s="96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>
      <c r="A600" s="96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>
      <c r="A601" s="96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>
      <c r="A602" s="96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>
      <c r="A603" s="96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>
      <c r="A604" s="96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>
      <c r="A605" s="96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>
      <c r="A606" s="96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>
      <c r="A607" s="96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>
      <c r="A608" s="96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>
      <c r="A609" s="96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>
      <c r="A610" s="96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>
      <c r="A611" s="96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>
      <c r="A612" s="96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>
      <c r="A613" s="96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>
      <c r="A614" s="96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>
      <c r="A615" s="96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>
      <c r="A616" s="96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>
      <c r="A617" s="96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>
      <c r="A618" s="96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>
      <c r="A619" s="96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>
      <c r="A620" s="96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>
      <c r="A621" s="96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>
      <c r="A622" s="96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>
      <c r="A623" s="96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>
      <c r="A624" s="96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>
      <c r="A625" s="96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>
      <c r="A626" s="96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>
      <c r="A627" s="96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>
      <c r="A628" s="96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>
      <c r="A629" s="96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>
      <c r="A630" s="96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>
      <c r="A631" s="96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>
      <c r="A632" s="96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>
      <c r="A633" s="96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>
      <c r="A634" s="96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>
      <c r="A635" s="96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>
      <c r="A636" s="96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>
      <c r="A637" s="96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>
      <c r="A638" s="96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>
      <c r="A639" s="96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>
      <c r="A640" s="96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>
      <c r="A641" s="96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>
      <c r="A642" s="96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>
      <c r="A643" s="96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>
      <c r="A644" s="96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>
      <c r="A645" s="96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>
      <c r="A646" s="96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>
      <c r="A647" s="96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>
      <c r="A648" s="96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>
      <c r="A649" s="96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>
      <c r="A650" s="96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>
      <c r="A651" s="96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>
      <c r="A652" s="96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>
      <c r="A653" s="96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>
      <c r="A654" s="96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>
      <c r="A655" s="96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>
      <c r="A656" s="96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>
      <c r="A657" s="96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>
      <c r="A658" s="96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>
      <c r="A659" s="96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>
      <c r="A660" s="96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>
      <c r="A661" s="96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>
      <c r="A662" s="96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>
      <c r="A663" s="96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>
      <c r="A664" s="96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>
      <c r="A665" s="96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>
      <c r="A666" s="96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>
      <c r="A667" s="96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>
      <c r="A668" s="96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>
      <c r="A669" s="96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>
      <c r="A670" s="96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>
      <c r="A671" s="96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>
      <c r="A672" s="96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>
      <c r="A673" s="96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>
      <c r="A674" s="96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>
      <c r="A675" s="96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>
      <c r="A676" s="96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>
      <c r="A677" s="96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>
      <c r="A678" s="96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>
      <c r="A679" s="96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>
      <c r="A680" s="96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>
      <c r="A681" s="96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>
      <c r="A682" s="96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>
      <c r="A683" s="96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>
      <c r="A684" s="96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>
      <c r="A685" s="96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>
      <c r="A686" s="96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>
      <c r="A687" s="96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>
      <c r="A688" s="96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>
      <c r="A689" s="96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>
      <c r="A690" s="96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>
      <c r="A691" s="96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>
      <c r="A692" s="96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>
      <c r="A693" s="96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>
      <c r="A694" s="96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>
      <c r="A695" s="96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>
      <c r="A696" s="96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>
      <c r="A697" s="96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>
      <c r="A698" s="96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>
      <c r="A699" s="96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>
      <c r="A700" s="96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>
      <c r="A701" s="96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>
      <c r="A702" s="96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>
      <c r="A703" s="96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>
      <c r="A704" s="96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>
      <c r="A705" s="96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>
      <c r="A706" s="96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>
      <c r="A707" s="96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>
      <c r="A708" s="96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>
      <c r="A709" s="96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>
      <c r="A710" s="96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>
      <c r="A711" s="96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>
      <c r="A712" s="96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>
      <c r="A713" s="96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>
      <c r="A714" s="96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>
      <c r="A715" s="96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>
      <c r="A716" s="96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>
      <c r="A717" s="96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>
      <c r="A718" s="96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>
      <c r="A719" s="96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>
      <c r="A720" s="96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>
      <c r="A721" s="96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>
      <c r="A722" s="96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>
      <c r="A723" s="96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>
      <c r="A724" s="96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>
      <c r="A725" s="96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>
      <c r="A726" s="96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>
      <c r="A727" s="96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>
      <c r="A728" s="96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>
      <c r="A729" s="96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>
      <c r="A730" s="96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>
      <c r="A731" s="96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>
      <c r="A732" s="96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>
      <c r="A733" s="96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>
      <c r="A734" s="96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>
      <c r="A735" s="96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>
      <c r="A736" s="96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>
      <c r="A737" s="96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>
      <c r="A738" s="96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>
      <c r="A739" s="96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>
      <c r="A740" s="96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>
      <c r="A741" s="96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>
      <c r="A742" s="96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>
      <c r="A743" s="96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>
      <c r="A744" s="96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>
      <c r="A745" s="96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>
      <c r="A746" s="96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>
      <c r="A747" s="96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>
      <c r="A748" s="96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>
      <c r="A749" s="96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>
      <c r="A750" s="96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>
      <c r="A751" s="96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>
      <c r="A752" s="96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>
      <c r="A753" s="96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>
      <c r="A754" s="96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>
      <c r="A755" s="96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>
      <c r="A756" s="96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>
      <c r="A757" s="96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>
      <c r="A758" s="96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>
      <c r="A759" s="96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>
      <c r="A760" s="96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>
      <c r="A761" s="96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>
      <c r="A762" s="96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>
      <c r="A763" s="96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>
      <c r="A764" s="96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>
      <c r="A765" s="96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>
      <c r="A766" s="96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>
      <c r="A767" s="96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>
      <c r="A768" s="96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>
      <c r="A769" s="96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>
      <c r="A770" s="96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>
      <c r="A771" s="96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>
      <c r="A772" s="96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>
      <c r="A773" s="96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>
      <c r="A774" s="96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>
      <c r="A775" s="96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>
      <c r="A776" s="96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>
      <c r="A777" s="96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>
      <c r="A778" s="96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>
      <c r="A779" s="96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>
      <c r="A780" s="96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>
      <c r="A781" s="96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>
      <c r="A782" s="96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>
      <c r="A783" s="96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>
      <c r="A784" s="96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>
      <c r="A785" s="96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>
      <c r="A786" s="96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>
      <c r="A787" s="96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>
      <c r="A788" s="96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>
      <c r="A789" s="96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>
      <c r="A790" s="96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>
      <c r="A791" s="96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>
      <c r="A792" s="96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>
      <c r="A793" s="96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>
      <c r="A794" s="96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>
      <c r="A795" s="96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>
      <c r="A796" s="96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>
      <c r="A797" s="96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>
      <c r="A798" s="96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>
      <c r="A799" s="96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>
      <c r="A800" s="96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>
      <c r="A801" s="96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>
      <c r="A802" s="96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>
      <c r="A803" s="96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>
      <c r="A804" s="96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>
      <c r="A805" s="96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>
      <c r="A806" s="96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>
      <c r="A807" s="96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>
      <c r="A808" s="96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>
      <c r="A809" s="96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>
      <c r="A810" s="96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>
      <c r="A811" s="96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>
      <c r="A812" s="96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>
      <c r="A813" s="96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>
      <c r="A814" s="96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>
      <c r="A815" s="96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>
      <c r="A816" s="96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>
      <c r="A817" s="96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>
      <c r="A818" s="96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>
      <c r="A819" s="96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>
      <c r="A820" s="96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>
      <c r="A821" s="96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>
      <c r="A822" s="96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>
      <c r="A823" s="96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>
      <c r="A824" s="96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>
      <c r="A825" s="96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>
      <c r="A826" s="96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>
      <c r="A827" s="96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>
      <c r="A828" s="96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>
      <c r="A829" s="96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>
      <c r="A830" s="96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>
      <c r="A831" s="96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>
      <c r="A832" s="96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>
      <c r="A833" s="96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>
      <c r="A834" s="96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>
      <c r="A835" s="96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>
      <c r="A836" s="96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>
      <c r="A837" s="96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>
      <c r="A838" s="96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>
      <c r="A839" s="96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>
      <c r="A840" s="96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>
      <c r="A841" s="96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>
      <c r="A842" s="96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>
      <c r="A843" s="96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>
      <c r="A844" s="96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>
      <c r="A845" s="96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>
      <c r="A846" s="96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>
      <c r="A847" s="96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>
      <c r="A848" s="96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>
      <c r="A849" s="96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>
      <c r="A850" s="96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>
      <c r="A851" s="96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>
      <c r="A852" s="96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>
      <c r="A853" s="96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>
      <c r="A854" s="96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>
      <c r="A855" s="96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>
      <c r="A856" s="96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>
      <c r="A857" s="96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>
      <c r="A858" s="96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>
      <c r="A859" s="96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>
      <c r="A860" s="96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>
      <c r="A861" s="96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>
      <c r="A862" s="96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>
      <c r="A863" s="96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>
      <c r="A864" s="96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>
      <c r="A865" s="96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>
      <c r="A866" s="96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>
      <c r="A867" s="96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>
      <c r="A868" s="96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>
      <c r="A869" s="96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>
      <c r="A870" s="96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>
      <c r="A871" s="96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>
      <c r="A872" s="96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>
      <c r="A873" s="96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>
      <c r="A874" s="96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>
      <c r="A875" s="96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>
      <c r="A876" s="96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>
      <c r="A877" s="96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>
      <c r="A878" s="96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>
      <c r="A879" s="96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>
      <c r="A880" s="96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>
      <c r="A881" s="96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>
      <c r="A882" s="96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>
      <c r="A883" s="96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>
      <c r="A884" s="96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>
      <c r="A885" s="96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>
      <c r="A886" s="96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>
      <c r="A887" s="96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>
      <c r="A888" s="96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>
      <c r="A889" s="96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>
      <c r="A890" s="96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>
      <c r="A891" s="96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>
      <c r="A892" s="96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>
      <c r="A893" s="96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>
      <c r="A894" s="96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>
      <c r="A895" s="96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>
      <c r="A896" s="96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>
      <c r="A897" s="96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>
      <c r="A898" s="96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>
      <c r="A899" s="96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>
      <c r="A900" s="96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>
      <c r="A901" s="96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>
      <c r="A902" s="96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>
      <c r="A903" s="96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>
      <c r="A904" s="96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>
      <c r="A905" s="96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>
      <c r="A906" s="96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>
      <c r="A907" s="96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>
      <c r="A908" s="96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>
      <c r="A909" s="96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>
      <c r="A910" s="96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>
      <c r="A911" s="96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>
      <c r="A912" s="96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>
      <c r="A913" s="96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>
      <c r="A914" s="96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>
      <c r="A915" s="96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>
      <c r="A916" s="96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>
      <c r="A917" s="96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>
      <c r="A918" s="96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>
      <c r="A919" s="96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>
      <c r="A920" s="96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>
      <c r="A921" s="96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>
      <c r="A922" s="96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>
      <c r="A923" s="96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>
      <c r="A924" s="96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>
      <c r="A925" s="96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>
      <c r="A926" s="96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>
      <c r="A927" s="96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>
      <c r="A928" s="96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>
      <c r="A929" s="96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>
      <c r="A930" s="96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>
      <c r="A931" s="96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>
      <c r="A932" s="96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>
      <c r="A933" s="96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>
      <c r="A934" s="96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>
      <c r="A935" s="96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>
      <c r="A936" s="96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>
      <c r="A937" s="96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>
      <c r="A938" s="96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>
      <c r="A939" s="96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>
      <c r="A940" s="96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>
      <c r="A941" s="96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>
      <c r="A942" s="96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>
      <c r="A943" s="96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>
      <c r="A944" s="96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>
      <c r="A945" s="96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>
      <c r="A946" s="96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>
      <c r="A947" s="96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>
      <c r="A948" s="96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>
      <c r="A949" s="96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>
      <c r="A950" s="96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>
      <c r="A951" s="96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>
      <c r="A952" s="96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>
      <c r="A953" s="96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>
      <c r="A954" s="96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>
      <c r="A955" s="96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>
      <c r="A956" s="96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>
      <c r="A957" s="96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>
      <c r="A958" s="96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>
      <c r="A959" s="96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>
      <c r="A960" s="96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>
      <c r="A961" s="96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>
      <c r="A962" s="96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>
      <c r="A963" s="96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>
      <c r="A964" s="96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>
      <c r="A965" s="96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>
      <c r="A966" s="96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>
      <c r="A967" s="96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>
      <c r="A968" s="96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>
      <c r="A969" s="96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>
      <c r="A970" s="96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>
      <c r="A971" s="96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>
      <c r="A972" s="96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>
      <c r="A973" s="96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>
      <c r="A974" s="96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>
      <c r="A975" s="96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>
      <c r="A976" s="96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>
      <c r="A977" s="96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>
      <c r="A978" s="96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>
      <c r="A979" s="96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>
      <c r="A980" s="96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>
      <c r="A981" s="96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>
      <c r="A982" s="96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>
      <c r="A983" s="96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>
      <c r="A984" s="96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>
      <c r="A985" s="96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>
      <c r="A986" s="96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>
      <c r="A987" s="96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>
      <c r="A988" s="96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>
      <c r="A989" s="96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>
      <c r="A990" s="96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>
      <c r="A991" s="96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>
      <c r="A992" s="96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>
      <c r="A993" s="96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>
      <c r="A994" s="96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>
      <c r="A995" s="96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>
      <c r="A996" s="96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>
      <c r="A997" s="96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>
      <c r="A998" s="96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>
      <c r="A999" s="96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>
      <c r="A1000" s="96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mergeCells count="12">
    <mergeCell ref="G14:J14"/>
    <mergeCell ref="B15:E15"/>
    <mergeCell ref="G15:G17"/>
    <mergeCell ref="B24:E24"/>
    <mergeCell ref="B32:E32"/>
    <mergeCell ref="A1:J1"/>
    <mergeCell ref="A2:D2"/>
    <mergeCell ref="E4:F4"/>
    <mergeCell ref="E5:F5"/>
    <mergeCell ref="B9:E9"/>
    <mergeCell ref="G9:J9"/>
    <mergeCell ref="G10:G12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3.71"/>
    <col customWidth="1" min="2" max="2" width="27.0"/>
    <col customWidth="1" min="3" max="3" width="14.86"/>
    <col customWidth="1" min="5" max="5" width="18.0"/>
  </cols>
  <sheetData>
    <row r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E2" s="4" t="s">
        <v>2</v>
      </c>
      <c r="F2" s="5">
        <v>50.0</v>
      </c>
      <c r="G2" s="6" t="s">
        <v>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4</v>
      </c>
      <c r="B3" s="4" t="s">
        <v>5</v>
      </c>
      <c r="C3" s="8">
        <v>15.0</v>
      </c>
      <c r="D3" s="9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0" t="s">
        <v>7</v>
      </c>
      <c r="B4" s="11" t="s">
        <v>8</v>
      </c>
      <c r="C4" s="12">
        <f>ROUND(2*PI()*H4*F2,4)</f>
        <v>1.5708</v>
      </c>
      <c r="D4" s="9" t="s">
        <v>6</v>
      </c>
      <c r="E4" s="13" t="s">
        <v>9</v>
      </c>
      <c r="F4" s="14"/>
      <c r="G4" s="15" t="s">
        <v>10</v>
      </c>
      <c r="H4" s="121">
        <v>0.005</v>
      </c>
      <c r="I4" s="17" t="s">
        <v>11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0" t="s">
        <v>88</v>
      </c>
      <c r="B5" s="11" t="s">
        <v>13</v>
      </c>
      <c r="C5" s="122">
        <f>(PI()+D13*SQRT(3))/2</f>
        <v>27.55155844</v>
      </c>
      <c r="D5" s="9" t="s">
        <v>6</v>
      </c>
      <c r="E5" s="123" t="s">
        <v>89</v>
      </c>
      <c r="F5" s="14"/>
      <c r="G5" s="124" t="s">
        <v>90</v>
      </c>
      <c r="H5" s="125">
        <f>ROUND((POWER(10,6)/((2*PI()*C5*F2))),4)</f>
        <v>115.5324</v>
      </c>
      <c r="I5" s="85" t="s">
        <v>16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17</v>
      </c>
      <c r="B6" s="4" t="s">
        <v>18</v>
      </c>
      <c r="C6" s="126">
        <v>150.0</v>
      </c>
      <c r="D6" s="22" t="s">
        <v>19</v>
      </c>
      <c r="E6" s="23" t="s">
        <v>20</v>
      </c>
      <c r="F6" s="127">
        <f>ROUND(C6*SQRT(2),4)</f>
        <v>212.132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5" t="s">
        <v>21</v>
      </c>
      <c r="B7" s="4" t="s">
        <v>22</v>
      </c>
      <c r="C7" s="26">
        <v>314.0</v>
      </c>
      <c r="D7" s="27" t="s">
        <v>21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8"/>
      <c r="B8" s="128" t="s">
        <v>91</v>
      </c>
      <c r="C8" s="129">
        <f>C4+SQRT((D13^2)-(C3^2))</f>
        <v>27.55156211</v>
      </c>
      <c r="D8" s="129">
        <f>C4-SQRT((D13^2)-(C3^2))</f>
        <v>-24.40996211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8"/>
      <c r="B9" s="29" t="s">
        <v>23</v>
      </c>
      <c r="F9" s="30" t="s">
        <v>92</v>
      </c>
      <c r="G9" s="31" t="s">
        <v>25</v>
      </c>
      <c r="H9" s="32"/>
      <c r="I9" s="32"/>
      <c r="J9" s="14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8"/>
      <c r="B10" s="2"/>
      <c r="C10" s="2"/>
      <c r="D10" s="2"/>
      <c r="E10" s="2"/>
      <c r="F10" s="33"/>
      <c r="G10" s="101" t="s">
        <v>1</v>
      </c>
      <c r="H10" s="36" t="s">
        <v>77</v>
      </c>
      <c r="I10" s="36" t="s">
        <v>78</v>
      </c>
      <c r="J10" s="36" t="s">
        <v>28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8"/>
      <c r="B11" s="62" t="s">
        <v>93</v>
      </c>
      <c r="C11" s="38" t="s">
        <v>30</v>
      </c>
      <c r="D11" s="39">
        <f>ROUND(F6/SQRT(2),4)</f>
        <v>150</v>
      </c>
      <c r="E11" s="40" t="s">
        <v>19</v>
      </c>
      <c r="F11" s="33"/>
      <c r="G11" s="41"/>
      <c r="H11" s="48" t="s">
        <v>31</v>
      </c>
      <c r="I11" s="48" t="s">
        <v>32</v>
      </c>
      <c r="J11" s="36" t="s">
        <v>33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8"/>
      <c r="B12" s="43" t="s">
        <v>34</v>
      </c>
      <c r="C12" s="44" t="s">
        <v>30</v>
      </c>
      <c r="D12" s="45">
        <f>ROUND(C7/(2*PI()),0)</f>
        <v>50</v>
      </c>
      <c r="E12" s="46" t="s">
        <v>3</v>
      </c>
      <c r="F12" s="33"/>
      <c r="G12" s="47"/>
      <c r="H12" s="48">
        <f>C3*D17</f>
        <v>75</v>
      </c>
      <c r="I12" s="48">
        <f>(C4-C5)*D17</f>
        <v>-129.9037922</v>
      </c>
      <c r="J12" s="48">
        <f>D13*D17</f>
        <v>150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8"/>
      <c r="B13" s="37" t="s">
        <v>94</v>
      </c>
      <c r="C13" s="38" t="s">
        <v>30</v>
      </c>
      <c r="D13" s="130">
        <f>D11/D17</f>
        <v>30</v>
      </c>
      <c r="E13" s="51" t="s">
        <v>6</v>
      </c>
      <c r="F13" s="3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8"/>
      <c r="B14" s="2"/>
      <c r="C14" s="2"/>
      <c r="D14" s="2"/>
      <c r="E14" s="2"/>
      <c r="F14" s="30" t="s">
        <v>95</v>
      </c>
      <c r="G14" s="31" t="s">
        <v>38</v>
      </c>
      <c r="H14" s="32"/>
      <c r="I14" s="32"/>
      <c r="J14" s="1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8"/>
      <c r="B15" s="29" t="s">
        <v>39</v>
      </c>
      <c r="F15" s="33"/>
      <c r="G15" s="101" t="s">
        <v>1</v>
      </c>
      <c r="H15" s="36" t="s">
        <v>80</v>
      </c>
      <c r="I15" s="36" t="s">
        <v>40</v>
      </c>
      <c r="J15" s="36" t="s">
        <v>41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8"/>
      <c r="B16" s="2"/>
      <c r="C16" s="2"/>
      <c r="D16" s="2"/>
      <c r="E16" s="2"/>
      <c r="F16" s="33"/>
      <c r="G16" s="41"/>
      <c r="H16" s="48" t="s">
        <v>31</v>
      </c>
      <c r="I16" s="48" t="s">
        <v>32</v>
      </c>
      <c r="J16" s="36" t="s">
        <v>33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8"/>
      <c r="B17" s="62" t="s">
        <v>96</v>
      </c>
      <c r="C17" s="38" t="s">
        <v>30</v>
      </c>
      <c r="D17" s="131">
        <v>5.0</v>
      </c>
      <c r="E17" s="40" t="s">
        <v>44</v>
      </c>
      <c r="F17" s="33"/>
      <c r="G17" s="47"/>
      <c r="H17" s="115">
        <f>C3</f>
        <v>15</v>
      </c>
      <c r="I17" s="116">
        <f>C4-C5</f>
        <v>-25.98075844</v>
      </c>
      <c r="J17" s="48">
        <f>D13</f>
        <v>30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32" t="s">
        <v>97</v>
      </c>
      <c r="B18" s="43" t="s">
        <v>46</v>
      </c>
      <c r="C18" s="44" t="s">
        <v>30</v>
      </c>
      <c r="D18" s="45">
        <f>C3*$D$17</f>
        <v>75</v>
      </c>
      <c r="E18" s="46" t="s">
        <v>47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32" t="s">
        <v>98</v>
      </c>
      <c r="B19" s="37" t="s">
        <v>49</v>
      </c>
      <c r="C19" s="38" t="s">
        <v>30</v>
      </c>
      <c r="D19" s="39">
        <f t="shared" ref="D19:D20" si="1">ROUND(C4*$D$17,4)</f>
        <v>7.854</v>
      </c>
      <c r="E19" s="40" t="s">
        <v>47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32" t="s">
        <v>99</v>
      </c>
      <c r="B20" s="59" t="s">
        <v>53</v>
      </c>
      <c r="C20" s="44" t="s">
        <v>30</v>
      </c>
      <c r="D20" s="45">
        <f t="shared" si="1"/>
        <v>137.7578</v>
      </c>
      <c r="E20" s="46" t="s">
        <v>47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32" t="s">
        <v>100</v>
      </c>
      <c r="B21" s="62" t="s">
        <v>55</v>
      </c>
      <c r="C21" s="38" t="s">
        <v>30</v>
      </c>
      <c r="D21" s="63">
        <f>ROUND(ACOS(C3/D13)*180/PI(),4)</f>
        <v>60</v>
      </c>
      <c r="E21" s="40" t="s">
        <v>56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32" t="s">
        <v>101</v>
      </c>
      <c r="B22" s="112" t="s">
        <v>55</v>
      </c>
      <c r="C22" s="103" t="s">
        <v>30</v>
      </c>
      <c r="D22" s="133">
        <f>ROUND((C3/D13),9)</f>
        <v>0.5</v>
      </c>
      <c r="E22" s="114" t="s">
        <v>83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8"/>
      <c r="B24" s="29" t="s">
        <v>57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32" t="s">
        <v>102</v>
      </c>
      <c r="B26" s="62" t="s">
        <v>59</v>
      </c>
      <c r="C26" s="38" t="s">
        <v>30</v>
      </c>
      <c r="D26" s="39">
        <f>ROUND(C3*(D17^2),4)</f>
        <v>375</v>
      </c>
      <c r="E26" s="40" t="s">
        <v>60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32" t="s">
        <v>103</v>
      </c>
      <c r="B27" s="59" t="s">
        <v>104</v>
      </c>
      <c r="C27" s="44" t="s">
        <v>30</v>
      </c>
      <c r="D27" s="45">
        <f>ROUND((C4-C5)*D17^2,4)</f>
        <v>-649.519</v>
      </c>
      <c r="E27" s="46" t="s">
        <v>63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8"/>
      <c r="B28" s="59" t="s">
        <v>105</v>
      </c>
      <c r="C28" s="44" t="s">
        <v>30</v>
      </c>
      <c r="D28" s="45">
        <f>ROUND((C4)*D17^2,4)</f>
        <v>39.27</v>
      </c>
      <c r="E28" s="46" t="s">
        <v>63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8"/>
      <c r="B29" s="59" t="s">
        <v>106</v>
      </c>
      <c r="C29" s="44" t="s">
        <v>30</v>
      </c>
      <c r="D29" s="45">
        <f>ROUND((C5)*D17^2,4)</f>
        <v>688.789</v>
      </c>
      <c r="E29" s="46" t="s">
        <v>63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32" t="s">
        <v>107</v>
      </c>
      <c r="B30" s="37" t="s">
        <v>108</v>
      </c>
      <c r="C30" s="38" t="s">
        <v>30</v>
      </c>
      <c r="D30" s="39">
        <f>ROUND(D13*D17^2,4)</f>
        <v>750</v>
      </c>
      <c r="E30" s="40" t="s">
        <v>70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idden="1">
      <c r="A32" s="28"/>
      <c r="B32" s="29" t="s">
        <v>71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idden="1">
      <c r="A33" s="2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idden="1">
      <c r="A34" s="28"/>
      <c r="B34" s="62" t="s">
        <v>72</v>
      </c>
      <c r="C34" s="38" t="s">
        <v>30</v>
      </c>
      <c r="D34" s="39">
        <f>ROUND(D17*SQRT(2),4)</f>
        <v>7.0711</v>
      </c>
      <c r="E34" s="40" t="s">
        <v>44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8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8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8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8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8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8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8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8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8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8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8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8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8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8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8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8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8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8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8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8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8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G14:J14"/>
    <mergeCell ref="B15:E15"/>
    <mergeCell ref="G15:G17"/>
    <mergeCell ref="B24:E24"/>
    <mergeCell ref="B32:E32"/>
    <mergeCell ref="A1:J1"/>
    <mergeCell ref="A2:D2"/>
    <mergeCell ref="E4:F4"/>
    <mergeCell ref="E5:F5"/>
    <mergeCell ref="B9:E9"/>
    <mergeCell ref="G9:J9"/>
    <mergeCell ref="G10:G1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3.71"/>
    <col customWidth="1" min="2" max="2" width="19.0"/>
    <col customWidth="1" min="3" max="3" width="12.29"/>
    <col customWidth="1" min="5" max="5" width="18.0"/>
    <col customWidth="1" min="7" max="7" width="22.57"/>
  </cols>
  <sheetData>
    <row r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E2" s="4" t="s">
        <v>2</v>
      </c>
      <c r="F2" s="131">
        <v>60.0</v>
      </c>
      <c r="G2" s="6" t="s">
        <v>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4</v>
      </c>
      <c r="B3" s="4" t="s">
        <v>5</v>
      </c>
      <c r="C3" s="134">
        <v>0.0</v>
      </c>
      <c r="D3" s="9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0" t="s">
        <v>7</v>
      </c>
      <c r="B4" s="11" t="s">
        <v>8</v>
      </c>
      <c r="C4" s="135">
        <v>0.0</v>
      </c>
      <c r="D4" s="9" t="s">
        <v>6</v>
      </c>
      <c r="E4" s="13" t="s">
        <v>9</v>
      </c>
      <c r="F4" s="14"/>
      <c r="G4" s="15" t="s">
        <v>10</v>
      </c>
      <c r="H4" s="136">
        <v>0.0</v>
      </c>
      <c r="I4" s="17" t="s">
        <v>11</v>
      </c>
      <c r="J4" s="18">
        <f>H4*(POWER(10,-6))</f>
        <v>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0" t="s">
        <v>12</v>
      </c>
      <c r="B5" s="11" t="s">
        <v>13</v>
      </c>
      <c r="C5" s="19">
        <f>(PI()+D15*SQRT(3))/2</f>
        <v>10.23105036</v>
      </c>
      <c r="D5" s="9" t="s">
        <v>6</v>
      </c>
      <c r="E5" s="123" t="s">
        <v>89</v>
      </c>
      <c r="F5" s="14"/>
      <c r="G5" s="15" t="s">
        <v>15</v>
      </c>
      <c r="H5" s="136">
        <f>ROUND((POWER(10,6)/((2*PI()*C9*F2))),4)</f>
        <v>265.2582</v>
      </c>
      <c r="I5" s="17" t="s">
        <v>16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17</v>
      </c>
      <c r="B6" s="4" t="s">
        <v>18</v>
      </c>
      <c r="C6" s="137">
        <f t="shared" ref="C6:C7" si="1">F6/SQRT(2)</f>
        <v>99.70205615</v>
      </c>
      <c r="D6" s="138" t="s">
        <v>19</v>
      </c>
      <c r="E6" s="23" t="s">
        <v>20</v>
      </c>
      <c r="F6" s="24">
        <v>141.0</v>
      </c>
      <c r="G6" s="23" t="s">
        <v>47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0" t="s">
        <v>109</v>
      </c>
      <c r="B7" s="139" t="s">
        <v>110</v>
      </c>
      <c r="C7" s="137">
        <f t="shared" si="1"/>
        <v>9.970205615</v>
      </c>
      <c r="D7" s="138" t="s">
        <v>19</v>
      </c>
      <c r="E7" s="23" t="s">
        <v>111</v>
      </c>
      <c r="F7" s="24">
        <v>14.1</v>
      </c>
      <c r="G7" s="23" t="s">
        <v>44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5" t="s">
        <v>21</v>
      </c>
      <c r="B8" s="4" t="s">
        <v>22</v>
      </c>
      <c r="C8" s="140">
        <f>ROUND((2*PI())*F2,4)</f>
        <v>376.9911</v>
      </c>
      <c r="D8" s="9" t="s">
        <v>21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8" t="s">
        <v>91</v>
      </c>
      <c r="C9" s="141">
        <f>C4+SQRT((D15^2)-(C3^2))</f>
        <v>10</v>
      </c>
      <c r="D9" s="129">
        <f>C4-SQRT((D15^2)-(C3^2))</f>
        <v>-10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8"/>
      <c r="B11" s="29" t="s">
        <v>23</v>
      </c>
      <c r="F11" s="2"/>
      <c r="G11" s="31" t="s">
        <v>25</v>
      </c>
      <c r="H11" s="32"/>
      <c r="I11" s="32"/>
      <c r="J11" s="1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2"/>
      <c r="B12" s="2"/>
      <c r="C12" s="2"/>
      <c r="D12" s="2"/>
      <c r="E12" s="2"/>
      <c r="F12" s="2"/>
      <c r="G12" s="101" t="s">
        <v>1</v>
      </c>
      <c r="H12" s="36" t="s">
        <v>77</v>
      </c>
      <c r="I12" s="36" t="s">
        <v>78</v>
      </c>
      <c r="J12" s="36" t="s">
        <v>28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9"/>
      <c r="B13" s="62" t="s">
        <v>93</v>
      </c>
      <c r="C13" s="38" t="s">
        <v>30</v>
      </c>
      <c r="D13" s="39">
        <f>ROUND(F6/SQRT(2),4)</f>
        <v>99.7021</v>
      </c>
      <c r="E13" s="40" t="s">
        <v>19</v>
      </c>
      <c r="F13" s="2"/>
      <c r="G13" s="41"/>
      <c r="H13" s="48" t="s">
        <v>31</v>
      </c>
      <c r="I13" s="48" t="s">
        <v>32</v>
      </c>
      <c r="J13" s="36" t="s">
        <v>33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2"/>
      <c r="B14" s="43" t="s">
        <v>34</v>
      </c>
      <c r="C14" s="44" t="s">
        <v>30</v>
      </c>
      <c r="D14" s="45">
        <f>ROUND(C8/(2*PI()),0)</f>
        <v>60</v>
      </c>
      <c r="E14" s="46" t="s">
        <v>3</v>
      </c>
      <c r="F14" s="2"/>
      <c r="G14" s="47"/>
      <c r="H14" s="48">
        <f>C3*D19</f>
        <v>0</v>
      </c>
      <c r="I14" s="48">
        <f>(C4-C9)*D19</f>
        <v>-99.702</v>
      </c>
      <c r="J14" s="48">
        <f>D15*D19</f>
        <v>99.702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2"/>
      <c r="B15" s="37" t="s">
        <v>112</v>
      </c>
      <c r="C15" s="38" t="s">
        <v>30</v>
      </c>
      <c r="D15" s="50">
        <f>ROUND(C6/D19,4)</f>
        <v>10</v>
      </c>
      <c r="E15" s="51" t="s">
        <v>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2"/>
      <c r="B16" s="2"/>
      <c r="C16" s="2"/>
      <c r="D16" s="2"/>
      <c r="E16" s="2"/>
      <c r="F16" s="2"/>
      <c r="G16" s="31" t="s">
        <v>38</v>
      </c>
      <c r="H16" s="32"/>
      <c r="I16" s="32"/>
      <c r="J16" s="1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42"/>
      <c r="B17" s="29" t="s">
        <v>39</v>
      </c>
      <c r="F17" s="2"/>
      <c r="G17" s="101" t="s">
        <v>1</v>
      </c>
      <c r="H17" s="36" t="s">
        <v>80</v>
      </c>
      <c r="I17" s="36" t="s">
        <v>40</v>
      </c>
      <c r="J17" s="36" t="s">
        <v>41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42"/>
      <c r="B18" s="2"/>
      <c r="C18" s="2"/>
      <c r="D18" s="2"/>
      <c r="E18" s="2"/>
      <c r="F18" s="2"/>
      <c r="G18" s="41"/>
      <c r="H18" s="48" t="s">
        <v>31</v>
      </c>
      <c r="I18" s="48" t="s">
        <v>32</v>
      </c>
      <c r="J18" s="36" t="s">
        <v>33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42"/>
      <c r="B19" s="62" t="s">
        <v>96</v>
      </c>
      <c r="C19" s="38" t="s">
        <v>30</v>
      </c>
      <c r="D19" s="39">
        <f>ROUND(F7/SQRT(2),4)</f>
        <v>9.9702</v>
      </c>
      <c r="E19" s="40" t="s">
        <v>44</v>
      </c>
      <c r="F19" s="2"/>
      <c r="G19" s="47"/>
      <c r="H19" s="115">
        <f>C3</f>
        <v>0</v>
      </c>
      <c r="I19" s="115">
        <f>C4-C9</f>
        <v>-10</v>
      </c>
      <c r="J19" s="55">
        <f>D15</f>
        <v>10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42"/>
      <c r="B20" s="43" t="s">
        <v>46</v>
      </c>
      <c r="C20" s="44" t="s">
        <v>30</v>
      </c>
      <c r="D20" s="45">
        <f>C3*$D$19</f>
        <v>0</v>
      </c>
      <c r="E20" s="46" t="s">
        <v>47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42"/>
      <c r="B21" s="62" t="s">
        <v>113</v>
      </c>
      <c r="C21" s="38" t="s">
        <v>30</v>
      </c>
      <c r="D21" s="39">
        <f t="shared" ref="D21:D22" si="2">ROUND(C4*$D$19,4)</f>
        <v>0</v>
      </c>
      <c r="E21" s="40" t="s">
        <v>47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42"/>
      <c r="B22" s="43" t="s">
        <v>114</v>
      </c>
      <c r="C22" s="44" t="s">
        <v>30</v>
      </c>
      <c r="D22" s="45">
        <f t="shared" si="2"/>
        <v>102.0056</v>
      </c>
      <c r="E22" s="46" t="s">
        <v>47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2"/>
      <c r="B23" s="62" t="s">
        <v>55</v>
      </c>
      <c r="C23" s="38" t="s">
        <v>30</v>
      </c>
      <c r="D23" s="63">
        <f>ROUND(ACOS(C3/D15)*180/PI(),4)</f>
        <v>90</v>
      </c>
      <c r="E23" s="40" t="s">
        <v>56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2"/>
      <c r="B24" s="2"/>
      <c r="C24" s="2"/>
      <c r="D24" s="2"/>
      <c r="E24" s="2"/>
      <c r="F24" s="2"/>
      <c r="G24" s="143" t="s">
        <v>115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2"/>
      <c r="B26" s="29" t="s">
        <v>57</v>
      </c>
      <c r="F26" s="2"/>
      <c r="G26" s="62" t="s">
        <v>55</v>
      </c>
      <c r="H26" s="38" t="s">
        <v>30</v>
      </c>
      <c r="I26" s="63">
        <f>ROUND(ACOS(C3/D15)*180/PI(),4)</f>
        <v>90</v>
      </c>
      <c r="J26" s="40" t="s">
        <v>56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2"/>
      <c r="B27" s="2"/>
      <c r="C27" s="2"/>
      <c r="D27" s="2"/>
      <c r="E27" s="2"/>
      <c r="F27" s="2"/>
      <c r="G27" s="37" t="s">
        <v>116</v>
      </c>
      <c r="H27" s="38" t="s">
        <v>30</v>
      </c>
      <c r="I27" s="63" t="str">
        <f>ROUND(ACOS(D22/D13)*180/PI(),4)</f>
        <v>#NUM!</v>
      </c>
      <c r="J27" s="40" t="s">
        <v>56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2"/>
      <c r="B28" s="62" t="s">
        <v>59</v>
      </c>
      <c r="C28" s="38" t="s">
        <v>30</v>
      </c>
      <c r="D28" s="39">
        <f>ROUND(C3*(D19^2),4)</f>
        <v>0</v>
      </c>
      <c r="E28" s="40" t="s">
        <v>60</v>
      </c>
      <c r="F28" s="2"/>
      <c r="G28" s="37" t="s">
        <v>117</v>
      </c>
      <c r="H28" s="38" t="s">
        <v>30</v>
      </c>
      <c r="I28" s="63">
        <f>ROUND(ACOS(D30/(D13*F7))*180/PI(),4)</f>
        <v>90</v>
      </c>
      <c r="J28" s="40" t="s">
        <v>56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2"/>
      <c r="B29" s="59" t="s">
        <v>62</v>
      </c>
      <c r="C29" s="44" t="s">
        <v>30</v>
      </c>
      <c r="D29" s="45">
        <f>ROUND((C4-C5)*D19^2,4)</f>
        <v>-1017.0164</v>
      </c>
      <c r="E29" s="46" t="s">
        <v>63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2"/>
      <c r="B30" s="59" t="s">
        <v>118</v>
      </c>
      <c r="C30" s="44" t="s">
        <v>30</v>
      </c>
      <c r="D30" s="45">
        <f>ROUND((C4)*D19^2,4)</f>
        <v>0</v>
      </c>
      <c r="E30" s="46" t="s">
        <v>63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2"/>
      <c r="B31" s="59" t="s">
        <v>119</v>
      </c>
      <c r="C31" s="44" t="s">
        <v>30</v>
      </c>
      <c r="D31" s="45">
        <f>ROUND((C5)*D19^2,4)</f>
        <v>1017.0164</v>
      </c>
      <c r="E31" s="46" t="s">
        <v>63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2"/>
      <c r="B32" s="37" t="s">
        <v>120</v>
      </c>
      <c r="C32" s="38" t="s">
        <v>30</v>
      </c>
      <c r="D32" s="39">
        <f>ROUND(D15*D19^2,4)</f>
        <v>994.0489</v>
      </c>
      <c r="E32" s="40" t="s">
        <v>70</v>
      </c>
      <c r="F32" s="2"/>
      <c r="G32" s="143" t="s">
        <v>121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2"/>
      <c r="B34" s="29" t="s">
        <v>71</v>
      </c>
      <c r="F34" s="2"/>
      <c r="G34" s="144" t="s">
        <v>122</v>
      </c>
      <c r="H34" s="145" t="s">
        <v>30</v>
      </c>
      <c r="I34" s="146">
        <f>ROUND(ASIN((D23-D24)/D13)*180/PI(),4)</f>
        <v>64.5138</v>
      </c>
      <c r="J34" s="147" t="s">
        <v>56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2"/>
      <c r="B35" s="2"/>
      <c r="C35" s="2"/>
      <c r="D35" s="2"/>
      <c r="E35" s="2"/>
      <c r="F35" s="2"/>
      <c r="G35" s="37" t="s">
        <v>123</v>
      </c>
      <c r="H35" s="38" t="s">
        <v>30</v>
      </c>
      <c r="I35" s="63">
        <f>C5/D15</f>
        <v>1.023105036</v>
      </c>
      <c r="J35" s="40" t="s">
        <v>56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8"/>
      <c r="B36" s="37" t="s">
        <v>109</v>
      </c>
      <c r="C36" s="38" t="s">
        <v>30</v>
      </c>
      <c r="D36" s="148">
        <v>14.1</v>
      </c>
      <c r="E36" s="40" t="s">
        <v>44</v>
      </c>
      <c r="F36" s="2"/>
      <c r="G36" s="144" t="s">
        <v>124</v>
      </c>
      <c r="H36" s="145" t="s">
        <v>30</v>
      </c>
      <c r="I36" s="146">
        <f>ROUND(ASIN((D16-D17)*F7^2)*180/PI(),4)</f>
        <v>0</v>
      </c>
      <c r="J36" s="147" t="s">
        <v>56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8"/>
      <c r="B38" s="2"/>
      <c r="C38" s="2"/>
      <c r="D38" s="2"/>
      <c r="E38" s="2"/>
      <c r="F38" s="2"/>
      <c r="G38" s="143" t="s">
        <v>125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8"/>
      <c r="B40" s="2"/>
      <c r="C40" s="2"/>
      <c r="D40" s="2"/>
      <c r="E40" s="2"/>
      <c r="F40" s="2"/>
      <c r="G40" s="144" t="s">
        <v>126</v>
      </c>
      <c r="H40" s="145" t="s">
        <v>30</v>
      </c>
      <c r="I40" s="146">
        <f>ROUND(ATAN((D23-D24)/D22)*180/PI(),4)</f>
        <v>41.4221</v>
      </c>
      <c r="J40" s="147" t="s">
        <v>56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8"/>
      <c r="B41" s="2"/>
      <c r="C41" s="2"/>
      <c r="D41" s="2"/>
      <c r="E41" s="2"/>
      <c r="F41" s="2"/>
      <c r="G41" s="37" t="s">
        <v>123</v>
      </c>
      <c r="H41" s="38" t="s">
        <v>30</v>
      </c>
      <c r="I41" s="63" t="str">
        <f>ROUND(ATAN((D16-D17)/C3)*180/PI(),4)</f>
        <v>#DIV/0!</v>
      </c>
      <c r="J41" s="40" t="s">
        <v>56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8"/>
      <c r="B42" s="2"/>
      <c r="C42" s="2"/>
      <c r="D42" s="2"/>
      <c r="E42" s="2"/>
      <c r="F42" s="2"/>
      <c r="G42" s="144" t="s">
        <v>124</v>
      </c>
      <c r="H42" s="145" t="s">
        <v>30</v>
      </c>
      <c r="I42" s="146">
        <f>ROUND(ATAN(D31/(D13*F7))*180/PI(),4)</f>
        <v>35.8836</v>
      </c>
      <c r="J42" s="147" t="s">
        <v>56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8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8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8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8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8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8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8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8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8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8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8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8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8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8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8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8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8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8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8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8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8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6">
    <mergeCell ref="A1:J1"/>
    <mergeCell ref="A2:D2"/>
    <mergeCell ref="E4:F4"/>
    <mergeCell ref="E5:F5"/>
    <mergeCell ref="A9:B9"/>
    <mergeCell ref="B11:E11"/>
    <mergeCell ref="G11:J11"/>
    <mergeCell ref="G32:J32"/>
    <mergeCell ref="G38:J38"/>
    <mergeCell ref="G12:G14"/>
    <mergeCell ref="G16:J16"/>
    <mergeCell ref="B17:E17"/>
    <mergeCell ref="G17:G19"/>
    <mergeCell ref="G24:J24"/>
    <mergeCell ref="B26:E26"/>
    <mergeCell ref="B34:E3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3.71"/>
    <col customWidth="1" min="2" max="2" width="23.86"/>
    <col customWidth="1" min="3" max="3" width="12.29"/>
    <col customWidth="1" min="5" max="5" width="18.0"/>
    <col customWidth="1" min="6" max="6" width="7.0"/>
    <col customWidth="1" min="7" max="7" width="17.43"/>
  </cols>
  <sheetData>
    <row r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E2" s="4" t="s">
        <v>2</v>
      </c>
      <c r="F2" s="131">
        <v>50.0</v>
      </c>
      <c r="G2" s="6" t="s">
        <v>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4</v>
      </c>
      <c r="B3" s="4" t="s">
        <v>5</v>
      </c>
      <c r="C3" s="134">
        <v>0.5</v>
      </c>
      <c r="D3" s="9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0" t="s">
        <v>7</v>
      </c>
      <c r="B4" s="11" t="s">
        <v>8</v>
      </c>
      <c r="C4" s="149">
        <f>D14</f>
        <v>9.987492178</v>
      </c>
      <c r="D4" s="9" t="s">
        <v>6</v>
      </c>
      <c r="E4" s="13" t="s">
        <v>9</v>
      </c>
      <c r="F4" s="14"/>
      <c r="G4" s="15" t="s">
        <v>10</v>
      </c>
      <c r="H4" s="136">
        <f>ROUND(C4/(2*PI()*F2),7)</f>
        <v>0.0317912</v>
      </c>
      <c r="I4" s="17" t="s">
        <v>11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0" t="s">
        <v>12</v>
      </c>
      <c r="B5" s="11" t="s">
        <v>13</v>
      </c>
      <c r="C5" s="149">
        <v>0.0</v>
      </c>
      <c r="D5" s="9" t="s">
        <v>6</v>
      </c>
      <c r="E5" s="123" t="s">
        <v>89</v>
      </c>
      <c r="F5" s="14"/>
      <c r="G5" s="15" t="s">
        <v>15</v>
      </c>
      <c r="H5" s="136">
        <v>0.0</v>
      </c>
      <c r="I5" s="17" t="s">
        <v>16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17</v>
      </c>
      <c r="B6" s="4" t="s">
        <v>18</v>
      </c>
      <c r="C6" s="150">
        <v>12.0</v>
      </c>
      <c r="D6" s="138" t="s">
        <v>19</v>
      </c>
      <c r="E6" s="23" t="s">
        <v>20</v>
      </c>
      <c r="F6" s="151">
        <f>ROUND(C6*SQRT(2),4)</f>
        <v>16.9706</v>
      </c>
      <c r="G6" s="23" t="s">
        <v>47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0" t="s">
        <v>109</v>
      </c>
      <c r="B7" s="139" t="s">
        <v>110</v>
      </c>
      <c r="C7" s="24">
        <v>1.2</v>
      </c>
      <c r="D7" s="23" t="s">
        <v>44</v>
      </c>
      <c r="E7" s="152" t="s">
        <v>111</v>
      </c>
      <c r="F7" s="153">
        <f>C7*SQRT(2)</f>
        <v>1.697056275</v>
      </c>
      <c r="G7" s="152" t="s">
        <v>44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5" t="s">
        <v>21</v>
      </c>
      <c r="B8" s="4" t="s">
        <v>22</v>
      </c>
      <c r="C8" s="140">
        <f>ROUND((2*PI())*F2,4)</f>
        <v>314.1593</v>
      </c>
      <c r="D8" s="9" t="s">
        <v>21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8"/>
      <c r="B9" s="29" t="s">
        <v>23</v>
      </c>
      <c r="F9" s="2"/>
      <c r="G9" s="31" t="s">
        <v>25</v>
      </c>
      <c r="H9" s="32"/>
      <c r="I9" s="32"/>
      <c r="J9" s="14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8"/>
      <c r="B10" s="2"/>
      <c r="C10" s="2"/>
      <c r="D10" s="2"/>
      <c r="E10" s="2"/>
      <c r="F10" s="2"/>
      <c r="G10" s="101" t="s">
        <v>1</v>
      </c>
      <c r="H10" s="36" t="s">
        <v>77</v>
      </c>
      <c r="I10" s="36" t="s">
        <v>78</v>
      </c>
      <c r="J10" s="36" t="s">
        <v>28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8"/>
      <c r="B11" s="62" t="s">
        <v>93</v>
      </c>
      <c r="C11" s="38" t="s">
        <v>30</v>
      </c>
      <c r="D11" s="39">
        <f>ROUND(F6/SQRT(2),4)</f>
        <v>12</v>
      </c>
      <c r="E11" s="40" t="s">
        <v>19</v>
      </c>
      <c r="F11" s="2"/>
      <c r="G11" s="41"/>
      <c r="H11" s="48" t="s">
        <v>31</v>
      </c>
      <c r="I11" s="48" t="s">
        <v>32</v>
      </c>
      <c r="J11" s="36" t="s">
        <v>33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2"/>
      <c r="B12" s="43" t="s">
        <v>34</v>
      </c>
      <c r="C12" s="44" t="s">
        <v>30</v>
      </c>
      <c r="D12" s="45">
        <f>ROUND(C8/(2*PI()),0)</f>
        <v>50</v>
      </c>
      <c r="E12" s="46" t="s">
        <v>3</v>
      </c>
      <c r="F12" s="2"/>
      <c r="G12" s="47"/>
      <c r="H12" s="48">
        <f>C3*C7</f>
        <v>0.6</v>
      </c>
      <c r="I12" s="48">
        <f>(C4-C5)*C7</f>
        <v>11.98499061</v>
      </c>
      <c r="J12" s="48">
        <f>D13*C7</f>
        <v>12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9" t="s">
        <v>127</v>
      </c>
      <c r="B13" s="37" t="s">
        <v>128</v>
      </c>
      <c r="C13" s="38" t="s">
        <v>30</v>
      </c>
      <c r="D13" s="154">
        <f>ROUND(C6/C7,4)</f>
        <v>10</v>
      </c>
      <c r="E13" s="51" t="s">
        <v>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42" t="s">
        <v>129</v>
      </c>
      <c r="B14" s="43" t="s">
        <v>130</v>
      </c>
      <c r="C14" s="44" t="s">
        <v>30</v>
      </c>
      <c r="D14" s="155">
        <f>SQRT((D13^2)-(C3^2))+C5</f>
        <v>9.987492178</v>
      </c>
      <c r="E14" s="46" t="s">
        <v>6</v>
      </c>
      <c r="F14" s="2"/>
      <c r="G14" s="31" t="s">
        <v>38</v>
      </c>
      <c r="H14" s="32"/>
      <c r="I14" s="32"/>
      <c r="J14" s="1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2"/>
      <c r="B15" s="37" t="s">
        <v>131</v>
      </c>
      <c r="C15" s="38" t="s">
        <v>30</v>
      </c>
      <c r="D15" s="156">
        <f>D14-SQRT(D13^2-C3^2)</f>
        <v>0</v>
      </c>
      <c r="E15" s="51" t="s">
        <v>6</v>
      </c>
      <c r="F15" s="2"/>
      <c r="G15" s="101" t="s">
        <v>1</v>
      </c>
      <c r="H15" s="36" t="s">
        <v>80</v>
      </c>
      <c r="I15" s="36" t="s">
        <v>40</v>
      </c>
      <c r="J15" s="36" t="s">
        <v>41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2"/>
      <c r="F16" s="2"/>
      <c r="G16" s="41"/>
      <c r="H16" s="48" t="s">
        <v>31</v>
      </c>
      <c r="I16" s="48" t="s">
        <v>32</v>
      </c>
      <c r="J16" s="36" t="s">
        <v>33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42"/>
      <c r="B17" s="29" t="s">
        <v>39</v>
      </c>
      <c r="F17" s="2"/>
      <c r="G17" s="47"/>
      <c r="H17" s="115">
        <f>C3</f>
        <v>0.5</v>
      </c>
      <c r="I17" s="116">
        <f>C4-C5</f>
        <v>9.987492178</v>
      </c>
      <c r="J17" s="157">
        <f>D13</f>
        <v>10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4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42"/>
      <c r="B19" s="43" t="s">
        <v>46</v>
      </c>
      <c r="C19" s="44" t="s">
        <v>30</v>
      </c>
      <c r="D19" s="158">
        <f>C3*C7</f>
        <v>0.6</v>
      </c>
      <c r="E19" s="46" t="s">
        <v>47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42"/>
      <c r="B20" s="37" t="s">
        <v>49</v>
      </c>
      <c r="C20" s="38" t="s">
        <v>30</v>
      </c>
      <c r="D20" s="159">
        <f>ROUND(D14*C7,4)</f>
        <v>11.985</v>
      </c>
      <c r="E20" s="40" t="s">
        <v>47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42"/>
      <c r="B21" s="59" t="s">
        <v>53</v>
      </c>
      <c r="C21" s="44" t="s">
        <v>30</v>
      </c>
      <c r="D21" s="45">
        <f>ROUND(C5*C7,4)</f>
        <v>0</v>
      </c>
      <c r="E21" s="46" t="s">
        <v>47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42" t="s">
        <v>132</v>
      </c>
      <c r="B22" s="62" t="s">
        <v>55</v>
      </c>
      <c r="C22" s="38" t="s">
        <v>30</v>
      </c>
      <c r="D22" s="63">
        <f>ROUND(ACOS(C3/D13)*180/PI(),4)</f>
        <v>87.134</v>
      </c>
      <c r="E22" s="40" t="s">
        <v>56</v>
      </c>
      <c r="F22" s="2"/>
      <c r="G22" s="143" t="s">
        <v>115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2"/>
      <c r="B24" s="29" t="s">
        <v>57</v>
      </c>
      <c r="F24" s="2"/>
      <c r="G24" s="62" t="s">
        <v>55</v>
      </c>
      <c r="H24" s="38" t="s">
        <v>30</v>
      </c>
      <c r="I24" s="63">
        <f>ROUND(ACOS(C3/D13)*180/PI(),4)</f>
        <v>87.134</v>
      </c>
      <c r="J24" s="40" t="s">
        <v>56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2"/>
      <c r="B25" s="2"/>
      <c r="C25" s="2"/>
      <c r="D25" s="2"/>
      <c r="E25" s="2"/>
      <c r="F25" s="2"/>
      <c r="G25" s="37" t="s">
        <v>116</v>
      </c>
      <c r="H25" s="38" t="s">
        <v>30</v>
      </c>
      <c r="I25" s="63">
        <f>ROUND(ACOS(D19/D11)*180/PI(),4)</f>
        <v>87.134</v>
      </c>
      <c r="J25" s="40" t="s">
        <v>56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2"/>
      <c r="B26" s="62" t="s">
        <v>59</v>
      </c>
      <c r="C26" s="38" t="s">
        <v>30</v>
      </c>
      <c r="D26" s="39">
        <f>ROUND(C3*(C7^2),4)</f>
        <v>0.72</v>
      </c>
      <c r="E26" s="40" t="s">
        <v>60</v>
      </c>
      <c r="F26" s="2"/>
      <c r="G26" s="37" t="s">
        <v>117</v>
      </c>
      <c r="H26" s="38" t="s">
        <v>30</v>
      </c>
      <c r="I26" s="63">
        <f>ROUND(ACOS(D26/(D11*C7))*180/PI(),4)</f>
        <v>87.134</v>
      </c>
      <c r="J26" s="40" t="s">
        <v>56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2"/>
      <c r="B27" s="59" t="s">
        <v>104</v>
      </c>
      <c r="C27" s="44" t="s">
        <v>30</v>
      </c>
      <c r="D27" s="45">
        <f>ROUND((C4-C5)*C7^2,4)</f>
        <v>14.382</v>
      </c>
      <c r="E27" s="46" t="s">
        <v>63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2"/>
      <c r="B28" s="59" t="s">
        <v>133</v>
      </c>
      <c r="C28" s="44" t="s">
        <v>30</v>
      </c>
      <c r="D28" s="160">
        <f>ROUND((C4)*C7^2,4)</f>
        <v>14.382</v>
      </c>
      <c r="E28" s="46" t="s">
        <v>63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2"/>
      <c r="B29" s="59" t="s">
        <v>106</v>
      </c>
      <c r="C29" s="44" t="s">
        <v>30</v>
      </c>
      <c r="D29" s="45">
        <f>ROUND((C5)*C7^2,4)</f>
        <v>0</v>
      </c>
      <c r="E29" s="46" t="s">
        <v>63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2"/>
      <c r="B30" s="37" t="s">
        <v>134</v>
      </c>
      <c r="C30" s="38" t="s">
        <v>30</v>
      </c>
      <c r="D30" s="39">
        <f>ROUND(D13*C7^2,4)</f>
        <v>14.4</v>
      </c>
      <c r="E30" s="40" t="s">
        <v>70</v>
      </c>
      <c r="F30" s="2"/>
      <c r="G30" s="143" t="s">
        <v>121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2"/>
      <c r="F32" s="2"/>
      <c r="G32" s="144" t="s">
        <v>122</v>
      </c>
      <c r="H32" s="145" t="s">
        <v>30</v>
      </c>
      <c r="I32" s="146">
        <f>ROUND(ASIN((D20-D21)/D11)*180/PI(),4)</f>
        <v>87.1349</v>
      </c>
      <c r="J32" s="147" t="s">
        <v>56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2"/>
      <c r="B33" s="2"/>
      <c r="C33" s="2"/>
      <c r="D33" s="2"/>
      <c r="E33" s="2"/>
      <c r="F33" s="2"/>
      <c r="G33" s="37" t="s">
        <v>123</v>
      </c>
      <c r="H33" s="38" t="s">
        <v>30</v>
      </c>
      <c r="I33" s="63">
        <f>ROUND(ASIN((D14-D15)/D13)*180/PI(),4)</f>
        <v>87.134</v>
      </c>
      <c r="J33" s="40" t="s">
        <v>56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2"/>
      <c r="B34" s="161"/>
      <c r="C34" s="42"/>
      <c r="D34" s="42"/>
      <c r="E34" s="42"/>
      <c r="F34" s="2"/>
      <c r="G34" s="144" t="s">
        <v>124</v>
      </c>
      <c r="H34" s="145" t="s">
        <v>30</v>
      </c>
      <c r="I34" s="146" t="str">
        <f>ROUND(ASIN((D14-D15)*C7^2)*180/PI(),4)</f>
        <v>#NUM!</v>
      </c>
      <c r="J34" s="147" t="s">
        <v>56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2"/>
      <c r="B35" s="161"/>
      <c r="C35" s="42"/>
      <c r="D35" s="42"/>
      <c r="E35" s="4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8"/>
      <c r="B36" s="161"/>
      <c r="C36" s="28"/>
      <c r="D36" s="28"/>
      <c r="E36" s="28"/>
      <c r="F36" s="2"/>
      <c r="G36" s="143" t="s">
        <v>125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8"/>
      <c r="B38" s="2"/>
      <c r="C38" s="2"/>
      <c r="D38" s="2"/>
      <c r="E38" s="2"/>
      <c r="F38" s="2"/>
      <c r="G38" s="144" t="s">
        <v>126</v>
      </c>
      <c r="H38" s="145" t="s">
        <v>30</v>
      </c>
      <c r="I38" s="146">
        <f>ROUND(ATAN((D20-D21)/D19)*180/PI(),4)</f>
        <v>87.134</v>
      </c>
      <c r="J38" s="147" t="s">
        <v>56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8"/>
      <c r="B39" s="2"/>
      <c r="C39" s="2"/>
      <c r="D39" s="2"/>
      <c r="E39" s="2"/>
      <c r="F39" s="2"/>
      <c r="G39" s="37" t="s">
        <v>123</v>
      </c>
      <c r="H39" s="38" t="s">
        <v>30</v>
      </c>
      <c r="I39" s="63">
        <f>ROUND(ATAN((D14-D15)/C3)*180/PI(),4)</f>
        <v>87.134</v>
      </c>
      <c r="J39" s="40" t="s">
        <v>56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8"/>
      <c r="B40" s="2"/>
      <c r="C40" s="2"/>
      <c r="D40" s="2"/>
      <c r="E40" s="2"/>
      <c r="F40" s="2"/>
      <c r="G40" s="144" t="s">
        <v>124</v>
      </c>
      <c r="H40" s="145" t="s">
        <v>30</v>
      </c>
      <c r="I40" s="146">
        <f>ROUND(ATAN(D27/(D11*C7))*180/PI(),4)</f>
        <v>44.9642</v>
      </c>
      <c r="J40" s="147" t="s">
        <v>56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8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8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8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8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8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8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8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8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8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8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8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8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8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8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8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8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8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8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8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8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8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4">
    <mergeCell ref="G10:G12"/>
    <mergeCell ref="G15:G17"/>
    <mergeCell ref="G22:J22"/>
    <mergeCell ref="G30:J30"/>
    <mergeCell ref="G36:J36"/>
    <mergeCell ref="B17:E17"/>
    <mergeCell ref="B24:E24"/>
    <mergeCell ref="A1:J1"/>
    <mergeCell ref="A2:D2"/>
    <mergeCell ref="E4:F4"/>
    <mergeCell ref="E5:F5"/>
    <mergeCell ref="B9:E9"/>
    <mergeCell ref="G9:J9"/>
    <mergeCell ref="G14:J1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