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u\Desktop\BAUL - 2020\ELECTRICIDAD\"/>
    </mc:Choice>
  </mc:AlternateContent>
  <bookViews>
    <workbookView xWindow="0" yWindow="0" windowWidth="7560" windowHeight="1935" activeTab="1"/>
  </bookViews>
  <sheets>
    <sheet name="PARALELO_1" sheetId="1" r:id="rId1"/>
    <sheet name="PARALELO_D" sheetId="6" r:id="rId2"/>
    <sheet name="CORRECCION_D" sheetId="7" r:id="rId3"/>
    <sheet name="CORRECCION_1" sheetId="2" r:id="rId4"/>
    <sheet name="RESONANCIA_1" sheetId="3" r:id="rId5"/>
    <sheet name="CORRECCIÓN_2" sheetId="4" r:id="rId6"/>
    <sheet name="CORRECCIÓN_3" sheetId="5" r:id="rId7"/>
  </sheets>
  <definedNames>
    <definedName name="Ainicial">CORRECCION_1!$C$10</definedName>
    <definedName name="CosPhi">CORRECCION_1!$C$5</definedName>
    <definedName name="CosPhiUTE">CORRECCION_1!$G$5</definedName>
    <definedName name="Pactiva">CORRECCION_1!$C$8</definedName>
    <definedName name="Scorregida">CORRECCION_1!$G$14</definedName>
    <definedName name="Vtotal">CORRECCION_1!$C$11</definedName>
  </definedNames>
  <calcPr calcId="152511"/>
</workbook>
</file>

<file path=xl/calcChain.xml><?xml version="1.0" encoding="utf-8"?>
<calcChain xmlns="http://schemas.openxmlformats.org/spreadsheetml/2006/main">
  <c r="G25" i="7" l="1"/>
  <c r="F24" i="7"/>
  <c r="F22" i="7"/>
  <c r="G18" i="7"/>
  <c r="G17" i="7"/>
  <c r="G16" i="7"/>
  <c r="G15" i="7"/>
  <c r="G14" i="7"/>
  <c r="G12" i="7"/>
  <c r="G11" i="7"/>
  <c r="G10" i="7"/>
  <c r="G8" i="7"/>
  <c r="G7" i="7"/>
  <c r="G6" i="7"/>
  <c r="C15" i="7"/>
  <c r="C12" i="7"/>
  <c r="C11" i="7"/>
  <c r="C10" i="7"/>
  <c r="C9" i="7"/>
  <c r="C8" i="7"/>
  <c r="C7" i="7"/>
  <c r="C6" i="7"/>
  <c r="C5" i="7"/>
  <c r="C27" i="6"/>
  <c r="C26" i="6"/>
  <c r="C25" i="6"/>
  <c r="C24" i="6"/>
  <c r="C23" i="6"/>
  <c r="C22" i="6"/>
  <c r="C19" i="6"/>
  <c r="C16" i="6"/>
  <c r="C15" i="6"/>
  <c r="G14" i="6"/>
  <c r="G13" i="6"/>
  <c r="G12" i="6"/>
  <c r="G11" i="6"/>
  <c r="C13" i="6"/>
  <c r="C12" i="6"/>
  <c r="C11" i="6"/>
  <c r="B23" i="5"/>
  <c r="M17" i="5"/>
  <c r="G15" i="5"/>
  <c r="G18" i="5" s="1"/>
  <c r="M12" i="5" s="1"/>
  <c r="C15" i="5"/>
  <c r="J12" i="5"/>
  <c r="C8" i="5"/>
  <c r="G7" i="5"/>
  <c r="G6" i="5"/>
  <c r="C6" i="5"/>
  <c r="O13" i="5" s="1"/>
  <c r="D5" i="5"/>
  <c r="C5" i="5"/>
  <c r="C7" i="5" s="1"/>
  <c r="F22" i="5" s="1"/>
  <c r="W4" i="5"/>
  <c r="B23" i="4"/>
  <c r="G17" i="4"/>
  <c r="N7" i="4" s="1"/>
  <c r="G15" i="4"/>
  <c r="G16" i="4" s="1"/>
  <c r="C15" i="4"/>
  <c r="N12" i="4"/>
  <c r="K7" i="4"/>
  <c r="G7" i="4"/>
  <c r="G6" i="4"/>
  <c r="C6" i="4"/>
  <c r="P8" i="4" s="1"/>
  <c r="D5" i="4"/>
  <c r="C5" i="4"/>
  <c r="C8" i="4" s="1"/>
  <c r="W4" i="4"/>
  <c r="D12" i="3"/>
  <c r="D6" i="3"/>
  <c r="E12" i="2"/>
  <c r="C9" i="2"/>
  <c r="G7" i="2"/>
  <c r="G6" i="2"/>
  <c r="W4" i="2"/>
  <c r="E19" i="1"/>
  <c r="E17" i="1"/>
  <c r="C17" i="1"/>
  <c r="D11" i="1"/>
  <c r="F6" i="1"/>
  <c r="J5" i="1"/>
  <c r="C5" i="1"/>
  <c r="G9" i="1" s="1"/>
  <c r="J4" i="1"/>
  <c r="C4" i="1"/>
  <c r="G25" i="5" l="1"/>
  <c r="F24" i="5"/>
  <c r="G17" i="5"/>
  <c r="G14" i="5"/>
  <c r="F9" i="1"/>
  <c r="F10" i="1" s="1"/>
  <c r="D12" i="1"/>
  <c r="C18" i="1"/>
  <c r="D24" i="1"/>
  <c r="C8" i="2" s="1"/>
  <c r="I14" i="1"/>
  <c r="C19" i="1"/>
  <c r="G16" i="5"/>
  <c r="B13" i="1"/>
  <c r="E18" i="1"/>
  <c r="J14" i="1" s="1"/>
  <c r="C7" i="4"/>
  <c r="F22" i="4" s="1"/>
  <c r="C21" i="1" l="1"/>
  <c r="E21" i="1"/>
  <c r="F24" i="4"/>
  <c r="G25" i="4"/>
  <c r="C17" i="2"/>
  <c r="E16" i="1"/>
  <c r="G14" i="2"/>
  <c r="C16" i="1"/>
  <c r="D25" i="1"/>
  <c r="C10" i="2" l="1"/>
  <c r="D26" i="1"/>
  <c r="C20" i="1"/>
  <c r="E20" i="1"/>
  <c r="C5" i="2"/>
  <c r="G16" i="2"/>
  <c r="O6" i="2" s="1"/>
  <c r="G15" i="2"/>
  <c r="C13" i="2" l="1"/>
  <c r="C7" i="2"/>
  <c r="C6" i="2"/>
  <c r="Q7" i="2" s="1"/>
  <c r="C14" i="2"/>
  <c r="L6" i="2"/>
  <c r="B21" i="2" l="1"/>
  <c r="F20" i="2"/>
  <c r="F22" i="2" l="1"/>
  <c r="O11" i="2"/>
</calcChain>
</file>

<file path=xl/sharedStrings.xml><?xml version="1.0" encoding="utf-8"?>
<sst xmlns="http://schemas.openxmlformats.org/spreadsheetml/2006/main" count="345" uniqueCount="138">
  <si>
    <t>DATOS - en PARALELO</t>
  </si>
  <si>
    <t>FRECUENCIA</t>
  </si>
  <si>
    <t>Hz</t>
  </si>
  <si>
    <t>R</t>
  </si>
  <si>
    <t xml:space="preserve">Resistencia </t>
  </si>
  <si>
    <t>Ω</t>
  </si>
  <si>
    <t>XL</t>
  </si>
  <si>
    <t>Inductor</t>
  </si>
  <si>
    <t>2 x PI X Hy x Hz</t>
  </si>
  <si>
    <t>Henry</t>
  </si>
  <si>
    <t>Hy</t>
  </si>
  <si>
    <t>XC</t>
  </si>
  <si>
    <t>Capacitor</t>
  </si>
  <si>
    <t>(10^6) / (2 x PI x uF x Hz)</t>
  </si>
  <si>
    <t>MicroFaradiso</t>
  </si>
  <si>
    <t>uF</t>
  </si>
  <si>
    <t>Vo</t>
  </si>
  <si>
    <t>Voltaje Valor Eficaz</t>
  </si>
  <si>
    <t>v</t>
  </si>
  <si>
    <t>Voltaje Pico:</t>
  </si>
  <si>
    <t>ω</t>
  </si>
  <si>
    <t>Velocidad Angular</t>
  </si>
  <si>
    <t>Q(var) = ( XL * I² ) - (XC * I² )</t>
  </si>
  <si>
    <t>Hallar VT, F, Z</t>
  </si>
  <si>
    <t>F = ω / (2* π)</t>
  </si>
  <si>
    <t>Resultado:</t>
  </si>
  <si>
    <t>Diagrama fasorial de CORRIENTE</t>
  </si>
  <si>
    <t>Z = 1 / ( √ ( (1/R)² + ( 1/XL - 1/XC )² ) )</t>
  </si>
  <si>
    <t>DATOS</t>
  </si>
  <si>
    <t>IR</t>
  </si>
  <si>
    <t>IL-IC</t>
  </si>
  <si>
    <t>X</t>
  </si>
  <si>
    <t>Y</t>
  </si>
  <si>
    <t>Hallar I, VR, VL, VC, cosP</t>
  </si>
  <si>
    <t>IT = √  (IR² + ( IL - IC )²)</t>
  </si>
  <si>
    <t>A</t>
  </si>
  <si>
    <t>IR = V / R</t>
  </si>
  <si>
    <t>IL = V / XL</t>
  </si>
  <si>
    <t>IC = V / XC</t>
  </si>
  <si>
    <t>φ = Z / R</t>
  </si>
  <si>
    <t>º</t>
  </si>
  <si>
    <t>Hallar ACTIVA (W) , REACTIVA (VAR) , APARENTE (VA)</t>
  </si>
  <si>
    <t>P(w) = R * IR²  ||  P(w) = V * I * cosφ</t>
  </si>
  <si>
    <t>W</t>
  </si>
  <si>
    <t>Q(var) = ( XL * I²) - ( XL * I²)  ||  Q(var) = V * I * senoφ  ||  Q(var) = √( S² - P² )</t>
  </si>
  <si>
    <t>var</t>
  </si>
  <si>
    <t xml:space="preserve"> </t>
  </si>
  <si>
    <t>S(va) = Z * I²   ||   S(va) = V * I  || S(va) = √( P² + Q² )</t>
  </si>
  <si>
    <t>va</t>
  </si>
  <si>
    <t>CORRECCIÓN DE FACTOR DE POTENCIA POR CONDENSADOR</t>
  </si>
  <si>
    <t>DATOS POR MEDICIÓN</t>
  </si>
  <si>
    <t>ESTANDAR DE CORRECCION</t>
  </si>
  <si>
    <t>LISTA DE LÍNEA</t>
  </si>
  <si>
    <t>Ute</t>
  </si>
  <si>
    <t>Trifásico</t>
  </si>
  <si>
    <t>Cosφ = Saparente / Pactiva</t>
  </si>
  <si>
    <t>Cosφ</t>
  </si>
  <si>
    <t>Monofásico</t>
  </si>
  <si>
    <t>Cosφ Grado</t>
  </si>
  <si>
    <t>Tgφ</t>
  </si>
  <si>
    <t>Potencia Activa</t>
  </si>
  <si>
    <t>w</t>
  </si>
  <si>
    <t>Frecuencia</t>
  </si>
  <si>
    <t>Amper Inicial</t>
  </si>
  <si>
    <t>Voltaje</t>
  </si>
  <si>
    <t>Seleccionar Línea:</t>
  </si>
  <si>
    <t>VAR</t>
  </si>
  <si>
    <t>Seno φ</t>
  </si>
  <si>
    <t>Qinicial = V * I * senoφ</t>
  </si>
  <si>
    <t>Scorregida = P / cosφ</t>
  </si>
  <si>
    <t>Q corregida = √( S² - P² )</t>
  </si>
  <si>
    <t>Q(var) = √( S² - P² )</t>
  </si>
  <si>
    <t>I final = S corregida / VT</t>
  </si>
  <si>
    <t>Condensador a solicitar :</t>
  </si>
  <si>
    <t>Q condensador = P * ( tgφ inicial - tgφ final)</t>
  </si>
  <si>
    <t>µF = ( kVAR * 10^9 ) / ( 2 * π * Hz * V^2 )</t>
  </si>
  <si>
    <t>µF</t>
  </si>
  <si>
    <t>RESONANCIA</t>
  </si>
  <si>
    <t>Teniendo los valores de L y C se puede determinar la frecuencia donde XL = XC</t>
  </si>
  <si>
    <t>L</t>
  </si>
  <si>
    <t>Inductancia</t>
  </si>
  <si>
    <t>C</t>
  </si>
  <si>
    <t>Capacitancia</t>
  </si>
  <si>
    <t>F</t>
  </si>
  <si>
    <t>F = 1 / ( 2 * π * √(L*C) )</t>
  </si>
  <si>
    <t>Hallo Frecuencia de Resonancia</t>
  </si>
  <si>
    <t>*No se usa en la práctica</t>
  </si>
  <si>
    <t>C = ( ( 1/2*PI() ) ^2 ) / ( F^2 * L )</t>
  </si>
  <si>
    <t>CORRECCIÓN</t>
  </si>
  <si>
    <t>Cosφ = Pactiva / Saparente</t>
  </si>
  <si>
    <t>Amer corregido</t>
  </si>
  <si>
    <t>Seno:</t>
  </si>
  <si>
    <t>Potencia Activa P(w)</t>
  </si>
  <si>
    <t>Qinicial = V * I * senoφ * (√3 opción)</t>
  </si>
  <si>
    <t>Q(var) = ( XL - XC ) * I²</t>
  </si>
  <si>
    <t>I Condensador = Q condensador / VT</t>
  </si>
  <si>
    <t>Scorregida = √( P² + Q² )</t>
  </si>
  <si>
    <t>Q corregida = Q inicial - Q condensador</t>
  </si>
  <si>
    <t>Cosφ Grado = ATAN(TNG)</t>
  </si>
  <si>
    <t>Senoφ</t>
  </si>
  <si>
    <t>VOLTAJE</t>
  </si>
  <si>
    <t>V</t>
  </si>
  <si>
    <t>DATOS DADOS:</t>
  </si>
  <si>
    <t>PW - Resistivo</t>
  </si>
  <si>
    <t>Kw</t>
  </si>
  <si>
    <t>QL Inductivo</t>
  </si>
  <si>
    <t>KVAR</t>
  </si>
  <si>
    <t>QC Capacitivo</t>
  </si>
  <si>
    <t>DATOS INDEPENDIENTES INDUCTIVO</t>
  </si>
  <si>
    <t>DATOS INDEPENDIENTES CAPACITIVO</t>
  </si>
  <si>
    <t>XL = V^2 / Q</t>
  </si>
  <si>
    <t>Ohm</t>
  </si>
  <si>
    <t>XC = V^2 / Q</t>
  </si>
  <si>
    <t>Amper</t>
  </si>
  <si>
    <t>IC = V / Xc</t>
  </si>
  <si>
    <t>L = XL [ 2 * PI() * 50 ]</t>
  </si>
  <si>
    <t>Z = S / IT^2</t>
  </si>
  <si>
    <t>ohmnios</t>
  </si>
  <si>
    <t>DATOS INDEPENDIENTES RESISTIVO</t>
  </si>
  <si>
    <t>C = 10^6 / ( 2 * PI() * 50 )</t>
  </si>
  <si>
    <t>R = V^2 / P</t>
  </si>
  <si>
    <t>AMPER</t>
  </si>
  <si>
    <t>CORRIENTE TOTAL</t>
  </si>
  <si>
    <t>IT = √ (IR² + ( IL - IC )²)</t>
  </si>
  <si>
    <t>DATOS DE LA LINEA ENTERA:</t>
  </si>
  <si>
    <t>S = VT * IT</t>
  </si>
  <si>
    <t>Tangente Phi = Q / P</t>
  </si>
  <si>
    <t>Indice</t>
  </si>
  <si>
    <t>Q = VT * IT * Seno Phi</t>
  </si>
  <si>
    <t>cos Phi = P Activa / S aparente</t>
  </si>
  <si>
    <t>cos Phi Grados</t>
  </si>
  <si>
    <t>Seno</t>
  </si>
  <si>
    <t>Desde la tangente:</t>
  </si>
  <si>
    <t>Tgφ = Qreactiva / Pactiva</t>
  </si>
  <si>
    <t>CARGA Z = φ 38,6598</t>
  </si>
  <si>
    <t>Scorregida = √( P² + [Qini-Qcond]² )</t>
  </si>
  <si>
    <t>Scorregida = P / cosφ Ute</t>
  </si>
  <si>
    <t>Desde la tangente: * ( Tgφ -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</si>
</sst>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#,##0.00000"/>
    <numFmt numFmtId="167" formatCode="#,##0.0000000000"/>
    <numFmt numFmtId="168" formatCode="#,##0.000000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222222"/>
      <name val="Arial"/>
      <family val="2"/>
    </font>
    <font>
      <b/>
      <sz val="12"/>
      <color rgb="FFFFFFFF"/>
      <name val="Arial"/>
      <family val="2"/>
    </font>
    <font>
      <b/>
      <sz val="10"/>
      <color theme="1"/>
      <name val="Arial"/>
      <family val="2"/>
    </font>
    <font>
      <sz val="18"/>
      <color rgb="FF222222"/>
      <name val="Arial"/>
      <family val="2"/>
    </font>
    <font>
      <sz val="18"/>
      <color theme="1"/>
      <name val="Arial"/>
      <family val="2"/>
    </font>
    <font>
      <b/>
      <sz val="10"/>
      <color rgb="FF783F04"/>
      <name val="Arial"/>
      <family val="2"/>
    </font>
    <font>
      <sz val="10"/>
      <color rgb="FFEAD1DC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434343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i/>
      <sz val="10"/>
      <color rgb="FFB45F06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783F04"/>
        <bgColor rgb="FF783F04"/>
      </patternFill>
    </fill>
    <fill>
      <patternFill patternType="solid">
        <fgColor rgb="FFB45F06"/>
        <bgColor rgb="FFB45F06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83F04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9CB9C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1" fillId="3" borderId="0" xfId="0" applyFont="1" applyFill="1" applyAlignment="1">
      <alignment horizontal="right"/>
    </xf>
    <xf numFmtId="0" fontId="4" fillId="4" borderId="0" xfId="0" applyFont="1" applyFill="1" applyAlignment="1"/>
    <xf numFmtId="0" fontId="5" fillId="2" borderId="0" xfId="0" applyFont="1" applyFill="1" applyAlignment="1">
      <alignment horizontal="right"/>
    </xf>
    <xf numFmtId="0" fontId="3" fillId="2" borderId="0" xfId="0" applyFont="1" applyFill="1" applyAlignment="1"/>
    <xf numFmtId="0" fontId="6" fillId="3" borderId="1" xfId="0" applyFont="1" applyFill="1" applyBorder="1" applyAlignment="1">
      <alignment horizontal="right"/>
    </xf>
    <xf numFmtId="0" fontId="7" fillId="4" borderId="1" xfId="0" applyFont="1" applyFill="1" applyBorder="1" applyAlignment="1"/>
    <xf numFmtId="0" fontId="1" fillId="0" borderId="1" xfId="0" applyFont="1" applyBorder="1" applyAlignment="1"/>
    <xf numFmtId="0" fontId="6" fillId="5" borderId="0" xfId="0" applyFont="1" applyFill="1" applyAlignment="1"/>
    <xf numFmtId="0" fontId="6" fillId="3" borderId="0" xfId="0" applyFont="1" applyFill="1" applyAlignment="1"/>
    <xf numFmtId="0" fontId="6" fillId="6" borderId="0" xfId="0" applyFont="1" applyFill="1" applyAlignment="1"/>
    <xf numFmtId="0" fontId="6" fillId="3" borderId="0" xfId="0" applyFont="1" applyFill="1" applyAlignment="1"/>
    <xf numFmtId="164" fontId="6" fillId="3" borderId="0" xfId="0" applyNumberFormat="1" applyFont="1" applyFill="1" applyAlignment="1">
      <alignment horizontal="right"/>
    </xf>
    <xf numFmtId="0" fontId="8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5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/>
    <xf numFmtId="0" fontId="9" fillId="7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11" fillId="5" borderId="0" xfId="0" applyFont="1" applyFill="1" applyAlignment="1"/>
    <xf numFmtId="0" fontId="1" fillId="6" borderId="0" xfId="0" applyFont="1" applyFill="1" applyAlignment="1"/>
    <xf numFmtId="164" fontId="1" fillId="6" borderId="0" xfId="0" applyNumberFormat="1" applyFont="1" applyFill="1" applyAlignment="1">
      <alignment horizontal="right"/>
    </xf>
    <xf numFmtId="0" fontId="11" fillId="6" borderId="0" xfId="0" applyFont="1" applyFill="1" applyAlignment="1"/>
    <xf numFmtId="0" fontId="6" fillId="5" borderId="0" xfId="0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6" fillId="6" borderId="0" xfId="0" applyFont="1" applyFill="1" applyAlignment="1"/>
    <xf numFmtId="0" fontId="1" fillId="6" borderId="0" xfId="0" applyFont="1" applyFill="1" applyAlignment="1">
      <alignment horizontal="right"/>
    </xf>
    <xf numFmtId="0" fontId="11" fillId="6" borderId="0" xfId="0" applyFont="1" applyFill="1" applyAlignment="1"/>
    <xf numFmtId="0" fontId="11" fillId="5" borderId="0" xfId="0" applyFont="1" applyFill="1" applyAlignment="1"/>
    <xf numFmtId="165" fontId="1" fillId="6" borderId="0" xfId="0" applyNumberFormat="1" applyFont="1" applyFill="1" applyAlignment="1">
      <alignment horizontal="right"/>
    </xf>
    <xf numFmtId="0" fontId="6" fillId="5" borderId="0" xfId="0" applyFont="1" applyFill="1" applyAlignment="1"/>
    <xf numFmtId="2" fontId="1" fillId="5" borderId="0" xfId="0" applyNumberFormat="1" applyFont="1" applyFill="1" applyAlignment="1">
      <alignment horizontal="right"/>
    </xf>
    <xf numFmtId="0" fontId="12" fillId="6" borderId="0" xfId="0" applyFont="1" applyFill="1" applyAlignment="1">
      <alignment horizontal="right"/>
    </xf>
    <xf numFmtId="0" fontId="6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vertical="center"/>
    </xf>
    <xf numFmtId="164" fontId="1" fillId="0" borderId="0" xfId="0" applyNumberFormat="1" applyFont="1" applyAlignment="1"/>
    <xf numFmtId="0" fontId="6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vertical="center"/>
    </xf>
    <xf numFmtId="0" fontId="6" fillId="6" borderId="0" xfId="0" applyFont="1" applyFill="1" applyAlignment="1">
      <alignment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6" fillId="11" borderId="1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2" fontId="6" fillId="13" borderId="0" xfId="0" applyNumberFormat="1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12" borderId="0" xfId="0" applyFont="1" applyFill="1"/>
    <xf numFmtId="0" fontId="1" fillId="13" borderId="0" xfId="0" applyFont="1" applyFill="1"/>
    <xf numFmtId="0" fontId="6" fillId="12" borderId="9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1" fillId="13" borderId="9" xfId="0" applyFont="1" applyFill="1" applyBorder="1"/>
    <xf numFmtId="0" fontId="1" fillId="13" borderId="11" xfId="0" applyFont="1" applyFill="1" applyBorder="1"/>
    <xf numFmtId="0" fontId="1" fillId="12" borderId="14" xfId="0" applyFont="1" applyFill="1" applyBorder="1"/>
    <xf numFmtId="0" fontId="1" fillId="13" borderId="14" xfId="0" applyFont="1" applyFill="1" applyBorder="1"/>
    <xf numFmtId="0" fontId="1" fillId="13" borderId="13" xfId="0" applyFont="1" applyFill="1" applyBorder="1"/>
    <xf numFmtId="0" fontId="6" fillId="4" borderId="1" xfId="0" applyFont="1" applyFill="1" applyBorder="1" applyAlignment="1">
      <alignment horizontal="center"/>
    </xf>
    <xf numFmtId="0" fontId="1" fillId="12" borderId="15" xfId="0" applyFont="1" applyFill="1" applyBorder="1"/>
    <xf numFmtId="0" fontId="1" fillId="12" borderId="16" xfId="0" applyFont="1" applyFill="1" applyBorder="1"/>
    <xf numFmtId="0" fontId="6" fillId="7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0" xfId="0" applyFont="1" applyFill="1" applyAlignment="1"/>
    <xf numFmtId="0" fontId="1" fillId="6" borderId="0" xfId="0" applyFont="1" applyFill="1" applyAlignment="1"/>
    <xf numFmtId="0" fontId="18" fillId="6" borderId="0" xfId="0" applyFont="1" applyFill="1" applyAlignment="1">
      <alignment horizontal="right"/>
    </xf>
    <xf numFmtId="0" fontId="11" fillId="6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166" fontId="18" fillId="5" borderId="0" xfId="0" applyNumberFormat="1" applyFont="1" applyFill="1" applyAlignment="1">
      <alignment horizontal="right"/>
    </xf>
    <xf numFmtId="0" fontId="11" fillId="5" borderId="0" xfId="0" applyFont="1" applyFill="1" applyAlignment="1"/>
    <xf numFmtId="164" fontId="1" fillId="6" borderId="0" xfId="0" applyNumberFormat="1" applyFont="1" applyFill="1" applyAlignment="1">
      <alignment horizontal="right"/>
    </xf>
    <xf numFmtId="0" fontId="1" fillId="6" borderId="0" xfId="0" applyFont="1" applyFill="1" applyAlignment="1"/>
    <xf numFmtId="167" fontId="1" fillId="6" borderId="0" xfId="0" applyNumberFormat="1" applyFont="1" applyFill="1" applyAlignment="1">
      <alignment horizontal="right"/>
    </xf>
    <xf numFmtId="0" fontId="11" fillId="6" borderId="0" xfId="0" applyFont="1" applyFill="1" applyAlignment="1"/>
    <xf numFmtId="168" fontId="18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6" fillId="11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0" xfId="0" applyFont="1" applyAlignment="1"/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4" fillId="1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9" fillId="7" borderId="0" xfId="0" applyFont="1" applyFill="1" applyAlignment="1">
      <alignment horizontal="center"/>
    </xf>
    <xf numFmtId="164" fontId="6" fillId="6" borderId="0" xfId="0" applyNumberFormat="1" applyFont="1" applyFill="1" applyAlignment="1">
      <alignment horizontal="center" vertical="center" textRotation="45"/>
    </xf>
    <xf numFmtId="0" fontId="6" fillId="5" borderId="0" xfId="0" applyFont="1" applyFill="1" applyAlignment="1"/>
    <xf numFmtId="0" fontId="2" fillId="8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2" fillId="9" borderId="5" xfId="0" applyFont="1" applyFill="1" applyBorder="1" applyAlignment="1">
      <alignment horizontal="center"/>
    </xf>
    <xf numFmtId="0" fontId="13" fillId="0" borderId="6" xfId="0" applyFont="1" applyBorder="1"/>
    <xf numFmtId="0" fontId="13" fillId="0" borderId="2" xfId="0" applyFont="1" applyBorder="1"/>
    <xf numFmtId="0" fontId="2" fillId="1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 vertical="center"/>
    </xf>
    <xf numFmtId="0" fontId="13" fillId="0" borderId="22" xfId="0" applyFont="1" applyBorder="1"/>
    <xf numFmtId="0" fontId="6" fillId="7" borderId="18" xfId="0" applyFont="1" applyFill="1" applyBorder="1" applyAlignment="1">
      <alignment horizontal="center"/>
    </xf>
    <xf numFmtId="0" fontId="13" fillId="0" borderId="20" xfId="0" applyFont="1" applyBorder="1"/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 textRotation="45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2" fontId="6" fillId="13" borderId="12" xfId="0" applyNumberFormat="1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2" fontId="16" fillId="7" borderId="18" xfId="0" applyNumberFormat="1" applyFont="1" applyFill="1" applyBorder="1" applyAlignment="1">
      <alignment horizontal="center" vertical="center"/>
    </xf>
    <xf numFmtId="0" fontId="13" fillId="0" borderId="19" xfId="0" applyFont="1" applyBorder="1"/>
    <xf numFmtId="0" fontId="6" fillId="7" borderId="0" xfId="0" applyFont="1" applyFill="1" applyAlignment="1">
      <alignment horizontal="center" vertical="center" textRotation="90"/>
    </xf>
    <xf numFmtId="0" fontId="6" fillId="5" borderId="5" xfId="0" applyFont="1" applyFill="1" applyBorder="1" applyAlignment="1">
      <alignment wrapText="1"/>
    </xf>
    <xf numFmtId="0" fontId="19" fillId="5" borderId="0" xfId="0" applyFont="1" applyFill="1" applyAlignment="1"/>
    <xf numFmtId="0" fontId="2" fillId="8" borderId="5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4" fillId="11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right" wrapText="1"/>
    </xf>
    <xf numFmtId="0" fontId="21" fillId="0" borderId="23" xfId="0" applyFont="1" applyBorder="1" applyAlignment="1">
      <alignment wrapText="1"/>
    </xf>
    <xf numFmtId="0" fontId="14" fillId="16" borderId="23" xfId="0" applyFont="1" applyFill="1" applyBorder="1" applyAlignment="1">
      <alignment horizontal="center" wrapText="1"/>
    </xf>
    <xf numFmtId="0" fontId="21" fillId="0" borderId="0" xfId="0" applyFont="1" applyBorder="1" applyAlignment="1">
      <alignment wrapText="1"/>
    </xf>
    <xf numFmtId="0" fontId="0" fillId="0" borderId="0" xfId="0" applyFont="1" applyBorder="1" applyAlignment="1"/>
    <xf numFmtId="0" fontId="2" fillId="17" borderId="0" xfId="0" applyFont="1" applyFill="1" applyBorder="1" applyAlignment="1">
      <alignment horizontal="center" wrapText="1"/>
    </xf>
    <xf numFmtId="0" fontId="3" fillId="17" borderId="0" xfId="0" applyFont="1" applyFill="1" applyBorder="1" applyAlignment="1">
      <alignment wrapText="1"/>
    </xf>
    <xf numFmtId="0" fontId="21" fillId="18" borderId="0" xfId="0" applyFont="1" applyFill="1" applyBorder="1" applyAlignment="1">
      <alignment horizontal="right" wrapText="1"/>
    </xf>
    <xf numFmtId="0" fontId="4" fillId="19" borderId="0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21" fillId="17" borderId="0" xfId="0" applyFont="1" applyFill="1" applyBorder="1" applyAlignment="1">
      <alignment wrapText="1"/>
    </xf>
    <xf numFmtId="0" fontId="3" fillId="17" borderId="0" xfId="0" applyFont="1" applyFill="1" applyBorder="1" applyAlignment="1">
      <alignment vertical="center"/>
    </xf>
    <xf numFmtId="0" fontId="21" fillId="20" borderId="0" xfId="0" applyFont="1" applyFill="1" applyBorder="1" applyAlignment="1">
      <alignment wrapText="1"/>
    </xf>
    <xf numFmtId="0" fontId="21" fillId="20" borderId="0" xfId="0" applyFont="1" applyFill="1" applyBorder="1" applyAlignment="1">
      <alignment horizontal="right" wrapText="1"/>
    </xf>
    <xf numFmtId="0" fontId="3" fillId="17" borderId="23" xfId="0" applyFont="1" applyFill="1" applyBorder="1" applyAlignment="1">
      <alignment wrapText="1"/>
    </xf>
    <xf numFmtId="0" fontId="21" fillId="17" borderId="23" xfId="0" applyFont="1" applyFill="1" applyBorder="1" applyAlignment="1">
      <alignment wrapText="1"/>
    </xf>
    <xf numFmtId="0" fontId="21" fillId="18" borderId="23" xfId="0" applyFont="1" applyFill="1" applyBorder="1" applyAlignment="1">
      <alignment horizontal="right" wrapText="1"/>
    </xf>
    <xf numFmtId="0" fontId="2" fillId="21" borderId="0" xfId="0" applyFont="1" applyFill="1" applyBorder="1" applyAlignment="1">
      <alignment horizontal="center" vertical="center" wrapText="1"/>
    </xf>
    <xf numFmtId="0" fontId="2" fillId="21" borderId="0" xfId="0" applyFont="1" applyFill="1" applyBorder="1" applyAlignment="1">
      <alignment horizontal="center" wrapText="1"/>
    </xf>
    <xf numFmtId="0" fontId="2" fillId="22" borderId="0" xfId="0" applyFont="1" applyFill="1" applyBorder="1" applyAlignment="1">
      <alignment horizontal="center" vertical="center" wrapText="1"/>
    </xf>
    <xf numFmtId="0" fontId="2" fillId="22" borderId="0" xfId="0" applyFont="1" applyFill="1" applyBorder="1" applyAlignment="1">
      <alignment horizontal="center" wrapText="1"/>
    </xf>
    <xf numFmtId="0" fontId="14" fillId="15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23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18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right" wrapText="1"/>
    </xf>
    <xf numFmtId="0" fontId="2" fillId="17" borderId="0" xfId="0" applyFont="1" applyFill="1" applyBorder="1" applyAlignment="1">
      <alignment wrapText="1"/>
    </xf>
    <xf numFmtId="0" fontId="21" fillId="0" borderId="0" xfId="0" applyFont="1" applyBorder="1" applyAlignment="1">
      <alignment vertical="center"/>
    </xf>
    <xf numFmtId="0" fontId="14" fillId="24" borderId="0" xfId="0" applyFont="1" applyFill="1" applyBorder="1" applyAlignment="1">
      <alignment horizontal="center" wrapText="1"/>
    </xf>
    <xf numFmtId="0" fontId="15" fillId="24" borderId="0" xfId="0" applyFont="1" applyFill="1" applyBorder="1" applyAlignment="1">
      <alignment horizontal="center" wrapText="1"/>
    </xf>
    <xf numFmtId="0" fontId="14" fillId="25" borderId="0" xfId="0" applyFont="1" applyFill="1" applyBorder="1" applyAlignment="1">
      <alignment horizontal="center" wrapText="1"/>
    </xf>
    <xf numFmtId="0" fontId="15" fillId="25" borderId="0" xfId="0" applyFont="1" applyFill="1" applyBorder="1" applyAlignment="1">
      <alignment horizontal="center" wrapText="1"/>
    </xf>
    <xf numFmtId="0" fontId="21" fillId="25" borderId="0" xfId="0" applyFont="1" applyFill="1" applyBorder="1" applyAlignment="1">
      <alignment wrapText="1"/>
    </xf>
    <xf numFmtId="0" fontId="14" fillId="26" borderId="0" xfId="0" applyFont="1" applyFill="1" applyBorder="1" applyAlignment="1">
      <alignment horizontal="center" wrapText="1"/>
    </xf>
    <xf numFmtId="0" fontId="21" fillId="24" borderId="0" xfId="0" applyFont="1" applyFill="1" applyBorder="1" applyAlignment="1">
      <alignment wrapText="1"/>
    </xf>
    <xf numFmtId="0" fontId="22" fillId="26" borderId="0" xfId="0" applyFont="1" applyFill="1" applyBorder="1" applyAlignment="1">
      <alignment horizontal="center" vertical="center" wrapText="1"/>
    </xf>
    <xf numFmtId="0" fontId="14" fillId="26" borderId="0" xfId="0" applyFont="1" applyFill="1" applyBorder="1" applyAlignment="1">
      <alignment horizontal="center" vertical="center" wrapText="1"/>
    </xf>
    <xf numFmtId="0" fontId="9" fillId="26" borderId="0" xfId="0" applyFont="1" applyFill="1" applyBorder="1" applyAlignment="1">
      <alignment horizontal="center" wrapText="1"/>
    </xf>
    <xf numFmtId="0" fontId="14" fillId="27" borderId="0" xfId="0" applyFont="1" applyFill="1" applyBorder="1" applyAlignment="1">
      <alignment horizontal="center" wrapText="1"/>
    </xf>
    <xf numFmtId="0" fontId="21" fillId="25" borderId="0" xfId="0" applyFont="1" applyFill="1" applyBorder="1" applyAlignment="1">
      <alignment wrapText="1"/>
    </xf>
    <xf numFmtId="0" fontId="21" fillId="26" borderId="0" xfId="0" applyFont="1" applyFill="1" applyBorder="1" applyAlignment="1">
      <alignment horizontal="center" wrapText="1"/>
    </xf>
    <xf numFmtId="0" fontId="15" fillId="25" borderId="0" xfId="0" applyFont="1" applyFill="1" applyBorder="1" applyAlignment="1">
      <alignment horizontal="center" wrapText="1"/>
    </xf>
    <xf numFmtId="0" fontId="14" fillId="26" borderId="0" xfId="0" applyFont="1" applyFill="1" applyBorder="1" applyAlignment="1">
      <alignment horizontal="center" wrapText="1"/>
    </xf>
    <xf numFmtId="0" fontId="23" fillId="26" borderId="0" xfId="0" applyFont="1" applyFill="1" applyBorder="1" applyAlignment="1">
      <alignment horizontal="center" vertical="center" wrapText="1"/>
    </xf>
    <xf numFmtId="0" fontId="14" fillId="28" borderId="0" xfId="0" applyFont="1" applyFill="1" applyBorder="1" applyAlignment="1">
      <alignment horizontal="center" wrapText="1"/>
    </xf>
    <xf numFmtId="0" fontId="14" fillId="28" borderId="0" xfId="0" applyFont="1" applyFill="1" applyBorder="1" applyAlignment="1">
      <alignment horizontal="center" wrapText="1"/>
    </xf>
    <xf numFmtId="0" fontId="21" fillId="24" borderId="24" xfId="0" applyFont="1" applyFill="1" applyBorder="1" applyAlignment="1">
      <alignment wrapText="1"/>
    </xf>
    <xf numFmtId="0" fontId="21" fillId="25" borderId="24" xfId="0" applyFont="1" applyFill="1" applyBorder="1" applyAlignment="1">
      <alignment wrapText="1"/>
    </xf>
    <xf numFmtId="0" fontId="14" fillId="24" borderId="26" xfId="0" applyFont="1" applyFill="1" applyBorder="1" applyAlignment="1">
      <alignment horizontal="center" wrapText="1"/>
    </xf>
    <xf numFmtId="0" fontId="21" fillId="24" borderId="26" xfId="0" applyFont="1" applyFill="1" applyBorder="1" applyAlignment="1">
      <alignment wrapText="1"/>
    </xf>
    <xf numFmtId="0" fontId="21" fillId="24" borderId="25" xfId="0" applyFont="1" applyFill="1" applyBorder="1" applyAlignment="1">
      <alignment wrapText="1"/>
    </xf>
    <xf numFmtId="0" fontId="14" fillId="24" borderId="2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8</xdr:row>
      <xdr:rowOff>133350</xdr:rowOff>
    </xdr:from>
    <xdr:ext cx="428625" cy="447675"/>
    <xdr:sp macro="" textlink="">
      <xdr:nvSpPr>
        <xdr:cNvPr id="3" name="Shape 3"/>
        <xdr:cNvSpPr/>
      </xdr:nvSpPr>
      <xdr:spPr>
        <a:xfrm rot="5400000">
          <a:off x="1947250" y="1376850"/>
          <a:ext cx="777000" cy="737700"/>
        </a:xfrm>
        <a:prstGeom prst="ellipse">
          <a:avLst/>
        </a:prstGeom>
        <a:solidFill>
          <a:srgbClr val="D9EAD3"/>
        </a:solidFill>
        <a:ln w="381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100"/>
            <a:t>S</a:t>
          </a:r>
          <a:endParaRPr sz="4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9</xdr:row>
      <xdr:rowOff>123825</xdr:rowOff>
    </xdr:from>
    <xdr:ext cx="581025" cy="561975"/>
    <xdr:sp macro="" textlink="">
      <xdr:nvSpPr>
        <xdr:cNvPr id="4" name="Shape 4"/>
        <xdr:cNvSpPr/>
      </xdr:nvSpPr>
      <xdr:spPr>
        <a:xfrm rot="-5534240">
          <a:off x="1906910" y="1391480"/>
          <a:ext cx="1160385" cy="1179905"/>
        </a:xfrm>
        <a:prstGeom prst="flowChartConnector">
          <a:avLst/>
        </a:prstGeom>
        <a:solidFill>
          <a:srgbClr val="D9EAD3"/>
        </a:solidFill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700" b="1"/>
            <a:t>S</a:t>
          </a:r>
          <a:endParaRPr sz="47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  <pageSetUpPr fitToPage="1"/>
  </sheetPr>
  <dimension ref="A1:Z1000"/>
  <sheetViews>
    <sheetView workbookViewId="0"/>
  </sheetViews>
  <sheetFormatPr baseColWidth="10" defaultColWidth="14.42578125" defaultRowHeight="15.75" customHeight="1" x14ac:dyDescent="0.2"/>
  <cols>
    <col min="1" max="1" width="13.7109375" customWidth="1"/>
    <col min="2" max="2" width="36" customWidth="1"/>
    <col min="3" max="3" width="30.5703125" customWidth="1"/>
    <col min="5" max="5" width="12.5703125" customWidth="1"/>
    <col min="7" max="7" width="17.425781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32" t="s">
        <v>0</v>
      </c>
      <c r="B2" s="131"/>
      <c r="C2" s="131"/>
      <c r="D2" s="131"/>
      <c r="E2" s="133" t="s">
        <v>1</v>
      </c>
      <c r="F2" s="131"/>
      <c r="G2" s="4">
        <v>50</v>
      </c>
      <c r="H2" s="5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6" t="s">
        <v>3</v>
      </c>
      <c r="B3" s="7" t="s">
        <v>4</v>
      </c>
      <c r="C3" s="8">
        <v>500</v>
      </c>
      <c r="D3" s="9" t="s">
        <v>5</v>
      </c>
      <c r="E3" s="10"/>
      <c r="F3" s="10"/>
      <c r="G3" s="10"/>
      <c r="H3" s="10"/>
      <c r="I3" s="10"/>
      <c r="J3" s="1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1" t="s">
        <v>6</v>
      </c>
      <c r="B4" s="11" t="s">
        <v>7</v>
      </c>
      <c r="C4" s="11">
        <f>ROUND(2*PI()*H4*G2,4)</f>
        <v>31.415900000000001</v>
      </c>
      <c r="D4" s="11" t="s">
        <v>5</v>
      </c>
      <c r="E4" s="11" t="s">
        <v>8</v>
      </c>
      <c r="F4" s="11"/>
      <c r="G4" s="11" t="s">
        <v>9</v>
      </c>
      <c r="H4" s="12">
        <v>0.1</v>
      </c>
      <c r="I4" s="11" t="s">
        <v>10</v>
      </c>
      <c r="J4" s="11">
        <f t="shared" ref="J4:J5" si="0">H4*(POWER(10,-6))</f>
        <v>9.9999999999999995E-8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3" t="s">
        <v>11</v>
      </c>
      <c r="B5" s="13" t="s">
        <v>12</v>
      </c>
      <c r="C5" s="13">
        <f>ROUND((POWER(10,6)/((2*PI()*H5*G2))),4)</f>
        <v>6.3662000000000001</v>
      </c>
      <c r="D5" s="13" t="s">
        <v>5</v>
      </c>
      <c r="E5" s="13" t="s">
        <v>13</v>
      </c>
      <c r="F5" s="13"/>
      <c r="G5" s="13" t="s">
        <v>14</v>
      </c>
      <c r="H5" s="14">
        <v>500</v>
      </c>
      <c r="I5" s="13" t="s">
        <v>15</v>
      </c>
      <c r="J5" s="13">
        <f t="shared" si="0"/>
        <v>5.0000000000000001E-4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6" t="s">
        <v>16</v>
      </c>
      <c r="B6" s="7" t="s">
        <v>17</v>
      </c>
      <c r="C6" s="15">
        <v>100</v>
      </c>
      <c r="D6" s="16" t="s">
        <v>18</v>
      </c>
      <c r="E6" s="17" t="s">
        <v>19</v>
      </c>
      <c r="F6" s="18">
        <f>ROUND(C6*SQRT(2),4)</f>
        <v>141.42140000000001</v>
      </c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19" t="s">
        <v>20</v>
      </c>
      <c r="B7" s="3" t="s">
        <v>21</v>
      </c>
      <c r="C7" s="20">
        <v>314</v>
      </c>
      <c r="D7" s="21" t="s">
        <v>20</v>
      </c>
      <c r="E7" s="1"/>
      <c r="F7" s="2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134" t="s">
        <v>22</v>
      </c>
      <c r="G8" s="13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130" t="s">
        <v>23</v>
      </c>
      <c r="C9" s="131"/>
      <c r="D9" s="131"/>
      <c r="E9" s="131"/>
      <c r="F9" s="2">
        <f>C4*E18^2</f>
        <v>318.30984495119901</v>
      </c>
      <c r="G9" s="23">
        <f>C5*E19^2</f>
        <v>1570.8042348768001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>
        <f>F9-G9</f>
        <v>-1252.4943899256011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11" t="s">
        <v>24</v>
      </c>
      <c r="C11" s="24" t="s">
        <v>25</v>
      </c>
      <c r="D11" s="25">
        <f>ROUND(C7/(2*PI()),4)</f>
        <v>49.974699999999999</v>
      </c>
      <c r="E11" s="26" t="s">
        <v>2</v>
      </c>
      <c r="F11" s="2"/>
      <c r="H11" s="132" t="s">
        <v>26</v>
      </c>
      <c r="I11" s="131"/>
      <c r="J11" s="13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13" t="s">
        <v>27</v>
      </c>
      <c r="C12" s="27" t="s">
        <v>25</v>
      </c>
      <c r="D12" s="28">
        <f>ROUND(1/SQRT((1/C3)^2+((1/C4)-(1/C5))^2),4)</f>
        <v>7.9831000000000003</v>
      </c>
      <c r="E12" s="29" t="s">
        <v>5</v>
      </c>
      <c r="F12" s="2"/>
      <c r="H12" s="135" t="s">
        <v>28</v>
      </c>
      <c r="I12" s="30" t="s">
        <v>29</v>
      </c>
      <c r="J12" s="30" t="s">
        <v>30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/>
      <c r="B13" s="136" t="str">
        <f>"Z = 1 / ( √ ( (1/"&amp;C3&amp;")² + ( 1/"&amp;C4&amp;" - 1/"&amp;C5&amp;")² ) )"</f>
        <v>Z = 1 / ( √ ( (1/500)² + ( 1/31,4159 - 1/6,3662)² ) )</v>
      </c>
      <c r="C13" s="131"/>
      <c r="D13" s="131"/>
      <c r="E13" s="131"/>
      <c r="F13" s="2"/>
      <c r="H13" s="131"/>
      <c r="I13" s="31" t="s">
        <v>31</v>
      </c>
      <c r="J13" s="31" t="s">
        <v>32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/>
      <c r="B14" s="130" t="s">
        <v>33</v>
      </c>
      <c r="C14" s="131"/>
      <c r="D14" s="131"/>
      <c r="E14" s="131"/>
      <c r="F14" s="2"/>
      <c r="G14" s="1"/>
      <c r="H14" s="131"/>
      <c r="I14" s="32">
        <f>E17</f>
        <v>0.2</v>
      </c>
      <c r="J14" s="33">
        <f>E18-E19</f>
        <v>-12.524900000000001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34" t="s">
        <v>34</v>
      </c>
      <c r="C16" s="34" t="str">
        <f>"IT = √  ("&amp;E17&amp;"² + ( "&amp;E18&amp;"- "&amp;E19&amp;" )²)"</f>
        <v>IT = √  (0,2² + ( 3,1831- 15,708 )²)</v>
      </c>
      <c r="D16" s="27" t="s">
        <v>25</v>
      </c>
      <c r="E16" s="35">
        <f>ROUND(SQRT(E17^2+(E18-E19)^2),4)</f>
        <v>12.5265</v>
      </c>
      <c r="F16" s="36" t="s">
        <v>35</v>
      </c>
      <c r="G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/>
      <c r="B17" s="11" t="s">
        <v>36</v>
      </c>
      <c r="C17" s="11" t="str">
        <f>"IR = "&amp;C6&amp;" / "&amp;C3</f>
        <v>IR = 100 / 500</v>
      </c>
      <c r="D17" s="24" t="s">
        <v>25</v>
      </c>
      <c r="E17" s="25">
        <f>C6/C3</f>
        <v>0.2</v>
      </c>
      <c r="F17" s="37" t="s">
        <v>35</v>
      </c>
      <c r="G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/>
      <c r="B18" s="34" t="s">
        <v>37</v>
      </c>
      <c r="C18" s="34" t="str">
        <f>"IL = "&amp;C6&amp;" / "&amp;C4</f>
        <v>IL = 100 / 31,4159</v>
      </c>
      <c r="D18" s="27" t="s">
        <v>25</v>
      </c>
      <c r="E18" s="38">
        <f>ROUND(C6/C4,4)</f>
        <v>3.1831</v>
      </c>
      <c r="F18" s="29" t="s">
        <v>35</v>
      </c>
      <c r="G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/>
      <c r="B19" s="39" t="s">
        <v>38</v>
      </c>
      <c r="C19" s="39" t="str">
        <f>"IC = "&amp;C6&amp;" / "&amp;C5</f>
        <v>IC = 100 / 6,3662</v>
      </c>
      <c r="D19" s="24" t="s">
        <v>25</v>
      </c>
      <c r="E19" s="40">
        <f>ROUND(C6/C5,4)</f>
        <v>15.708</v>
      </c>
      <c r="F19" s="37" t="s">
        <v>35</v>
      </c>
      <c r="G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/>
      <c r="B20" s="13" t="s">
        <v>39</v>
      </c>
      <c r="C20" s="13" t="str">
        <f>"φ Grados = "&amp;E16&amp;" / "&amp;C3</f>
        <v>φ Grados = 12,5265 / 500</v>
      </c>
      <c r="D20" s="27" t="s">
        <v>25</v>
      </c>
      <c r="E20" s="41">
        <f>ROUND(ACOS(E21)*180/PI(),4)</f>
        <v>89.083200000000005</v>
      </c>
      <c r="F20" s="29" t="s">
        <v>40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/>
      <c r="B21" s="39" t="s">
        <v>39</v>
      </c>
      <c r="C21" s="39" t="str">
        <f>"φ = "&amp;D12&amp;" / "&amp;C3</f>
        <v>φ = 7,9831 / 500</v>
      </c>
      <c r="D21" s="39" t="s">
        <v>25</v>
      </c>
      <c r="E21" s="39">
        <f>ROUND(D12/C3,4)</f>
        <v>1.6E-2</v>
      </c>
      <c r="F21" s="2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/>
      <c r="B22" s="130" t="s">
        <v>41</v>
      </c>
      <c r="C22" s="131"/>
      <c r="D22" s="131"/>
      <c r="E22" s="131"/>
      <c r="F22" s="2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42" t="s">
        <v>42</v>
      </c>
      <c r="C24" s="43" t="s">
        <v>25</v>
      </c>
      <c r="D24" s="44">
        <f>ROUND(C3*(E17^2),4)</f>
        <v>20</v>
      </c>
      <c r="E24" s="45" t="s">
        <v>43</v>
      </c>
      <c r="F24" s="2"/>
      <c r="G24" s="2"/>
      <c r="H24" s="2"/>
      <c r="I24" s="4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5.5" x14ac:dyDescent="0.2">
      <c r="A25" s="2"/>
      <c r="B25" s="47" t="s">
        <v>44</v>
      </c>
      <c r="C25" s="48" t="s">
        <v>25</v>
      </c>
      <c r="D25" s="49">
        <f>(C4*E18^2)-(C5*E19^2)</f>
        <v>-1252.4943899256011</v>
      </c>
      <c r="E25" s="50" t="s">
        <v>45</v>
      </c>
      <c r="F25" s="2"/>
      <c r="G25" s="1"/>
      <c r="H25" s="2"/>
      <c r="I25" s="4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x14ac:dyDescent="0.2">
      <c r="A26" s="2" t="s">
        <v>46</v>
      </c>
      <c r="B26" s="51" t="s">
        <v>47</v>
      </c>
      <c r="C26" s="43" t="s">
        <v>25</v>
      </c>
      <c r="D26" s="44">
        <f>C6*E16</f>
        <v>1252.6500000000001</v>
      </c>
      <c r="E26" s="45" t="s">
        <v>48</v>
      </c>
      <c r="F26" s="2"/>
      <c r="G26" s="1" t="s">
        <v>46</v>
      </c>
      <c r="H26" s="2"/>
      <c r="I26" s="4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1"/>
      <c r="C27" s="2"/>
      <c r="D27" s="5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53" t="s">
        <v>46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1"/>
      <c r="H32" s="2"/>
      <c r="I32" s="4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1"/>
      <c r="H33" s="2"/>
      <c r="I33" s="4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1"/>
      <c r="H34" s="2"/>
      <c r="I34" s="4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1"/>
      <c r="H36" s="1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1"/>
      <c r="H38" s="2"/>
      <c r="I38" s="4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1"/>
      <c r="H39" s="2"/>
      <c r="I39" s="4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1"/>
      <c r="H40" s="2"/>
      <c r="I40" s="4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5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H11:J11"/>
    <mergeCell ref="H12:H14"/>
    <mergeCell ref="B13:E13"/>
    <mergeCell ref="B14:E14"/>
    <mergeCell ref="B22:E22"/>
    <mergeCell ref="A2:D2"/>
    <mergeCell ref="E2:F2"/>
    <mergeCell ref="F8:G8"/>
    <mergeCell ref="B9:E9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982"/>
  <sheetViews>
    <sheetView tabSelected="1" workbookViewId="0">
      <selection activeCell="E6" sqref="E6"/>
    </sheetView>
  </sheetViews>
  <sheetFormatPr baseColWidth="10" defaultRowHeight="12.75" x14ac:dyDescent="0.2"/>
  <cols>
    <col min="1" max="1" width="1.85546875" style="180" customWidth="1"/>
    <col min="2" max="2" width="27.5703125" style="180" customWidth="1"/>
    <col min="3" max="4" width="11.42578125" style="180"/>
    <col min="5" max="5" width="8.28515625" style="180" customWidth="1"/>
    <col min="6" max="6" width="15.42578125" style="180" customWidth="1"/>
    <col min="7" max="7" width="18.140625" style="180" customWidth="1"/>
    <col min="8" max="8" width="8" style="180" customWidth="1"/>
    <col min="9" max="16384" width="11.42578125" style="180"/>
  </cols>
  <sheetData>
    <row r="1" spans="1:26" x14ac:dyDescent="0.2">
      <c r="A1" s="179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x14ac:dyDescent="0.2">
      <c r="A2" s="181" t="s">
        <v>0</v>
      </c>
      <c r="B2" s="181"/>
      <c r="C2" s="181"/>
      <c r="D2" s="181"/>
      <c r="E2" s="182" t="s">
        <v>1</v>
      </c>
      <c r="F2" s="182"/>
      <c r="G2" s="183">
        <v>50</v>
      </c>
      <c r="H2" s="184" t="s">
        <v>2</v>
      </c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15.75" customHeight="1" x14ac:dyDescent="0.2">
      <c r="A3" s="179"/>
      <c r="B3" s="179"/>
      <c r="C3" s="179"/>
      <c r="D3" s="179"/>
      <c r="E3" s="182" t="s">
        <v>100</v>
      </c>
      <c r="F3" s="182"/>
      <c r="G3" s="183">
        <v>250</v>
      </c>
      <c r="H3" s="184" t="s">
        <v>101</v>
      </c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25.5" x14ac:dyDescent="0.2">
      <c r="A4" s="179"/>
      <c r="B4" s="190" t="s">
        <v>102</v>
      </c>
      <c r="C4" s="191"/>
      <c r="D4" s="191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25.5" x14ac:dyDescent="0.2">
      <c r="A5" s="179"/>
      <c r="B5" s="177" t="s">
        <v>103</v>
      </c>
      <c r="C5" s="192">
        <v>100000</v>
      </c>
      <c r="D5" s="177" t="s">
        <v>104</v>
      </c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 x14ac:dyDescent="0.2">
      <c r="A6" s="179"/>
      <c r="B6" s="177" t="s">
        <v>105</v>
      </c>
      <c r="C6" s="192">
        <v>90000</v>
      </c>
      <c r="D6" s="177" t="s">
        <v>106</v>
      </c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6" ht="25.5" x14ac:dyDescent="0.2">
      <c r="A7" s="179"/>
      <c r="B7" s="177" t="s">
        <v>107</v>
      </c>
      <c r="C7" s="192">
        <v>10000</v>
      </c>
      <c r="D7" s="177" t="s">
        <v>106</v>
      </c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spans="1:26" x14ac:dyDescent="0.2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spans="1:26" x14ac:dyDescent="0.2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25.5" x14ac:dyDescent="0.2">
      <c r="A10" s="179"/>
      <c r="B10" s="185" t="s">
        <v>108</v>
      </c>
      <c r="C10" s="186"/>
      <c r="D10" s="186"/>
      <c r="E10" s="179"/>
      <c r="F10" s="187" t="s">
        <v>109</v>
      </c>
      <c r="G10" s="186"/>
      <c r="H10" s="186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25.5" customHeight="1" x14ac:dyDescent="0.2">
      <c r="A11" s="179"/>
      <c r="B11" s="188" t="s">
        <v>110</v>
      </c>
      <c r="C11" s="189">
        <f>G3^2/C6</f>
        <v>0.69444444444444442</v>
      </c>
      <c r="D11" s="188" t="s">
        <v>111</v>
      </c>
      <c r="E11" s="179"/>
      <c r="F11" s="188" t="s">
        <v>112</v>
      </c>
      <c r="G11" s="189">
        <f>G3^2/C7</f>
        <v>6.25</v>
      </c>
      <c r="H11" s="188" t="s">
        <v>111</v>
      </c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x14ac:dyDescent="0.2">
      <c r="A12" s="179"/>
      <c r="B12" s="188" t="s">
        <v>37</v>
      </c>
      <c r="C12" s="189">
        <f>G3/C11</f>
        <v>360</v>
      </c>
      <c r="D12" s="188" t="s">
        <v>113</v>
      </c>
      <c r="E12" s="179"/>
      <c r="F12" s="188" t="s">
        <v>114</v>
      </c>
      <c r="G12" s="189">
        <f>G3/G11</f>
        <v>40</v>
      </c>
      <c r="H12" s="188" t="s">
        <v>113</v>
      </c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25.5" customHeight="1" x14ac:dyDescent="0.2">
      <c r="A13" s="179"/>
      <c r="B13" s="188" t="s">
        <v>115</v>
      </c>
      <c r="C13" s="189">
        <f>G3/C11</f>
        <v>360</v>
      </c>
      <c r="D13" s="188" t="s">
        <v>10</v>
      </c>
      <c r="E13" s="179"/>
      <c r="F13" s="188" t="s">
        <v>116</v>
      </c>
      <c r="G13" s="189">
        <f>C22/(C19^2)</f>
        <v>0.48804300590189398</v>
      </c>
      <c r="H13" s="188" t="s">
        <v>117</v>
      </c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51" customHeight="1" x14ac:dyDescent="0.2">
      <c r="A14" s="179"/>
      <c r="B14" s="185" t="s">
        <v>118</v>
      </c>
      <c r="C14" s="186"/>
      <c r="D14" s="186"/>
      <c r="E14" s="179"/>
      <c r="F14" s="188" t="s">
        <v>119</v>
      </c>
      <c r="G14" s="189">
        <f>10^6/(2*PI()*G2*G11)</f>
        <v>509.29581789406507</v>
      </c>
      <c r="H14" s="188" t="s">
        <v>15</v>
      </c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x14ac:dyDescent="0.2">
      <c r="A15" s="179"/>
      <c r="B15" s="188" t="s">
        <v>120</v>
      </c>
      <c r="C15" s="189">
        <f>(G3^2)/C5</f>
        <v>0.625</v>
      </c>
      <c r="D15" s="188" t="s">
        <v>111</v>
      </c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79"/>
      <c r="B16" s="188" t="s">
        <v>36</v>
      </c>
      <c r="C16" s="189">
        <f>G3/C15</f>
        <v>400</v>
      </c>
      <c r="D16" s="188" t="s">
        <v>121</v>
      </c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79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25.5" x14ac:dyDescent="0.2">
      <c r="A18" s="179"/>
      <c r="B18" s="185" t="s">
        <v>122</v>
      </c>
      <c r="C18" s="186"/>
      <c r="D18" s="186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25.5" x14ac:dyDescent="0.2">
      <c r="A19" s="179"/>
      <c r="B19" s="188" t="s">
        <v>123</v>
      </c>
      <c r="C19" s="189">
        <f>SQRT((C16^2)+((C12-G12)^2))</f>
        <v>512.24993899462788</v>
      </c>
      <c r="D19" s="188" t="s">
        <v>121</v>
      </c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x14ac:dyDescent="0.2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ht="38.25" x14ac:dyDescent="0.2">
      <c r="A21" s="179"/>
      <c r="B21" s="185" t="s">
        <v>124</v>
      </c>
      <c r="C21" s="186"/>
      <c r="D21" s="186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x14ac:dyDescent="0.2">
      <c r="A22" s="179"/>
      <c r="B22" s="188" t="s">
        <v>125</v>
      </c>
      <c r="C22" s="189">
        <f>SQRT(C5^2+(C6-C7)^2)</f>
        <v>128062.48474865698</v>
      </c>
      <c r="D22" s="188" t="s">
        <v>104</v>
      </c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ht="25.5" x14ac:dyDescent="0.2">
      <c r="A23" s="179"/>
      <c r="B23" s="188" t="s">
        <v>126</v>
      </c>
      <c r="C23" s="189">
        <f>ROUND(TAN(ACOS(C25)*180/PI()*PI()/180),4)</f>
        <v>0.8</v>
      </c>
      <c r="D23" s="188" t="s">
        <v>127</v>
      </c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25.5" x14ac:dyDescent="0.2">
      <c r="A24" s="179"/>
      <c r="B24" s="188" t="s">
        <v>128</v>
      </c>
      <c r="C24" s="189">
        <f>G3*C19*C27</f>
        <v>80000</v>
      </c>
      <c r="D24" s="188" t="s">
        <v>35</v>
      </c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38.25" x14ac:dyDescent="0.2">
      <c r="A25" s="179"/>
      <c r="B25" s="188" t="s">
        <v>129</v>
      </c>
      <c r="C25" s="189">
        <f>C5/C22</f>
        <v>0.78086880944303028</v>
      </c>
      <c r="D25" s="188" t="s">
        <v>127</v>
      </c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25.5" x14ac:dyDescent="0.2">
      <c r="A26" s="179"/>
      <c r="B26" s="188" t="s">
        <v>130</v>
      </c>
      <c r="C26" s="189">
        <f>ROUND(ACOS(C25)*180/PI(),4)</f>
        <v>38.659799999999997</v>
      </c>
      <c r="D26" s="188" t="s">
        <v>40</v>
      </c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x14ac:dyDescent="0.2">
      <c r="A27" s="179"/>
      <c r="B27" s="188" t="s">
        <v>131</v>
      </c>
      <c r="C27" s="189">
        <f>SIN(ACOS(C25)*180/PI()*PI()/180)</f>
        <v>0.62469504755442429</v>
      </c>
      <c r="D27" s="188" t="s">
        <v>127</v>
      </c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x14ac:dyDescent="0.2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x14ac:dyDescent="0.2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x14ac:dyDescent="0.2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x14ac:dyDescent="0.2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x14ac:dyDescent="0.2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x14ac:dyDescent="0.2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x14ac:dyDescent="0.2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x14ac:dyDescent="0.2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x14ac:dyDescent="0.2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x14ac:dyDescent="0.2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x14ac:dyDescent="0.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x14ac:dyDescent="0.2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x14ac:dyDescent="0.2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x14ac:dyDescent="0.2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x14ac:dyDescent="0.2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x14ac:dyDescent="0.2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x14ac:dyDescent="0.2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x14ac:dyDescent="0.2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x14ac:dyDescent="0.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x14ac:dyDescent="0.2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x14ac:dyDescent="0.2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x14ac:dyDescent="0.2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x14ac:dyDescent="0.2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x14ac:dyDescent="0.2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x14ac:dyDescent="0.2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x14ac:dyDescent="0.2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x14ac:dyDescent="0.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x14ac:dyDescent="0.2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x14ac:dyDescent="0.2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x14ac:dyDescent="0.2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x14ac:dyDescent="0.2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x14ac:dyDescent="0.2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x14ac:dyDescent="0.2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x14ac:dyDescent="0.2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x14ac:dyDescent="0.2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x14ac:dyDescent="0.2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x14ac:dyDescent="0.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x14ac:dyDescent="0.2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x14ac:dyDescent="0.2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x14ac:dyDescent="0.2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x14ac:dyDescent="0.2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x14ac:dyDescent="0.2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x14ac:dyDescent="0.2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x14ac:dyDescent="0.2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x14ac:dyDescent="0.2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x14ac:dyDescent="0.2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x14ac:dyDescent="0.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x14ac:dyDescent="0.2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x14ac:dyDescent="0.2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x14ac:dyDescent="0.2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x14ac:dyDescent="0.2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x14ac:dyDescent="0.2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x14ac:dyDescent="0.2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x14ac:dyDescent="0.2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x14ac:dyDescent="0.2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x14ac:dyDescent="0.2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x14ac:dyDescent="0.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x14ac:dyDescent="0.2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x14ac:dyDescent="0.2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x14ac:dyDescent="0.2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x14ac:dyDescent="0.2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x14ac:dyDescent="0.2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x14ac:dyDescent="0.2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x14ac:dyDescent="0.2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x14ac:dyDescent="0.2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x14ac:dyDescent="0.2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x14ac:dyDescent="0.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x14ac:dyDescent="0.2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x14ac:dyDescent="0.2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x14ac:dyDescent="0.2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x14ac:dyDescent="0.2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x14ac:dyDescent="0.2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x14ac:dyDescent="0.2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x14ac:dyDescent="0.2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x14ac:dyDescent="0.2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x14ac:dyDescent="0.2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x14ac:dyDescent="0.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x14ac:dyDescent="0.2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x14ac:dyDescent="0.2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x14ac:dyDescent="0.2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x14ac:dyDescent="0.2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x14ac:dyDescent="0.2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x14ac:dyDescent="0.2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x14ac:dyDescent="0.2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x14ac:dyDescent="0.2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x14ac:dyDescent="0.2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x14ac:dyDescent="0.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x14ac:dyDescent="0.2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x14ac:dyDescent="0.2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x14ac:dyDescent="0.2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x14ac:dyDescent="0.2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x14ac:dyDescent="0.2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x14ac:dyDescent="0.2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x14ac:dyDescent="0.2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x14ac:dyDescent="0.2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x14ac:dyDescent="0.2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x14ac:dyDescent="0.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x14ac:dyDescent="0.2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x14ac:dyDescent="0.2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x14ac:dyDescent="0.2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x14ac:dyDescent="0.2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x14ac:dyDescent="0.2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x14ac:dyDescent="0.2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x14ac:dyDescent="0.2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x14ac:dyDescent="0.2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x14ac:dyDescent="0.2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x14ac:dyDescent="0.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x14ac:dyDescent="0.2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x14ac:dyDescent="0.2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x14ac:dyDescent="0.2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x14ac:dyDescent="0.2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x14ac:dyDescent="0.2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x14ac:dyDescent="0.2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x14ac:dyDescent="0.2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x14ac:dyDescent="0.2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x14ac:dyDescent="0.2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x14ac:dyDescent="0.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x14ac:dyDescent="0.2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x14ac:dyDescent="0.2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x14ac:dyDescent="0.2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x14ac:dyDescent="0.2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x14ac:dyDescent="0.2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x14ac:dyDescent="0.2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x14ac:dyDescent="0.2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x14ac:dyDescent="0.2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x14ac:dyDescent="0.2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x14ac:dyDescent="0.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x14ac:dyDescent="0.2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x14ac:dyDescent="0.2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x14ac:dyDescent="0.2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x14ac:dyDescent="0.2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x14ac:dyDescent="0.2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x14ac:dyDescent="0.2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x14ac:dyDescent="0.2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x14ac:dyDescent="0.2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x14ac:dyDescent="0.2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x14ac:dyDescent="0.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x14ac:dyDescent="0.2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x14ac:dyDescent="0.2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x14ac:dyDescent="0.2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x14ac:dyDescent="0.2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x14ac:dyDescent="0.2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x14ac:dyDescent="0.2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x14ac:dyDescent="0.2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x14ac:dyDescent="0.2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spans="1:26" x14ac:dyDescent="0.2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spans="1:26" x14ac:dyDescent="0.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spans="1:26" x14ac:dyDescent="0.2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spans="1:26" x14ac:dyDescent="0.2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spans="1:26" x14ac:dyDescent="0.2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spans="1:26" x14ac:dyDescent="0.2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spans="1:26" x14ac:dyDescent="0.2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spans="1:26" x14ac:dyDescent="0.2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spans="1:26" x14ac:dyDescent="0.2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spans="1:26" x14ac:dyDescent="0.2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spans="1:26" x14ac:dyDescent="0.2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spans="1:26" x14ac:dyDescent="0.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spans="1:26" x14ac:dyDescent="0.2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spans="1:26" x14ac:dyDescent="0.2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spans="1:26" x14ac:dyDescent="0.2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spans="1:26" x14ac:dyDescent="0.2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spans="1:26" x14ac:dyDescent="0.2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spans="1:26" x14ac:dyDescent="0.2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spans="1:26" x14ac:dyDescent="0.2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spans="1:26" x14ac:dyDescent="0.2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spans="1:26" x14ac:dyDescent="0.2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spans="1:26" x14ac:dyDescent="0.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spans="1:26" x14ac:dyDescent="0.2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spans="1:26" x14ac:dyDescent="0.2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spans="1:26" x14ac:dyDescent="0.2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spans="1:26" x14ac:dyDescent="0.2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spans="1:26" x14ac:dyDescent="0.2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spans="1:26" x14ac:dyDescent="0.2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spans="1:26" x14ac:dyDescent="0.2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spans="1:26" x14ac:dyDescent="0.2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spans="1:26" x14ac:dyDescent="0.2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spans="1:26" x14ac:dyDescent="0.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 spans="1:26" x14ac:dyDescent="0.2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 spans="1:26" x14ac:dyDescent="0.2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 spans="1:26" x14ac:dyDescent="0.2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 spans="1:26" x14ac:dyDescent="0.2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 spans="1:26" x14ac:dyDescent="0.2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 spans="1:26" x14ac:dyDescent="0.2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 spans="1:26" x14ac:dyDescent="0.2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 spans="1:26" x14ac:dyDescent="0.2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 spans="1:26" x14ac:dyDescent="0.2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 spans="1:26" x14ac:dyDescent="0.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 spans="1:26" x14ac:dyDescent="0.2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 spans="1:26" x14ac:dyDescent="0.2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 spans="1:26" x14ac:dyDescent="0.2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 spans="1:26" x14ac:dyDescent="0.2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 spans="1:26" x14ac:dyDescent="0.2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 spans="1:26" x14ac:dyDescent="0.2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 spans="1:26" x14ac:dyDescent="0.2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 spans="1:26" x14ac:dyDescent="0.2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 spans="1:26" x14ac:dyDescent="0.2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 spans="1:26" x14ac:dyDescent="0.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 spans="1:26" x14ac:dyDescent="0.2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 spans="1:26" x14ac:dyDescent="0.2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 spans="1:26" x14ac:dyDescent="0.2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 spans="1:26" x14ac:dyDescent="0.2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 spans="1:26" x14ac:dyDescent="0.2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 spans="1:26" x14ac:dyDescent="0.2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 spans="1:26" x14ac:dyDescent="0.2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 spans="1:26" x14ac:dyDescent="0.2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 spans="1:26" x14ac:dyDescent="0.2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 spans="1:26" x14ac:dyDescent="0.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 spans="1:26" x14ac:dyDescent="0.2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 spans="1:26" x14ac:dyDescent="0.2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 spans="1:26" x14ac:dyDescent="0.2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 spans="1:26" x14ac:dyDescent="0.2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 spans="1:26" x14ac:dyDescent="0.2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 spans="1:26" x14ac:dyDescent="0.2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 spans="1:26" x14ac:dyDescent="0.2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 spans="1:26" x14ac:dyDescent="0.2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 spans="1:26" x14ac:dyDescent="0.2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 spans="1:26" x14ac:dyDescent="0.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 spans="1:26" x14ac:dyDescent="0.2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 spans="1:26" x14ac:dyDescent="0.2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 spans="1:26" x14ac:dyDescent="0.2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 spans="1:26" x14ac:dyDescent="0.2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 spans="1:26" x14ac:dyDescent="0.2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 spans="1:26" x14ac:dyDescent="0.2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 spans="1:26" x14ac:dyDescent="0.2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 spans="1:26" x14ac:dyDescent="0.2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 spans="1:26" x14ac:dyDescent="0.2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 spans="1:26" x14ac:dyDescent="0.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 spans="1:26" x14ac:dyDescent="0.2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 spans="1:26" x14ac:dyDescent="0.2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 spans="1:26" x14ac:dyDescent="0.2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 spans="1:26" x14ac:dyDescent="0.2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 spans="1:26" x14ac:dyDescent="0.2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 spans="1:26" x14ac:dyDescent="0.2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 spans="1:26" x14ac:dyDescent="0.2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 spans="1:26" x14ac:dyDescent="0.2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 spans="1:26" x14ac:dyDescent="0.2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 spans="1:26" x14ac:dyDescent="0.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 spans="1:26" x14ac:dyDescent="0.2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 spans="1:26" x14ac:dyDescent="0.2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 spans="1:26" x14ac:dyDescent="0.2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 spans="1:26" x14ac:dyDescent="0.2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 spans="1:26" x14ac:dyDescent="0.2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 spans="1:26" x14ac:dyDescent="0.2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 spans="1:26" x14ac:dyDescent="0.2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 spans="1:26" x14ac:dyDescent="0.2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 spans="1:26" x14ac:dyDescent="0.2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 spans="1:26" x14ac:dyDescent="0.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 spans="1:26" x14ac:dyDescent="0.2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 spans="1:26" x14ac:dyDescent="0.2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 spans="1:26" x14ac:dyDescent="0.2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 spans="1:26" x14ac:dyDescent="0.2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 spans="1:26" x14ac:dyDescent="0.2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 spans="1:26" x14ac:dyDescent="0.2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 spans="1:26" x14ac:dyDescent="0.2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 spans="1:26" x14ac:dyDescent="0.2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 spans="1:26" x14ac:dyDescent="0.2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 spans="1:26" x14ac:dyDescent="0.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 spans="1:26" x14ac:dyDescent="0.2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 spans="1:26" x14ac:dyDescent="0.2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 spans="1:26" x14ac:dyDescent="0.2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 spans="1:26" x14ac:dyDescent="0.2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 spans="1:26" x14ac:dyDescent="0.2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 spans="1:26" x14ac:dyDescent="0.2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 spans="1:26" x14ac:dyDescent="0.2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 spans="1:26" x14ac:dyDescent="0.2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 spans="1:26" x14ac:dyDescent="0.2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 spans="1:26" x14ac:dyDescent="0.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 spans="1:26" x14ac:dyDescent="0.2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 spans="1:26" x14ac:dyDescent="0.2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 spans="1:26" x14ac:dyDescent="0.2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 spans="1:26" x14ac:dyDescent="0.2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 spans="1:26" x14ac:dyDescent="0.2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 spans="1:26" x14ac:dyDescent="0.2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 spans="1:26" x14ac:dyDescent="0.2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 spans="1:26" x14ac:dyDescent="0.2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 spans="1:26" x14ac:dyDescent="0.2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 spans="1:26" x14ac:dyDescent="0.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 spans="1:26" x14ac:dyDescent="0.2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 spans="1:26" x14ac:dyDescent="0.2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 spans="1:26" x14ac:dyDescent="0.2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 spans="1:26" x14ac:dyDescent="0.2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 spans="1:26" x14ac:dyDescent="0.2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 spans="1:26" x14ac:dyDescent="0.2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 spans="1:26" x14ac:dyDescent="0.2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 spans="1:26" x14ac:dyDescent="0.2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 spans="1:26" x14ac:dyDescent="0.2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 spans="1:26" x14ac:dyDescent="0.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 spans="1:26" x14ac:dyDescent="0.2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 spans="1:26" x14ac:dyDescent="0.2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 spans="1:26" x14ac:dyDescent="0.2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 spans="1:26" x14ac:dyDescent="0.2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 spans="1:26" x14ac:dyDescent="0.2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 spans="1:26" x14ac:dyDescent="0.2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 spans="1:26" x14ac:dyDescent="0.2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 spans="1:26" x14ac:dyDescent="0.2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 spans="1:26" x14ac:dyDescent="0.2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 spans="1:26" x14ac:dyDescent="0.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 spans="1:26" x14ac:dyDescent="0.2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 spans="1:26" x14ac:dyDescent="0.2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 spans="1:26" x14ac:dyDescent="0.2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 spans="1:26" x14ac:dyDescent="0.2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 spans="1:26" x14ac:dyDescent="0.2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 spans="1:26" x14ac:dyDescent="0.2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 spans="1:26" x14ac:dyDescent="0.2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 spans="1:26" x14ac:dyDescent="0.2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 spans="1:26" x14ac:dyDescent="0.2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 spans="1:26" x14ac:dyDescent="0.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 spans="1:26" x14ac:dyDescent="0.2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 spans="1:26" x14ac:dyDescent="0.2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 spans="1:26" x14ac:dyDescent="0.2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 spans="1:26" x14ac:dyDescent="0.2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 spans="1:26" x14ac:dyDescent="0.2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 spans="1:26" x14ac:dyDescent="0.2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 spans="1:26" x14ac:dyDescent="0.2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 spans="1:26" x14ac:dyDescent="0.2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 spans="1:26" x14ac:dyDescent="0.2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 spans="1:26" x14ac:dyDescent="0.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 spans="1:26" x14ac:dyDescent="0.2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 spans="1:26" x14ac:dyDescent="0.2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 spans="1:26" x14ac:dyDescent="0.2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 spans="1:26" x14ac:dyDescent="0.2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 spans="1:26" x14ac:dyDescent="0.2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 spans="1:26" x14ac:dyDescent="0.2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 spans="1:26" x14ac:dyDescent="0.2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 spans="1:26" x14ac:dyDescent="0.2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 spans="1:26" x14ac:dyDescent="0.2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 spans="1:26" x14ac:dyDescent="0.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 spans="1:26" x14ac:dyDescent="0.2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 spans="1:26" x14ac:dyDescent="0.2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 spans="1:26" x14ac:dyDescent="0.2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 spans="1:26" x14ac:dyDescent="0.2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 spans="1:26" x14ac:dyDescent="0.2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 spans="1:26" x14ac:dyDescent="0.2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 spans="1:26" x14ac:dyDescent="0.2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 spans="1:26" x14ac:dyDescent="0.2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 spans="1:26" x14ac:dyDescent="0.2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 spans="1:26" x14ac:dyDescent="0.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 spans="1:26" x14ac:dyDescent="0.2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 spans="1:26" x14ac:dyDescent="0.2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 spans="1:26" x14ac:dyDescent="0.2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 spans="1:26" x14ac:dyDescent="0.2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 spans="1:26" x14ac:dyDescent="0.2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 spans="1:26" x14ac:dyDescent="0.2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 spans="1:26" x14ac:dyDescent="0.2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 spans="1:26" x14ac:dyDescent="0.2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 spans="1:26" x14ac:dyDescent="0.2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 spans="1:26" x14ac:dyDescent="0.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 spans="1:26" x14ac:dyDescent="0.2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 spans="1:26" x14ac:dyDescent="0.2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 spans="1:26" x14ac:dyDescent="0.2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 spans="1:26" x14ac:dyDescent="0.2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 spans="1:26" x14ac:dyDescent="0.2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 spans="1:26" x14ac:dyDescent="0.2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 spans="1:26" x14ac:dyDescent="0.2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 spans="1:26" x14ac:dyDescent="0.2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 spans="1:26" x14ac:dyDescent="0.2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 spans="1:26" x14ac:dyDescent="0.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 spans="1:26" x14ac:dyDescent="0.2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 spans="1:26" x14ac:dyDescent="0.2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 spans="1:26" x14ac:dyDescent="0.2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 spans="1:26" x14ac:dyDescent="0.2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 spans="1:26" x14ac:dyDescent="0.2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 spans="1:26" x14ac:dyDescent="0.2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 spans="1:26" x14ac:dyDescent="0.2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 spans="1:26" x14ac:dyDescent="0.2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 spans="1:26" x14ac:dyDescent="0.2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 spans="1:26" x14ac:dyDescent="0.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 spans="1:26" x14ac:dyDescent="0.2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 spans="1:26" x14ac:dyDescent="0.2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 spans="1:26" x14ac:dyDescent="0.2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 spans="1:26" x14ac:dyDescent="0.2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 spans="1:26" x14ac:dyDescent="0.2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 spans="1:26" x14ac:dyDescent="0.2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 spans="1:26" x14ac:dyDescent="0.2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 spans="1:26" x14ac:dyDescent="0.2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 spans="1:26" x14ac:dyDescent="0.2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 spans="1:26" x14ac:dyDescent="0.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 spans="1:26" x14ac:dyDescent="0.2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 spans="1:26" x14ac:dyDescent="0.2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 spans="1:26" x14ac:dyDescent="0.2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 spans="1:26" x14ac:dyDescent="0.2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 spans="1:26" x14ac:dyDescent="0.2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 spans="1:26" x14ac:dyDescent="0.2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 spans="1:26" x14ac:dyDescent="0.2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 spans="1:26" x14ac:dyDescent="0.2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 spans="1:26" x14ac:dyDescent="0.2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 spans="1:26" x14ac:dyDescent="0.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 spans="1:26" x14ac:dyDescent="0.2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 spans="1:26" x14ac:dyDescent="0.2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 spans="1:26" x14ac:dyDescent="0.2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 spans="1:26" x14ac:dyDescent="0.2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 spans="1:26" x14ac:dyDescent="0.2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 spans="1:26" x14ac:dyDescent="0.2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 spans="1:26" x14ac:dyDescent="0.2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 spans="1:26" x14ac:dyDescent="0.2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 spans="1:26" x14ac:dyDescent="0.2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 spans="1:26" x14ac:dyDescent="0.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 spans="1:26" x14ac:dyDescent="0.2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 spans="1:26" x14ac:dyDescent="0.2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 spans="1:26" x14ac:dyDescent="0.2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 spans="1:26" x14ac:dyDescent="0.2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 spans="1:26" x14ac:dyDescent="0.2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 spans="1:26" x14ac:dyDescent="0.2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 spans="1:26" x14ac:dyDescent="0.2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 spans="1:26" x14ac:dyDescent="0.2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 spans="1:26" x14ac:dyDescent="0.2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 spans="1:26" x14ac:dyDescent="0.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 spans="1:26" x14ac:dyDescent="0.2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 spans="1:26" x14ac:dyDescent="0.2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 spans="1:26" x14ac:dyDescent="0.2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 spans="1:26" x14ac:dyDescent="0.2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 spans="1:26" x14ac:dyDescent="0.2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 spans="1:26" x14ac:dyDescent="0.2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 spans="1:26" x14ac:dyDescent="0.2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 spans="1:26" x14ac:dyDescent="0.2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 spans="1:26" x14ac:dyDescent="0.2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 spans="1:26" x14ac:dyDescent="0.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 spans="1:26" x14ac:dyDescent="0.2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 spans="1:26" x14ac:dyDescent="0.2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 spans="1:26" x14ac:dyDescent="0.2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 spans="1:26" x14ac:dyDescent="0.2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 spans="1:26" x14ac:dyDescent="0.2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 spans="1:26" x14ac:dyDescent="0.2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 spans="1:26" x14ac:dyDescent="0.2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 spans="1:26" x14ac:dyDescent="0.2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 spans="1:26" x14ac:dyDescent="0.2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 spans="1:26" x14ac:dyDescent="0.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 spans="1:26" x14ac:dyDescent="0.2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 spans="1:26" x14ac:dyDescent="0.2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 spans="1:26" x14ac:dyDescent="0.2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 spans="1:26" x14ac:dyDescent="0.2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 spans="1:26" x14ac:dyDescent="0.2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 spans="1:26" x14ac:dyDescent="0.2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 spans="1:26" x14ac:dyDescent="0.2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 spans="1:26" x14ac:dyDescent="0.2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 spans="1:26" x14ac:dyDescent="0.2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 spans="1:26" x14ac:dyDescent="0.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 spans="1:26" x14ac:dyDescent="0.2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 spans="1:26" x14ac:dyDescent="0.2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 spans="1:26" x14ac:dyDescent="0.2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 spans="1:26" x14ac:dyDescent="0.2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 spans="1:26" x14ac:dyDescent="0.2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 spans="1:26" x14ac:dyDescent="0.2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 spans="1:26" x14ac:dyDescent="0.2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 spans="1:26" x14ac:dyDescent="0.2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 spans="1:26" x14ac:dyDescent="0.2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 spans="1:26" x14ac:dyDescent="0.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 spans="1:26" x14ac:dyDescent="0.2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 spans="1:26" x14ac:dyDescent="0.2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 spans="1:26" x14ac:dyDescent="0.2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 spans="1:26" x14ac:dyDescent="0.2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 spans="1:26" x14ac:dyDescent="0.2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 spans="1:26" x14ac:dyDescent="0.2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 spans="1:26" x14ac:dyDescent="0.2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 spans="1:26" x14ac:dyDescent="0.2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 spans="1:26" x14ac:dyDescent="0.2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 spans="1:26" x14ac:dyDescent="0.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 spans="1:26" x14ac:dyDescent="0.2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 spans="1:26" x14ac:dyDescent="0.2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 spans="1:26" x14ac:dyDescent="0.2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 spans="1:26" x14ac:dyDescent="0.2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 spans="1:26" x14ac:dyDescent="0.2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 spans="1:26" x14ac:dyDescent="0.2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 spans="1:26" x14ac:dyDescent="0.2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 spans="1:26" x14ac:dyDescent="0.2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 spans="1:26" x14ac:dyDescent="0.2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 spans="1:26" x14ac:dyDescent="0.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 spans="1:26" x14ac:dyDescent="0.2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 spans="1:26" x14ac:dyDescent="0.2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 spans="1:26" x14ac:dyDescent="0.2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 spans="1:26" x14ac:dyDescent="0.2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 spans="1:26" x14ac:dyDescent="0.2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 spans="1:26" x14ac:dyDescent="0.2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 spans="1:26" x14ac:dyDescent="0.2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 spans="1:26" x14ac:dyDescent="0.2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 spans="1:26" x14ac:dyDescent="0.2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 spans="1:26" x14ac:dyDescent="0.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 spans="1:26" x14ac:dyDescent="0.2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 spans="1:26" x14ac:dyDescent="0.2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 spans="1:26" x14ac:dyDescent="0.2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 spans="1:26" x14ac:dyDescent="0.2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 spans="1:26" x14ac:dyDescent="0.2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 spans="1:26" x14ac:dyDescent="0.2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 spans="1:26" x14ac:dyDescent="0.2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 spans="1:26" x14ac:dyDescent="0.2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 spans="1:26" x14ac:dyDescent="0.2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 spans="1:26" x14ac:dyDescent="0.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 spans="1:26" x14ac:dyDescent="0.2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 spans="1:26" x14ac:dyDescent="0.2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 spans="1:26" x14ac:dyDescent="0.2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 spans="1:26" x14ac:dyDescent="0.2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 spans="1:26" x14ac:dyDescent="0.2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 spans="1:26" x14ac:dyDescent="0.2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 spans="1:26" x14ac:dyDescent="0.2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 spans="1:26" x14ac:dyDescent="0.2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 spans="1:26" x14ac:dyDescent="0.2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 spans="1:26" x14ac:dyDescent="0.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 spans="1:26" x14ac:dyDescent="0.2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 spans="1:26" x14ac:dyDescent="0.2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 spans="1:26" x14ac:dyDescent="0.2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 spans="1:26" x14ac:dyDescent="0.2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 spans="1:26" x14ac:dyDescent="0.2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 spans="1:26" x14ac:dyDescent="0.2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 spans="1:26" x14ac:dyDescent="0.2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 spans="1:26" x14ac:dyDescent="0.2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 spans="1:26" x14ac:dyDescent="0.2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 spans="1:26" x14ac:dyDescent="0.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 spans="1:26" x14ac:dyDescent="0.2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 spans="1:26" x14ac:dyDescent="0.2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 spans="1:26" x14ac:dyDescent="0.2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 spans="1:26" x14ac:dyDescent="0.2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 spans="1:26" x14ac:dyDescent="0.2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 spans="1:26" x14ac:dyDescent="0.2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 spans="1:26" x14ac:dyDescent="0.2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 spans="1:26" x14ac:dyDescent="0.2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 spans="1:26" x14ac:dyDescent="0.2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 spans="1:26" x14ac:dyDescent="0.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 spans="1:26" x14ac:dyDescent="0.2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 spans="1:26" x14ac:dyDescent="0.2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 spans="1:26" x14ac:dyDescent="0.2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 spans="1:26" x14ac:dyDescent="0.2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 spans="1:26" x14ac:dyDescent="0.2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 spans="1:26" x14ac:dyDescent="0.2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 spans="1:26" x14ac:dyDescent="0.2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 spans="1:26" x14ac:dyDescent="0.2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 spans="1:26" x14ac:dyDescent="0.2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 spans="1:26" x14ac:dyDescent="0.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 spans="1:26" x14ac:dyDescent="0.2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 spans="1:26" x14ac:dyDescent="0.2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 spans="1:26" x14ac:dyDescent="0.2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 spans="1:26" x14ac:dyDescent="0.2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 spans="1:26" x14ac:dyDescent="0.2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 spans="1:26" x14ac:dyDescent="0.2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 spans="1:26" x14ac:dyDescent="0.2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 spans="1:26" x14ac:dyDescent="0.2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 spans="1:26" x14ac:dyDescent="0.2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 spans="1:26" x14ac:dyDescent="0.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 spans="1:26" x14ac:dyDescent="0.2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 spans="1:26" x14ac:dyDescent="0.2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 spans="1:26" x14ac:dyDescent="0.2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 spans="1:26" x14ac:dyDescent="0.2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 spans="1:26" x14ac:dyDescent="0.2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 spans="1:26" x14ac:dyDescent="0.2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 spans="1:26" x14ac:dyDescent="0.2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 spans="1:26" x14ac:dyDescent="0.2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 spans="1:26" x14ac:dyDescent="0.2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 spans="1:26" x14ac:dyDescent="0.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 spans="1:26" x14ac:dyDescent="0.2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 spans="1:26" x14ac:dyDescent="0.2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 spans="1:26" x14ac:dyDescent="0.2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 spans="1:26" x14ac:dyDescent="0.2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 spans="1:26" x14ac:dyDescent="0.2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 spans="1:26" x14ac:dyDescent="0.2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 spans="1:26" x14ac:dyDescent="0.2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 spans="1:26" x14ac:dyDescent="0.2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 spans="1:26" x14ac:dyDescent="0.2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 spans="1:26" x14ac:dyDescent="0.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 spans="1:26" x14ac:dyDescent="0.2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 spans="1:26" x14ac:dyDescent="0.2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 spans="1:26" x14ac:dyDescent="0.2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 spans="1:26" x14ac:dyDescent="0.2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 spans="1:26" x14ac:dyDescent="0.2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 spans="1:26" x14ac:dyDescent="0.2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 spans="1:26" x14ac:dyDescent="0.2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 spans="1:26" x14ac:dyDescent="0.2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 spans="1:26" x14ac:dyDescent="0.2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 spans="1:26" x14ac:dyDescent="0.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 spans="1:26" x14ac:dyDescent="0.2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 spans="1:26" x14ac:dyDescent="0.2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 spans="1:26" x14ac:dyDescent="0.2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 spans="1:26" x14ac:dyDescent="0.2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 spans="1:26" x14ac:dyDescent="0.2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 spans="1:26" x14ac:dyDescent="0.2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 spans="1:26" x14ac:dyDescent="0.2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 spans="1:26" x14ac:dyDescent="0.2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 spans="1:26" x14ac:dyDescent="0.2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 spans="1:26" x14ac:dyDescent="0.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 spans="1:26" x14ac:dyDescent="0.2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 spans="1:26" x14ac:dyDescent="0.2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 spans="1:26" x14ac:dyDescent="0.2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 spans="1:26" x14ac:dyDescent="0.2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 spans="1:26" x14ac:dyDescent="0.2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 spans="1:26" x14ac:dyDescent="0.2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 spans="1:26" x14ac:dyDescent="0.2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 spans="1:26" x14ac:dyDescent="0.2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 spans="1:26" x14ac:dyDescent="0.2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 spans="1:26" x14ac:dyDescent="0.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 spans="1:26" x14ac:dyDescent="0.2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 spans="1:26" x14ac:dyDescent="0.2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 spans="1:26" x14ac:dyDescent="0.2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 spans="1:26" x14ac:dyDescent="0.2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 spans="1:26" x14ac:dyDescent="0.2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 spans="1:26" x14ac:dyDescent="0.2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 spans="1:26" x14ac:dyDescent="0.2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 spans="1:26" x14ac:dyDescent="0.2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 spans="1:26" x14ac:dyDescent="0.2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 spans="1:26" x14ac:dyDescent="0.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 spans="1:26" x14ac:dyDescent="0.2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 spans="1:26" x14ac:dyDescent="0.2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 spans="1:26" x14ac:dyDescent="0.2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 spans="1:26" x14ac:dyDescent="0.2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 spans="1:26" x14ac:dyDescent="0.2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 spans="1:26" x14ac:dyDescent="0.2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 spans="1:26" x14ac:dyDescent="0.2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 spans="1:26" x14ac:dyDescent="0.2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 spans="1:26" x14ac:dyDescent="0.2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 spans="1:26" x14ac:dyDescent="0.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 spans="1:26" x14ac:dyDescent="0.2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 spans="1:26" x14ac:dyDescent="0.2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 spans="1:26" x14ac:dyDescent="0.2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 spans="1:26" x14ac:dyDescent="0.2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 spans="1:26" x14ac:dyDescent="0.2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 spans="1:26" x14ac:dyDescent="0.2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 spans="1:26" x14ac:dyDescent="0.2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 spans="1:26" x14ac:dyDescent="0.2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 spans="1:26" x14ac:dyDescent="0.2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 spans="1:26" x14ac:dyDescent="0.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 spans="1:26" x14ac:dyDescent="0.2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 spans="1:26" x14ac:dyDescent="0.2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 spans="1:26" x14ac:dyDescent="0.2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 spans="1:26" x14ac:dyDescent="0.2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 spans="1:26" x14ac:dyDescent="0.2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 spans="1:26" x14ac:dyDescent="0.2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 spans="1:26" x14ac:dyDescent="0.2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 spans="1:26" x14ac:dyDescent="0.2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 spans="1:26" x14ac:dyDescent="0.2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 spans="1:26" x14ac:dyDescent="0.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 spans="1:26" x14ac:dyDescent="0.2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 spans="1:26" x14ac:dyDescent="0.2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 spans="1:26" x14ac:dyDescent="0.2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 spans="1:26" x14ac:dyDescent="0.2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 spans="1:26" x14ac:dyDescent="0.2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 spans="1:26" x14ac:dyDescent="0.2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 spans="1:26" x14ac:dyDescent="0.2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 spans="1:26" x14ac:dyDescent="0.2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 spans="1:26" x14ac:dyDescent="0.2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 spans="1:26" x14ac:dyDescent="0.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 spans="1:26" x14ac:dyDescent="0.2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 spans="1:26" x14ac:dyDescent="0.2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 spans="1:26" x14ac:dyDescent="0.2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 spans="1:26" x14ac:dyDescent="0.2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 spans="1:26" x14ac:dyDescent="0.2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 spans="1:26" x14ac:dyDescent="0.2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 spans="1:26" x14ac:dyDescent="0.2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 spans="1:26" x14ac:dyDescent="0.2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 spans="1:26" x14ac:dyDescent="0.2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 spans="1:26" x14ac:dyDescent="0.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 spans="1:26" x14ac:dyDescent="0.2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 spans="1:26" x14ac:dyDescent="0.2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 spans="1:26" x14ac:dyDescent="0.2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 spans="1:26" x14ac:dyDescent="0.2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 spans="1:26" x14ac:dyDescent="0.2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 spans="1:26" x14ac:dyDescent="0.2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 spans="1:26" x14ac:dyDescent="0.2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 spans="1:26" x14ac:dyDescent="0.2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 spans="1:26" x14ac:dyDescent="0.2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 spans="1:26" x14ac:dyDescent="0.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 spans="1:26" x14ac:dyDescent="0.2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 spans="1:26" x14ac:dyDescent="0.2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 spans="1:26" x14ac:dyDescent="0.2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 spans="1:26" x14ac:dyDescent="0.2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 spans="1:26" x14ac:dyDescent="0.2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 spans="1:26" x14ac:dyDescent="0.2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 spans="1:26" x14ac:dyDescent="0.2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 spans="1:26" x14ac:dyDescent="0.2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 spans="1:26" x14ac:dyDescent="0.2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 spans="1:26" x14ac:dyDescent="0.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 spans="1:26" x14ac:dyDescent="0.2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 spans="1:26" x14ac:dyDescent="0.2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 spans="1:26" x14ac:dyDescent="0.2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 spans="1:26" x14ac:dyDescent="0.2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 spans="1:26" x14ac:dyDescent="0.2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 spans="1:26" x14ac:dyDescent="0.2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 spans="1:26" x14ac:dyDescent="0.2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 spans="1:26" x14ac:dyDescent="0.2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 spans="1:26" x14ac:dyDescent="0.2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 spans="1:26" x14ac:dyDescent="0.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 spans="1:26" x14ac:dyDescent="0.2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 spans="1:26" x14ac:dyDescent="0.2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 spans="1:26" x14ac:dyDescent="0.2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 spans="1:26" x14ac:dyDescent="0.2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 spans="1:26" x14ac:dyDescent="0.2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 spans="1:26" x14ac:dyDescent="0.2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 spans="1:26" x14ac:dyDescent="0.2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 spans="1:26" x14ac:dyDescent="0.2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 spans="1:26" x14ac:dyDescent="0.2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 spans="1:26" x14ac:dyDescent="0.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 spans="1:26" x14ac:dyDescent="0.2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 spans="1:26" x14ac:dyDescent="0.2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 spans="1:26" x14ac:dyDescent="0.2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 spans="1:26" x14ac:dyDescent="0.2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 spans="1:26" x14ac:dyDescent="0.2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 spans="1:26" x14ac:dyDescent="0.2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 spans="1:26" x14ac:dyDescent="0.2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 spans="1:26" x14ac:dyDescent="0.2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 spans="1:26" x14ac:dyDescent="0.2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 spans="1:26" x14ac:dyDescent="0.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 spans="1:26" x14ac:dyDescent="0.2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 spans="1:26" x14ac:dyDescent="0.2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 spans="1:26" x14ac:dyDescent="0.2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 spans="1:26" x14ac:dyDescent="0.2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 spans="1:26" x14ac:dyDescent="0.2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 spans="1:26" x14ac:dyDescent="0.2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 spans="1:26" x14ac:dyDescent="0.2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 spans="1:26" x14ac:dyDescent="0.2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 spans="1:26" x14ac:dyDescent="0.2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 spans="1:26" x14ac:dyDescent="0.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 spans="1:26" x14ac:dyDescent="0.2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 spans="1:26" x14ac:dyDescent="0.2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 spans="1:26" x14ac:dyDescent="0.2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 spans="1:26" x14ac:dyDescent="0.2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 spans="1:26" x14ac:dyDescent="0.2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 spans="1:26" x14ac:dyDescent="0.2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 spans="1:26" x14ac:dyDescent="0.2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 spans="1:26" x14ac:dyDescent="0.2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 spans="1:26" x14ac:dyDescent="0.2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 spans="1:26" x14ac:dyDescent="0.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 spans="1:26" x14ac:dyDescent="0.2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 spans="1:26" x14ac:dyDescent="0.2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 spans="1:26" x14ac:dyDescent="0.2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 spans="1:26" x14ac:dyDescent="0.2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 spans="1:26" x14ac:dyDescent="0.2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 spans="1:26" x14ac:dyDescent="0.2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 spans="1:26" x14ac:dyDescent="0.2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 spans="1:26" x14ac:dyDescent="0.2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 spans="1:26" x14ac:dyDescent="0.2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 spans="1:26" x14ac:dyDescent="0.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 spans="1:26" x14ac:dyDescent="0.2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 spans="1:26" x14ac:dyDescent="0.2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 spans="1:26" x14ac:dyDescent="0.2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 spans="1:26" x14ac:dyDescent="0.2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 spans="1:26" x14ac:dyDescent="0.2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 spans="1:26" x14ac:dyDescent="0.2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 spans="1:26" x14ac:dyDescent="0.2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 spans="1:26" x14ac:dyDescent="0.2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 spans="1:26" x14ac:dyDescent="0.2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 spans="1:26" x14ac:dyDescent="0.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 spans="1:26" x14ac:dyDescent="0.2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 spans="1:26" x14ac:dyDescent="0.2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 spans="1:26" x14ac:dyDescent="0.2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 spans="1:26" x14ac:dyDescent="0.2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 spans="1:26" x14ac:dyDescent="0.2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 spans="1:26" x14ac:dyDescent="0.2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 spans="1:26" x14ac:dyDescent="0.2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 spans="1:26" x14ac:dyDescent="0.2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 spans="1:26" x14ac:dyDescent="0.2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 spans="1:26" x14ac:dyDescent="0.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 spans="1:26" x14ac:dyDescent="0.2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 spans="1:26" x14ac:dyDescent="0.2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 spans="1:26" x14ac:dyDescent="0.2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 spans="1:26" x14ac:dyDescent="0.2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 spans="1:26" x14ac:dyDescent="0.2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 spans="1:26" x14ac:dyDescent="0.2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 spans="1:26" x14ac:dyDescent="0.2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 spans="1:26" x14ac:dyDescent="0.2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 spans="1:26" x14ac:dyDescent="0.2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 spans="1:26" x14ac:dyDescent="0.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 spans="1:26" x14ac:dyDescent="0.2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 spans="1:26" x14ac:dyDescent="0.2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 spans="1:26" x14ac:dyDescent="0.2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 spans="1:26" x14ac:dyDescent="0.2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 spans="1:26" x14ac:dyDescent="0.2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 spans="1:26" x14ac:dyDescent="0.2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 spans="1:26" x14ac:dyDescent="0.2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 spans="1:26" x14ac:dyDescent="0.2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 spans="1:26" x14ac:dyDescent="0.2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 spans="1:26" x14ac:dyDescent="0.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 spans="1:26" x14ac:dyDescent="0.2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 spans="1:26" x14ac:dyDescent="0.2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 spans="1:26" x14ac:dyDescent="0.2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 spans="1:26" x14ac:dyDescent="0.2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 spans="1:26" x14ac:dyDescent="0.2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 spans="1:26" x14ac:dyDescent="0.2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 spans="1:26" x14ac:dyDescent="0.2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 spans="1:26" x14ac:dyDescent="0.2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 spans="1:26" x14ac:dyDescent="0.2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 spans="1:26" x14ac:dyDescent="0.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 spans="1:26" x14ac:dyDescent="0.2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 spans="1:26" x14ac:dyDescent="0.2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 spans="1:26" x14ac:dyDescent="0.2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 spans="1:26" x14ac:dyDescent="0.2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 spans="1:26" x14ac:dyDescent="0.2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 spans="1:26" x14ac:dyDescent="0.2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 spans="1:26" x14ac:dyDescent="0.2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 spans="1:26" x14ac:dyDescent="0.2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 spans="1:26" x14ac:dyDescent="0.2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 spans="1:26" x14ac:dyDescent="0.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 spans="1:26" x14ac:dyDescent="0.2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 spans="1:26" x14ac:dyDescent="0.2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 spans="1:26" x14ac:dyDescent="0.2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 spans="1:26" x14ac:dyDescent="0.2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 spans="1:26" x14ac:dyDescent="0.2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 spans="1:26" x14ac:dyDescent="0.2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 spans="1:26" x14ac:dyDescent="0.2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 spans="1:26" x14ac:dyDescent="0.2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 spans="1:26" x14ac:dyDescent="0.2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 spans="1:26" x14ac:dyDescent="0.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 spans="1:26" x14ac:dyDescent="0.2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 spans="1:26" x14ac:dyDescent="0.2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 spans="1:26" x14ac:dyDescent="0.2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 spans="1:26" x14ac:dyDescent="0.2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 spans="1:26" x14ac:dyDescent="0.2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 spans="1:26" x14ac:dyDescent="0.2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 spans="1:26" x14ac:dyDescent="0.2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 spans="1:26" x14ac:dyDescent="0.2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 spans="1:26" x14ac:dyDescent="0.2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 spans="1:26" x14ac:dyDescent="0.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 spans="1:26" x14ac:dyDescent="0.2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 spans="1:26" x14ac:dyDescent="0.2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 spans="1:26" x14ac:dyDescent="0.2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 spans="1:26" x14ac:dyDescent="0.2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 spans="1:26" x14ac:dyDescent="0.2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 spans="1:26" x14ac:dyDescent="0.2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 spans="1:26" x14ac:dyDescent="0.2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 spans="1:26" x14ac:dyDescent="0.2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 spans="1:26" x14ac:dyDescent="0.2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 spans="1:26" x14ac:dyDescent="0.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 spans="1:26" x14ac:dyDescent="0.2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 spans="1:26" x14ac:dyDescent="0.2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 spans="1:26" x14ac:dyDescent="0.2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 spans="1:26" x14ac:dyDescent="0.2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 spans="1:26" x14ac:dyDescent="0.2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 spans="1:26" x14ac:dyDescent="0.2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 spans="1:26" x14ac:dyDescent="0.2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 spans="1:26" x14ac:dyDescent="0.2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 spans="1:26" x14ac:dyDescent="0.2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 spans="1:26" x14ac:dyDescent="0.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 spans="1:26" x14ac:dyDescent="0.2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 spans="1:26" x14ac:dyDescent="0.2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 spans="1:26" x14ac:dyDescent="0.2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 spans="1:26" x14ac:dyDescent="0.2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 spans="1:26" x14ac:dyDescent="0.2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 spans="1:26" x14ac:dyDescent="0.2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 spans="1:26" x14ac:dyDescent="0.2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 spans="1:26" x14ac:dyDescent="0.2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 spans="1:26" x14ac:dyDescent="0.2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 spans="1:26" x14ac:dyDescent="0.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 spans="1:26" x14ac:dyDescent="0.2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 spans="1:26" x14ac:dyDescent="0.2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 spans="1:26" x14ac:dyDescent="0.2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 spans="1:26" x14ac:dyDescent="0.2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 spans="1:26" x14ac:dyDescent="0.2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 spans="1:26" x14ac:dyDescent="0.2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 spans="1:26" x14ac:dyDescent="0.2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 spans="1:26" x14ac:dyDescent="0.2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 spans="1:26" x14ac:dyDescent="0.2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 spans="1:26" x14ac:dyDescent="0.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 spans="1:26" x14ac:dyDescent="0.2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 spans="1:26" x14ac:dyDescent="0.2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 spans="1:26" x14ac:dyDescent="0.2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 spans="1:26" x14ac:dyDescent="0.2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 spans="1:26" x14ac:dyDescent="0.2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 spans="1:26" x14ac:dyDescent="0.2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 spans="1:26" x14ac:dyDescent="0.2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 spans="1:26" x14ac:dyDescent="0.2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 spans="1:26" x14ac:dyDescent="0.2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 spans="1:26" x14ac:dyDescent="0.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 spans="1:26" x14ac:dyDescent="0.2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 spans="1:26" x14ac:dyDescent="0.2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 spans="1:26" x14ac:dyDescent="0.2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 spans="1:26" x14ac:dyDescent="0.2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 spans="1:26" x14ac:dyDescent="0.2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 spans="1:26" x14ac:dyDescent="0.2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 spans="1:26" x14ac:dyDescent="0.2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 spans="1:26" x14ac:dyDescent="0.2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 spans="1:26" x14ac:dyDescent="0.2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 spans="1:26" x14ac:dyDescent="0.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 spans="1:26" x14ac:dyDescent="0.2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 spans="1:26" x14ac:dyDescent="0.2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 spans="1:26" x14ac:dyDescent="0.2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 spans="1:26" x14ac:dyDescent="0.2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 spans="1:26" x14ac:dyDescent="0.2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 spans="1:26" x14ac:dyDescent="0.2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 spans="1:26" x14ac:dyDescent="0.2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 spans="1:26" x14ac:dyDescent="0.2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 spans="1:26" x14ac:dyDescent="0.2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 spans="1:26" x14ac:dyDescent="0.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 spans="1:26" x14ac:dyDescent="0.2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 spans="1:26" x14ac:dyDescent="0.2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 spans="1:26" x14ac:dyDescent="0.2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 spans="1:26" x14ac:dyDescent="0.2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 spans="1:26" x14ac:dyDescent="0.2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 spans="1:26" x14ac:dyDescent="0.2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 spans="1:26" x14ac:dyDescent="0.2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 spans="1:26" x14ac:dyDescent="0.2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 spans="1:26" x14ac:dyDescent="0.2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 spans="1:26" x14ac:dyDescent="0.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 spans="1:26" x14ac:dyDescent="0.2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 spans="1:26" x14ac:dyDescent="0.2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 spans="1:26" x14ac:dyDescent="0.2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 spans="1:26" x14ac:dyDescent="0.2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 spans="1:26" x14ac:dyDescent="0.2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 spans="1:26" x14ac:dyDescent="0.2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 spans="1:26" x14ac:dyDescent="0.2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 spans="1:26" x14ac:dyDescent="0.2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 spans="1:26" x14ac:dyDescent="0.2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 spans="1:26" x14ac:dyDescent="0.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 spans="1:26" x14ac:dyDescent="0.2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 spans="1:26" x14ac:dyDescent="0.2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 spans="1:26" x14ac:dyDescent="0.2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 spans="1:26" x14ac:dyDescent="0.2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 spans="1:26" x14ac:dyDescent="0.2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 spans="1:26" x14ac:dyDescent="0.2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 spans="1:26" x14ac:dyDescent="0.2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 spans="1:26" x14ac:dyDescent="0.2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 spans="1:26" x14ac:dyDescent="0.2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 spans="1:26" x14ac:dyDescent="0.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 spans="1:26" x14ac:dyDescent="0.2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 spans="1:26" x14ac:dyDescent="0.2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 spans="1:26" x14ac:dyDescent="0.2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 spans="1:26" x14ac:dyDescent="0.2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 spans="1:26" x14ac:dyDescent="0.2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 spans="1:26" x14ac:dyDescent="0.2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 spans="1:26" x14ac:dyDescent="0.2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 spans="1:26" x14ac:dyDescent="0.2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 spans="1:26" x14ac:dyDescent="0.2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 spans="1:26" x14ac:dyDescent="0.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 spans="1:26" x14ac:dyDescent="0.2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 spans="1:26" x14ac:dyDescent="0.2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 spans="1:26" x14ac:dyDescent="0.2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 spans="1:26" x14ac:dyDescent="0.2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 spans="1:26" x14ac:dyDescent="0.2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 spans="1:26" x14ac:dyDescent="0.2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 spans="1:26" x14ac:dyDescent="0.2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 spans="1:26" x14ac:dyDescent="0.2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 spans="1:26" x14ac:dyDescent="0.2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 spans="1:26" x14ac:dyDescent="0.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 spans="1:26" x14ac:dyDescent="0.2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 spans="1:26" x14ac:dyDescent="0.2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 spans="1:26" x14ac:dyDescent="0.2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 spans="1:26" x14ac:dyDescent="0.2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 spans="1:26" x14ac:dyDescent="0.2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 spans="1:26" x14ac:dyDescent="0.2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 spans="1:26" x14ac:dyDescent="0.2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 spans="1:26" x14ac:dyDescent="0.2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 spans="1:26" x14ac:dyDescent="0.2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 spans="1:26" x14ac:dyDescent="0.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</sheetData>
  <mergeCells count="3">
    <mergeCell ref="A2:D2"/>
    <mergeCell ref="E2:F2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003"/>
  <sheetViews>
    <sheetView workbookViewId="0">
      <selection activeCell="D11" sqref="D11"/>
    </sheetView>
  </sheetViews>
  <sheetFormatPr baseColWidth="10" defaultRowHeight="12.75" x14ac:dyDescent="0.2"/>
  <cols>
    <col min="1" max="1" width="2.140625" customWidth="1"/>
    <col min="2" max="2" width="23.85546875" customWidth="1"/>
    <col min="3" max="3" width="19.7109375" customWidth="1"/>
    <col min="4" max="4" width="16" customWidth="1"/>
    <col min="5" max="5" width="1.5703125" customWidth="1"/>
    <col min="6" max="6" width="25.85546875" customWidth="1"/>
    <col min="7" max="7" width="19.7109375" customWidth="1"/>
  </cols>
  <sheetData>
    <row r="1" spans="1:28" x14ac:dyDescent="0.2">
      <c r="A1" s="179"/>
      <c r="B1" s="194" t="s">
        <v>49</v>
      </c>
      <c r="C1" s="194"/>
      <c r="D1" s="194"/>
      <c r="E1" s="194"/>
      <c r="F1" s="194"/>
      <c r="G1" s="194"/>
      <c r="H1" s="194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</row>
    <row r="2" spans="1:28" x14ac:dyDescent="0.2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</row>
    <row r="3" spans="1:28" x14ac:dyDescent="0.2">
      <c r="A3" s="179"/>
      <c r="B3" s="195" t="s">
        <v>50</v>
      </c>
      <c r="C3" s="195"/>
      <c r="D3" s="195"/>
      <c r="E3" s="179"/>
      <c r="F3" s="196"/>
      <c r="G3" s="196"/>
      <c r="H3" s="196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96" t="s">
        <v>52</v>
      </c>
      <c r="W3" s="196"/>
      <c r="X3" s="196"/>
      <c r="Y3" s="179"/>
      <c r="Z3" s="179"/>
      <c r="AA3" s="179"/>
      <c r="AB3" s="179"/>
    </row>
    <row r="4" spans="1:28" x14ac:dyDescent="0.2">
      <c r="A4" s="179"/>
      <c r="B4" s="195"/>
      <c r="C4" s="195"/>
      <c r="D4" s="195"/>
      <c r="E4" s="179"/>
      <c r="F4" s="196" t="s">
        <v>88</v>
      </c>
      <c r="G4" s="196"/>
      <c r="H4" s="196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97" t="s">
        <v>54</v>
      </c>
      <c r="W4" s="198">
        <v>1.7320508080000001</v>
      </c>
      <c r="X4" s="198"/>
      <c r="Y4" s="179"/>
      <c r="Z4" s="179"/>
      <c r="AA4" s="179"/>
      <c r="AB4" s="179"/>
    </row>
    <row r="5" spans="1:28" ht="24.75" customHeight="1" x14ac:dyDescent="0.2">
      <c r="A5" s="179"/>
      <c r="B5" s="199" t="s">
        <v>89</v>
      </c>
      <c r="C5" s="201">
        <f>PARALELO_D!C25</f>
        <v>0.78086880944303028</v>
      </c>
      <c r="D5" s="200">
        <v>1.2806</v>
      </c>
      <c r="E5" s="179"/>
      <c r="F5" s="197" t="s">
        <v>56</v>
      </c>
      <c r="G5" s="201">
        <v>0.92</v>
      </c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97" t="s">
        <v>57</v>
      </c>
      <c r="W5" s="198">
        <v>1</v>
      </c>
      <c r="X5" s="198"/>
      <c r="Y5" s="179"/>
      <c r="Z5" s="179"/>
      <c r="AA5" s="179"/>
      <c r="AB5" s="179"/>
    </row>
    <row r="6" spans="1:28" ht="24.75" customHeight="1" x14ac:dyDescent="0.2">
      <c r="A6" s="179"/>
      <c r="B6" s="199" t="s">
        <v>58</v>
      </c>
      <c r="C6" s="200">
        <f>ROUND(ACOS(C5)*180/PI(),4)</f>
        <v>38.659799999999997</v>
      </c>
      <c r="D6" s="200" t="s">
        <v>40</v>
      </c>
      <c r="E6" s="179"/>
      <c r="F6" s="197" t="s">
        <v>58</v>
      </c>
      <c r="G6" s="200">
        <f>ROUND(ACOS(G5)*180/PI(),4)</f>
        <v>23.073899999999998</v>
      </c>
      <c r="H6" s="200" t="s">
        <v>40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</row>
    <row r="7" spans="1:28" ht="24.75" customHeight="1" x14ac:dyDescent="0.2">
      <c r="A7" s="179"/>
      <c r="B7" s="199" t="s">
        <v>133</v>
      </c>
      <c r="C7" s="200">
        <f>ROUND(TAN(ACOS(C5)*180/PI()*PI()/180),4)</f>
        <v>0.8</v>
      </c>
      <c r="D7" s="200"/>
      <c r="E7" s="179"/>
      <c r="F7" s="197" t="s">
        <v>59</v>
      </c>
      <c r="G7" s="200">
        <f>ROUND(TAN(ACOS(G5)*180/PI()*PI()/180),4)</f>
        <v>0.42599999999999999</v>
      </c>
      <c r="H7" s="200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</row>
    <row r="8" spans="1:28" ht="24.75" customHeight="1" x14ac:dyDescent="0.2">
      <c r="A8" s="179"/>
      <c r="B8" s="199" t="s">
        <v>91</v>
      </c>
      <c r="C8" s="202">
        <f>SIN(ACOS(C5)*180/PI()*PI()/180)</f>
        <v>0.62469504755442429</v>
      </c>
      <c r="D8" s="200"/>
      <c r="E8" s="179"/>
      <c r="F8" s="197" t="s">
        <v>99</v>
      </c>
      <c r="G8" s="200">
        <f>ROUND(SIN(ACOS(G5)*180/PI()*PI()/180),4)</f>
        <v>0.39190000000000003</v>
      </c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</row>
    <row r="9" spans="1:28" ht="24.75" customHeight="1" x14ac:dyDescent="0.2">
      <c r="A9" s="179"/>
      <c r="B9" s="199" t="s">
        <v>92</v>
      </c>
      <c r="C9" s="201">
        <f>PARALELO_D!C5</f>
        <v>100000</v>
      </c>
      <c r="D9" s="200" t="s">
        <v>61</v>
      </c>
      <c r="E9" s="179"/>
      <c r="F9" s="203" t="s">
        <v>132</v>
      </c>
      <c r="G9" s="186"/>
      <c r="H9" s="186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</row>
    <row r="10" spans="1:28" ht="24.75" customHeight="1" x14ac:dyDescent="0.2">
      <c r="A10" s="179"/>
      <c r="B10" s="199" t="s">
        <v>62</v>
      </c>
      <c r="C10" s="201">
        <f>PARALELO_D!G2</f>
        <v>50</v>
      </c>
      <c r="D10" s="200" t="s">
        <v>2</v>
      </c>
      <c r="E10" s="179"/>
      <c r="F10" s="197" t="s">
        <v>98</v>
      </c>
      <c r="G10" s="202">
        <f>ATAN(G7)*180/PI()</f>
        <v>23.074004574313694</v>
      </c>
      <c r="H10" s="179"/>
      <c r="I10" s="179"/>
      <c r="J10" s="204" t="s">
        <v>63</v>
      </c>
      <c r="K10" s="179"/>
      <c r="L10" s="179"/>
      <c r="M10" s="204" t="s">
        <v>90</v>
      </c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</row>
    <row r="11" spans="1:28" ht="24.75" customHeight="1" x14ac:dyDescent="0.2">
      <c r="A11" s="179"/>
      <c r="B11" s="199" t="s">
        <v>63</v>
      </c>
      <c r="C11" s="201">
        <f>PARALELO_D!C19</f>
        <v>512.24993899462788</v>
      </c>
      <c r="D11" s="200" t="s">
        <v>35</v>
      </c>
      <c r="E11" s="179"/>
      <c r="F11" s="197" t="s">
        <v>99</v>
      </c>
      <c r="G11" s="202">
        <f>SIN(RADIANS(G10))</f>
        <v>0.39191974791729917</v>
      </c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</row>
    <row r="12" spans="1:28" ht="24.75" customHeight="1" x14ac:dyDescent="0.2">
      <c r="A12" s="179"/>
      <c r="B12" s="199" t="s">
        <v>64</v>
      </c>
      <c r="C12" s="201">
        <f>PARALELO_D!G3</f>
        <v>250</v>
      </c>
      <c r="D12" s="200" t="s">
        <v>18</v>
      </c>
      <c r="E12" s="179"/>
      <c r="F12" s="197" t="s">
        <v>56</v>
      </c>
      <c r="G12" s="202">
        <f>COS(RADIANS(G10))</f>
        <v>0.91999940825657089</v>
      </c>
      <c r="H12" s="179"/>
      <c r="I12" s="179"/>
      <c r="J12" s="205">
        <v>512.25</v>
      </c>
      <c r="K12" s="206" t="s">
        <v>35</v>
      </c>
      <c r="L12" s="225"/>
      <c r="M12" s="207">
        <v>434.78</v>
      </c>
      <c r="N12" s="208" t="s">
        <v>35</v>
      </c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</row>
    <row r="13" spans="1:28" ht="24.75" customHeight="1" x14ac:dyDescent="0.2">
      <c r="A13" s="179"/>
      <c r="B13" s="199" t="s">
        <v>65</v>
      </c>
      <c r="C13" s="201" t="s">
        <v>57</v>
      </c>
      <c r="D13" s="200"/>
      <c r="E13" s="198">
        <v>1</v>
      </c>
      <c r="F13" s="198"/>
      <c r="G13" s="179"/>
      <c r="H13" s="179"/>
      <c r="I13" s="179"/>
      <c r="J13" s="205"/>
      <c r="K13" s="205"/>
      <c r="L13" s="225"/>
      <c r="M13" s="209"/>
      <c r="N13" s="209"/>
      <c r="O13" s="193" t="s">
        <v>134</v>
      </c>
      <c r="P13" s="193"/>
      <c r="Q13" s="193"/>
      <c r="R13" s="193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ht="24.75" customHeight="1" x14ac:dyDescent="0.2">
      <c r="A14" s="179"/>
      <c r="B14" s="179"/>
      <c r="C14" s="179"/>
      <c r="D14" s="179"/>
      <c r="E14" s="179"/>
      <c r="F14" s="210" t="s">
        <v>135</v>
      </c>
      <c r="G14" s="210">
        <f>SQRT(C9^2+(C15-F22)^2)</f>
        <v>108695.72208693404</v>
      </c>
      <c r="H14" s="210" t="s">
        <v>48</v>
      </c>
      <c r="I14" s="179"/>
      <c r="J14" s="211"/>
      <c r="K14" s="211"/>
      <c r="L14" s="226"/>
      <c r="M14" s="209"/>
      <c r="N14" s="209"/>
      <c r="O14" s="193"/>
      <c r="P14" s="193"/>
      <c r="Q14" s="193"/>
      <c r="R14" s="193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ht="24.75" customHeight="1" x14ac:dyDescent="0.2">
      <c r="A15" s="179"/>
      <c r="B15" s="210" t="s">
        <v>93</v>
      </c>
      <c r="C15" s="212">
        <f>IF(C13=V4,C12*C11*SIN(ACOS(C5)*180/PI()*PI()/180)*W4,C12*C11*SIN(ACOS(C5)*180/PI()*PI()/180))</f>
        <v>80000</v>
      </c>
      <c r="D15" s="213" t="s">
        <v>45</v>
      </c>
      <c r="E15" s="179"/>
      <c r="F15" s="210" t="s">
        <v>136</v>
      </c>
      <c r="G15" s="210">
        <f>C9/G5</f>
        <v>108695.65217391304</v>
      </c>
      <c r="H15" s="210" t="s">
        <v>48</v>
      </c>
      <c r="I15" s="179"/>
      <c r="J15" s="211"/>
      <c r="K15" s="211"/>
      <c r="L15" s="227"/>
      <c r="M15" s="209"/>
      <c r="N15" s="209"/>
      <c r="O15" s="193"/>
      <c r="P15" s="193"/>
      <c r="Q15" s="193"/>
      <c r="R15" s="193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</row>
    <row r="16" spans="1:28" ht="24.75" customHeight="1" x14ac:dyDescent="0.2">
      <c r="A16" s="179"/>
      <c r="B16" s="214" t="s">
        <v>94</v>
      </c>
      <c r="C16" s="212"/>
      <c r="D16" s="213"/>
      <c r="E16" s="179"/>
      <c r="F16" s="215" t="s">
        <v>70</v>
      </c>
      <c r="G16" s="215">
        <f>SQRT(G15^2-C9^2)</f>
        <v>42599.821613620486</v>
      </c>
      <c r="H16" s="215" t="s">
        <v>45</v>
      </c>
      <c r="I16" s="179"/>
      <c r="J16" s="205"/>
      <c r="K16" s="205"/>
      <c r="L16" s="223"/>
      <c r="M16" s="224"/>
      <c r="N16" s="209"/>
      <c r="O16" s="193"/>
      <c r="P16" s="193"/>
      <c r="Q16" s="193"/>
      <c r="R16" s="193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</row>
    <row r="17" spans="1:28" ht="24.75" customHeight="1" x14ac:dyDescent="0.2">
      <c r="A17" s="179"/>
      <c r="B17" s="214" t="s">
        <v>71</v>
      </c>
      <c r="C17" s="212"/>
      <c r="D17" s="213"/>
      <c r="E17" s="179"/>
      <c r="F17" s="215" t="s">
        <v>97</v>
      </c>
      <c r="G17" s="215">
        <f>C15-F22</f>
        <v>42599.999999999993</v>
      </c>
      <c r="H17" s="215" t="s">
        <v>45</v>
      </c>
      <c r="I17" s="179"/>
      <c r="J17" s="205"/>
      <c r="K17" s="205"/>
      <c r="L17" s="228"/>
      <c r="M17" s="216"/>
      <c r="N17" s="216"/>
      <c r="O17" s="193"/>
      <c r="P17" s="193"/>
      <c r="Q17" s="193"/>
      <c r="R17" s="193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</row>
    <row r="18" spans="1:28" ht="24.75" customHeight="1" x14ac:dyDescent="0.2">
      <c r="A18" s="179"/>
      <c r="B18" s="179"/>
      <c r="C18" s="179"/>
      <c r="D18" s="179"/>
      <c r="E18" s="179"/>
      <c r="F18" s="210" t="s">
        <v>72</v>
      </c>
      <c r="G18" s="217">
        <f>IF(C13=V4,G15/C12,G15/C12)</f>
        <v>434.78260869565219</v>
      </c>
      <c r="H18" s="210" t="s">
        <v>35</v>
      </c>
      <c r="I18" s="179"/>
      <c r="J18" s="211"/>
      <c r="K18" s="211"/>
      <c r="L18" s="226"/>
      <c r="M18" s="218" t="s">
        <v>66</v>
      </c>
      <c r="N18" s="218"/>
      <c r="O18" s="193"/>
      <c r="P18" s="193"/>
      <c r="Q18" s="193"/>
      <c r="R18" s="193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</row>
    <row r="19" spans="1:28" x14ac:dyDescent="0.2">
      <c r="A19" s="179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93"/>
      <c r="P19" s="193"/>
      <c r="Q19" s="193"/>
      <c r="R19" s="193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</row>
    <row r="20" spans="1:28" x14ac:dyDescent="0.2">
      <c r="A20" s="179"/>
      <c r="B20" s="196" t="s">
        <v>73</v>
      </c>
      <c r="C20" s="196"/>
      <c r="D20" s="196"/>
      <c r="E20" s="196"/>
      <c r="F20" s="196"/>
      <c r="G20" s="196"/>
      <c r="H20" s="196"/>
      <c r="I20" s="179"/>
      <c r="J20" s="179"/>
      <c r="K20" s="179"/>
      <c r="L20" s="179"/>
      <c r="M20" s="179"/>
      <c r="N20" s="179"/>
      <c r="O20" s="193"/>
      <c r="P20" s="193"/>
      <c r="Q20" s="193"/>
      <c r="R20" s="193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</row>
    <row r="21" spans="1:28" x14ac:dyDescent="0.2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93"/>
      <c r="P21" s="193"/>
      <c r="Q21" s="193"/>
      <c r="R21" s="193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</row>
    <row r="22" spans="1:28" x14ac:dyDescent="0.2">
      <c r="A22" s="179"/>
      <c r="B22" s="219" t="s">
        <v>74</v>
      </c>
      <c r="C22" s="219"/>
      <c r="D22" s="219"/>
      <c r="E22" s="219"/>
      <c r="F22" s="220">
        <f>C9*(C7-G7)</f>
        <v>37400.000000000007</v>
      </c>
      <c r="G22" s="220"/>
      <c r="H22" s="213" t="s">
        <v>66</v>
      </c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</row>
    <row r="23" spans="1:28" x14ac:dyDescent="0.2">
      <c r="A23" s="179"/>
      <c r="B23" s="219" t="s">
        <v>137</v>
      </c>
      <c r="C23" s="219"/>
      <c r="D23" s="219"/>
      <c r="E23" s="219"/>
      <c r="F23" s="220"/>
      <c r="G23" s="220"/>
      <c r="H23" s="213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</row>
    <row r="24" spans="1:28" x14ac:dyDescent="0.2">
      <c r="A24" s="179"/>
      <c r="B24" s="221" t="s">
        <v>75</v>
      </c>
      <c r="C24" s="221"/>
      <c r="D24" s="221"/>
      <c r="E24" s="221"/>
      <c r="F24" s="221">
        <f>C9*(C7-G7)</f>
        <v>37400.000000000007</v>
      </c>
      <c r="G24" s="221"/>
      <c r="H24" s="222" t="s">
        <v>76</v>
      </c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</row>
    <row r="25" spans="1:28" x14ac:dyDescent="0.2">
      <c r="A25" s="179"/>
      <c r="B25" s="219" t="s">
        <v>95</v>
      </c>
      <c r="C25" s="219"/>
      <c r="D25" s="219"/>
      <c r="E25" s="219"/>
      <c r="F25" s="219"/>
      <c r="G25" s="217">
        <f>F22/C12</f>
        <v>149.60000000000002</v>
      </c>
      <c r="H25" s="210" t="s">
        <v>35</v>
      </c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</row>
    <row r="26" spans="1:28" x14ac:dyDescent="0.2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</row>
    <row r="27" spans="1:28" x14ac:dyDescent="0.2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</row>
    <row r="28" spans="1:28" x14ac:dyDescent="0.2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</row>
    <row r="29" spans="1:28" x14ac:dyDescent="0.2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</row>
    <row r="30" spans="1:28" x14ac:dyDescent="0.2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</row>
    <row r="31" spans="1:28" x14ac:dyDescent="0.2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</row>
    <row r="32" spans="1:28" x14ac:dyDescent="0.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</row>
    <row r="33" spans="1:28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</row>
    <row r="34" spans="1:28" x14ac:dyDescent="0.2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</row>
    <row r="35" spans="1:28" x14ac:dyDescent="0.2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</row>
    <row r="36" spans="1:28" x14ac:dyDescent="0.2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</row>
    <row r="37" spans="1:28" x14ac:dyDescent="0.2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</row>
    <row r="38" spans="1:28" x14ac:dyDescent="0.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</row>
    <row r="39" spans="1:28" x14ac:dyDescent="0.2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</row>
    <row r="40" spans="1:28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</row>
    <row r="41" spans="1:28" x14ac:dyDescent="0.2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</row>
    <row r="42" spans="1:28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</row>
    <row r="43" spans="1:28" x14ac:dyDescent="0.2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</row>
    <row r="44" spans="1:28" x14ac:dyDescent="0.2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</row>
    <row r="45" spans="1:28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</row>
    <row r="46" spans="1:28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</row>
    <row r="47" spans="1:28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</row>
    <row r="48" spans="1:28" x14ac:dyDescent="0.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</row>
    <row r="49" spans="1:28" x14ac:dyDescent="0.2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</row>
    <row r="50" spans="1:28" x14ac:dyDescent="0.2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</row>
    <row r="51" spans="1:28" x14ac:dyDescent="0.2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</row>
    <row r="52" spans="1:28" x14ac:dyDescent="0.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</row>
    <row r="53" spans="1:28" x14ac:dyDescent="0.2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</row>
    <row r="54" spans="1:28" x14ac:dyDescent="0.2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</row>
    <row r="55" spans="1:28" x14ac:dyDescent="0.2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</row>
    <row r="56" spans="1:28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</row>
    <row r="57" spans="1:28" x14ac:dyDescent="0.2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</row>
    <row r="58" spans="1:28" x14ac:dyDescent="0.2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</row>
    <row r="59" spans="1:28" x14ac:dyDescent="0.2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</row>
    <row r="60" spans="1:28" x14ac:dyDescent="0.2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</row>
    <row r="61" spans="1:28" x14ac:dyDescent="0.2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</row>
    <row r="62" spans="1:28" x14ac:dyDescent="0.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</row>
    <row r="63" spans="1:28" x14ac:dyDescent="0.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</row>
    <row r="64" spans="1:28" x14ac:dyDescent="0.2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</row>
    <row r="65" spans="1:28" x14ac:dyDescent="0.2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</row>
    <row r="66" spans="1:28" x14ac:dyDescent="0.2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</row>
    <row r="67" spans="1:28" x14ac:dyDescent="0.2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</row>
    <row r="68" spans="1:28" x14ac:dyDescent="0.2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</row>
    <row r="69" spans="1:28" x14ac:dyDescent="0.2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</row>
    <row r="70" spans="1:28" x14ac:dyDescent="0.2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</row>
    <row r="71" spans="1:28" x14ac:dyDescent="0.2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</row>
    <row r="72" spans="1:28" x14ac:dyDescent="0.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</row>
    <row r="73" spans="1:28" x14ac:dyDescent="0.2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</row>
    <row r="74" spans="1:28" x14ac:dyDescent="0.2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</row>
    <row r="75" spans="1:28" x14ac:dyDescent="0.2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</row>
    <row r="76" spans="1:28" x14ac:dyDescent="0.2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</row>
    <row r="77" spans="1:28" x14ac:dyDescent="0.2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</row>
    <row r="78" spans="1:28" x14ac:dyDescent="0.2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</row>
    <row r="79" spans="1:28" x14ac:dyDescent="0.2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</row>
    <row r="80" spans="1:28" x14ac:dyDescent="0.2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</row>
    <row r="81" spans="1:28" x14ac:dyDescent="0.2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</row>
    <row r="82" spans="1:28" x14ac:dyDescent="0.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</row>
    <row r="83" spans="1:28" x14ac:dyDescent="0.2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</row>
    <row r="84" spans="1:28" x14ac:dyDescent="0.2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</row>
    <row r="85" spans="1:28" x14ac:dyDescent="0.2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</row>
    <row r="86" spans="1:28" x14ac:dyDescent="0.2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</row>
    <row r="87" spans="1:28" x14ac:dyDescent="0.2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</row>
    <row r="88" spans="1:28" x14ac:dyDescent="0.2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</row>
    <row r="89" spans="1:28" x14ac:dyDescent="0.2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</row>
    <row r="90" spans="1:28" x14ac:dyDescent="0.2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</row>
    <row r="91" spans="1:28" x14ac:dyDescent="0.2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</row>
    <row r="92" spans="1:28" x14ac:dyDescent="0.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</row>
    <row r="93" spans="1:28" x14ac:dyDescent="0.2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</row>
    <row r="94" spans="1:28" x14ac:dyDescent="0.2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</row>
    <row r="95" spans="1:28" x14ac:dyDescent="0.2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</row>
    <row r="96" spans="1:28" x14ac:dyDescent="0.2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</row>
    <row r="97" spans="1:28" x14ac:dyDescent="0.2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</row>
    <row r="98" spans="1:28" x14ac:dyDescent="0.2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</row>
    <row r="99" spans="1:28" x14ac:dyDescent="0.2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</row>
    <row r="100" spans="1:28" x14ac:dyDescent="0.2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</row>
    <row r="101" spans="1:28" x14ac:dyDescent="0.2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</row>
    <row r="102" spans="1:28" x14ac:dyDescent="0.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</row>
    <row r="103" spans="1:28" x14ac:dyDescent="0.2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</row>
    <row r="104" spans="1:28" x14ac:dyDescent="0.2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</row>
    <row r="105" spans="1:28" x14ac:dyDescent="0.2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</row>
    <row r="106" spans="1:28" x14ac:dyDescent="0.2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</row>
    <row r="107" spans="1:28" x14ac:dyDescent="0.2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</row>
    <row r="108" spans="1:28" x14ac:dyDescent="0.2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</row>
    <row r="109" spans="1:28" x14ac:dyDescent="0.2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</row>
    <row r="110" spans="1:28" x14ac:dyDescent="0.2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</row>
    <row r="111" spans="1:28" x14ac:dyDescent="0.2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</row>
    <row r="112" spans="1:28" x14ac:dyDescent="0.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</row>
    <row r="113" spans="1:28" x14ac:dyDescent="0.2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</row>
    <row r="114" spans="1:28" x14ac:dyDescent="0.2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</row>
    <row r="115" spans="1:28" x14ac:dyDescent="0.2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</row>
    <row r="116" spans="1:28" x14ac:dyDescent="0.2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</row>
    <row r="117" spans="1:28" x14ac:dyDescent="0.2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</row>
    <row r="118" spans="1:28" x14ac:dyDescent="0.2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</row>
    <row r="119" spans="1:28" x14ac:dyDescent="0.2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</row>
    <row r="120" spans="1:28" x14ac:dyDescent="0.2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</row>
    <row r="121" spans="1:28" x14ac:dyDescent="0.2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</row>
    <row r="122" spans="1:28" x14ac:dyDescent="0.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</row>
    <row r="123" spans="1:28" x14ac:dyDescent="0.2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</row>
    <row r="124" spans="1:28" x14ac:dyDescent="0.2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</row>
    <row r="125" spans="1:28" x14ac:dyDescent="0.2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</row>
    <row r="126" spans="1:28" x14ac:dyDescent="0.2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</row>
    <row r="127" spans="1:28" x14ac:dyDescent="0.2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</row>
    <row r="128" spans="1:28" x14ac:dyDescent="0.2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</row>
    <row r="129" spans="1:28" x14ac:dyDescent="0.2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</row>
    <row r="130" spans="1:28" x14ac:dyDescent="0.2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</row>
    <row r="131" spans="1:28" x14ac:dyDescent="0.2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</row>
    <row r="132" spans="1:28" x14ac:dyDescent="0.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</row>
    <row r="133" spans="1:28" x14ac:dyDescent="0.2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</row>
    <row r="134" spans="1:28" x14ac:dyDescent="0.2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</row>
    <row r="135" spans="1:28" x14ac:dyDescent="0.2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</row>
    <row r="136" spans="1:28" x14ac:dyDescent="0.2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</row>
    <row r="137" spans="1:28" x14ac:dyDescent="0.2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</row>
    <row r="138" spans="1:28" x14ac:dyDescent="0.2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</row>
    <row r="139" spans="1:28" x14ac:dyDescent="0.2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</row>
    <row r="140" spans="1:28" x14ac:dyDescent="0.2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</row>
    <row r="141" spans="1:28" x14ac:dyDescent="0.2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</row>
    <row r="142" spans="1:28" x14ac:dyDescent="0.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</row>
    <row r="143" spans="1:28" x14ac:dyDescent="0.2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</row>
    <row r="144" spans="1:28" x14ac:dyDescent="0.2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</row>
    <row r="145" spans="1:28" x14ac:dyDescent="0.2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</row>
    <row r="146" spans="1:28" x14ac:dyDescent="0.2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</row>
    <row r="147" spans="1:28" x14ac:dyDescent="0.2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</row>
    <row r="148" spans="1:28" x14ac:dyDescent="0.2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</row>
    <row r="149" spans="1:28" x14ac:dyDescent="0.2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</row>
    <row r="150" spans="1:28" x14ac:dyDescent="0.2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</row>
    <row r="151" spans="1:28" x14ac:dyDescent="0.2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</row>
    <row r="152" spans="1:28" x14ac:dyDescent="0.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</row>
    <row r="153" spans="1:28" x14ac:dyDescent="0.2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</row>
    <row r="154" spans="1:28" x14ac:dyDescent="0.2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</row>
    <row r="155" spans="1:28" x14ac:dyDescent="0.2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</row>
    <row r="156" spans="1:28" x14ac:dyDescent="0.2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</row>
    <row r="157" spans="1:28" x14ac:dyDescent="0.2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</row>
    <row r="158" spans="1:28" x14ac:dyDescent="0.2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</row>
    <row r="159" spans="1:28" x14ac:dyDescent="0.2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</row>
    <row r="160" spans="1:28" x14ac:dyDescent="0.2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</row>
    <row r="161" spans="1:28" x14ac:dyDescent="0.2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</row>
    <row r="162" spans="1:28" x14ac:dyDescent="0.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</row>
    <row r="163" spans="1:28" x14ac:dyDescent="0.2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</row>
    <row r="164" spans="1:28" x14ac:dyDescent="0.2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</row>
    <row r="165" spans="1:28" x14ac:dyDescent="0.2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</row>
    <row r="166" spans="1:28" x14ac:dyDescent="0.2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</row>
    <row r="167" spans="1:28" x14ac:dyDescent="0.2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</row>
    <row r="168" spans="1:28" x14ac:dyDescent="0.2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</row>
    <row r="169" spans="1:28" x14ac:dyDescent="0.2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</row>
    <row r="170" spans="1:28" x14ac:dyDescent="0.2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</row>
    <row r="171" spans="1:28" x14ac:dyDescent="0.2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</row>
    <row r="172" spans="1:28" x14ac:dyDescent="0.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</row>
    <row r="173" spans="1:28" x14ac:dyDescent="0.2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</row>
    <row r="174" spans="1:28" x14ac:dyDescent="0.2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</row>
    <row r="175" spans="1:28" x14ac:dyDescent="0.2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</row>
    <row r="176" spans="1:28" x14ac:dyDescent="0.2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</row>
    <row r="177" spans="1:28" x14ac:dyDescent="0.2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</row>
    <row r="178" spans="1:28" x14ac:dyDescent="0.2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</row>
    <row r="179" spans="1:28" x14ac:dyDescent="0.2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</row>
    <row r="180" spans="1:28" x14ac:dyDescent="0.2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</row>
    <row r="181" spans="1:28" x14ac:dyDescent="0.2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</row>
    <row r="182" spans="1:28" x14ac:dyDescent="0.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</row>
    <row r="183" spans="1:28" x14ac:dyDescent="0.2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</row>
    <row r="184" spans="1:28" x14ac:dyDescent="0.2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</row>
    <row r="185" spans="1:28" x14ac:dyDescent="0.2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</row>
    <row r="186" spans="1:28" x14ac:dyDescent="0.2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</row>
    <row r="187" spans="1:28" x14ac:dyDescent="0.2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</row>
    <row r="188" spans="1:28" x14ac:dyDescent="0.2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</row>
    <row r="189" spans="1:28" x14ac:dyDescent="0.2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</row>
    <row r="190" spans="1:28" x14ac:dyDescent="0.2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</row>
    <row r="191" spans="1:28" x14ac:dyDescent="0.2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</row>
    <row r="192" spans="1:28" x14ac:dyDescent="0.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</row>
    <row r="193" spans="1:28" x14ac:dyDescent="0.2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</row>
    <row r="194" spans="1:28" x14ac:dyDescent="0.2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</row>
    <row r="195" spans="1:28" x14ac:dyDescent="0.2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</row>
    <row r="196" spans="1:28" x14ac:dyDescent="0.2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</row>
    <row r="197" spans="1:28" x14ac:dyDescent="0.2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</row>
    <row r="198" spans="1:28" x14ac:dyDescent="0.2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</row>
    <row r="199" spans="1:28" x14ac:dyDescent="0.2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</row>
    <row r="200" spans="1:28" x14ac:dyDescent="0.2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</row>
    <row r="201" spans="1:28" x14ac:dyDescent="0.2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  <c r="AA201" s="179"/>
      <c r="AB201" s="179"/>
    </row>
    <row r="202" spans="1:28" x14ac:dyDescent="0.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</row>
    <row r="203" spans="1:28" x14ac:dyDescent="0.2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  <c r="AA203" s="179"/>
      <c r="AB203" s="179"/>
    </row>
    <row r="204" spans="1:28" x14ac:dyDescent="0.2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  <c r="AA204" s="179"/>
      <c r="AB204" s="179"/>
    </row>
    <row r="205" spans="1:28" x14ac:dyDescent="0.2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</row>
    <row r="206" spans="1:28" x14ac:dyDescent="0.2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8" x14ac:dyDescent="0.2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  <c r="AA207" s="179"/>
      <c r="AB207" s="179"/>
    </row>
    <row r="208" spans="1:28" x14ac:dyDescent="0.2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  <c r="AA208" s="179"/>
      <c r="AB208" s="179"/>
    </row>
    <row r="209" spans="1:28" x14ac:dyDescent="0.2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  <c r="AA209" s="179"/>
      <c r="AB209" s="179"/>
    </row>
    <row r="210" spans="1:28" x14ac:dyDescent="0.2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</row>
    <row r="211" spans="1:28" x14ac:dyDescent="0.2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  <c r="AA211" s="179"/>
      <c r="AB211" s="179"/>
    </row>
    <row r="212" spans="1:28" x14ac:dyDescent="0.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</row>
    <row r="213" spans="1:28" x14ac:dyDescent="0.2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  <c r="AA213" s="179"/>
      <c r="AB213" s="179"/>
    </row>
    <row r="214" spans="1:28" x14ac:dyDescent="0.2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  <c r="AA214" s="179"/>
      <c r="AB214" s="179"/>
    </row>
    <row r="215" spans="1:28" x14ac:dyDescent="0.2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</row>
    <row r="216" spans="1:28" x14ac:dyDescent="0.2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  <c r="AA216" s="179"/>
      <c r="AB216" s="179"/>
    </row>
    <row r="217" spans="1:28" x14ac:dyDescent="0.2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  <c r="AA217" s="179"/>
      <c r="AB217" s="179"/>
    </row>
    <row r="218" spans="1:28" x14ac:dyDescent="0.2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</row>
    <row r="219" spans="1:28" x14ac:dyDescent="0.2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  <c r="AA219" s="179"/>
      <c r="AB219" s="179"/>
    </row>
    <row r="220" spans="1:28" x14ac:dyDescent="0.2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  <c r="AA220" s="179"/>
      <c r="AB220" s="179"/>
    </row>
    <row r="221" spans="1:28" x14ac:dyDescent="0.2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  <c r="AA221" s="179"/>
      <c r="AB221" s="179"/>
    </row>
    <row r="222" spans="1:28" x14ac:dyDescent="0.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</row>
    <row r="223" spans="1:28" x14ac:dyDescent="0.2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</row>
    <row r="224" spans="1:28" x14ac:dyDescent="0.2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</row>
    <row r="225" spans="1:28" x14ac:dyDescent="0.2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</row>
    <row r="226" spans="1:28" x14ac:dyDescent="0.2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</row>
    <row r="227" spans="1:28" x14ac:dyDescent="0.2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</row>
    <row r="228" spans="1:28" x14ac:dyDescent="0.2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</row>
    <row r="229" spans="1:28" x14ac:dyDescent="0.2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</row>
    <row r="230" spans="1:28" x14ac:dyDescent="0.2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</row>
    <row r="231" spans="1:28" x14ac:dyDescent="0.2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</row>
    <row r="232" spans="1:28" x14ac:dyDescent="0.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  <c r="AA232" s="179"/>
      <c r="AB232" s="179"/>
    </row>
    <row r="233" spans="1:28" x14ac:dyDescent="0.2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  <c r="AA233" s="179"/>
      <c r="AB233" s="179"/>
    </row>
    <row r="234" spans="1:28" x14ac:dyDescent="0.2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</row>
    <row r="235" spans="1:28" x14ac:dyDescent="0.2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9"/>
    </row>
    <row r="236" spans="1:28" x14ac:dyDescent="0.2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  <c r="AA236" s="179"/>
      <c r="AB236" s="179"/>
    </row>
    <row r="237" spans="1:28" x14ac:dyDescent="0.2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  <c r="AA237" s="179"/>
      <c r="AB237" s="179"/>
    </row>
    <row r="238" spans="1:28" x14ac:dyDescent="0.2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  <c r="AA238" s="179"/>
      <c r="AB238" s="179"/>
    </row>
    <row r="239" spans="1:28" x14ac:dyDescent="0.2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  <c r="AA239" s="179"/>
      <c r="AB239" s="179"/>
    </row>
    <row r="240" spans="1:28" x14ac:dyDescent="0.2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</row>
    <row r="241" spans="1:28" x14ac:dyDescent="0.2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</row>
    <row r="242" spans="1:28" x14ac:dyDescent="0.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</row>
    <row r="243" spans="1:28" x14ac:dyDescent="0.2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</row>
    <row r="244" spans="1:28" x14ac:dyDescent="0.2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</row>
    <row r="245" spans="1:28" x14ac:dyDescent="0.2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</row>
    <row r="246" spans="1:28" x14ac:dyDescent="0.2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</row>
    <row r="247" spans="1:28" x14ac:dyDescent="0.2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</row>
    <row r="248" spans="1:28" x14ac:dyDescent="0.2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</row>
    <row r="249" spans="1:28" x14ac:dyDescent="0.2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  <c r="AA249" s="179"/>
      <c r="AB249" s="179"/>
    </row>
    <row r="250" spans="1:28" x14ac:dyDescent="0.2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  <c r="AA250" s="179"/>
      <c r="AB250" s="179"/>
    </row>
    <row r="251" spans="1:28" x14ac:dyDescent="0.2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  <c r="AA251" s="179"/>
      <c r="AB251" s="179"/>
    </row>
    <row r="252" spans="1:28" x14ac:dyDescent="0.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  <c r="AA252" s="179"/>
      <c r="AB252" s="179"/>
    </row>
    <row r="253" spans="1:28" x14ac:dyDescent="0.2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9"/>
      <c r="AB253" s="179"/>
    </row>
    <row r="254" spans="1:28" x14ac:dyDescent="0.2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  <c r="AA254" s="179"/>
      <c r="AB254" s="179"/>
    </row>
    <row r="255" spans="1:28" x14ac:dyDescent="0.2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  <c r="AA255" s="179"/>
      <c r="AB255" s="179"/>
    </row>
    <row r="256" spans="1:28" x14ac:dyDescent="0.2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  <c r="AA256" s="179"/>
      <c r="AB256" s="179"/>
    </row>
    <row r="257" spans="1:28" x14ac:dyDescent="0.2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  <c r="AA257" s="179"/>
      <c r="AB257" s="179"/>
    </row>
    <row r="258" spans="1:28" x14ac:dyDescent="0.2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</row>
    <row r="259" spans="1:28" x14ac:dyDescent="0.2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</row>
    <row r="260" spans="1:28" x14ac:dyDescent="0.2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</row>
    <row r="261" spans="1:28" x14ac:dyDescent="0.2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</row>
    <row r="262" spans="1:28" x14ac:dyDescent="0.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</row>
    <row r="263" spans="1:28" x14ac:dyDescent="0.2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</row>
    <row r="264" spans="1:28" x14ac:dyDescent="0.2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</row>
    <row r="265" spans="1:28" x14ac:dyDescent="0.2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</row>
    <row r="266" spans="1:28" x14ac:dyDescent="0.2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</row>
    <row r="267" spans="1:28" x14ac:dyDescent="0.2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</row>
    <row r="268" spans="1:28" x14ac:dyDescent="0.2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  <c r="AA268" s="179"/>
      <c r="AB268" s="179"/>
    </row>
    <row r="269" spans="1:28" x14ac:dyDescent="0.2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</row>
    <row r="270" spans="1:28" x14ac:dyDescent="0.2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  <c r="AA270" s="179"/>
      <c r="AB270" s="179"/>
    </row>
    <row r="271" spans="1:28" x14ac:dyDescent="0.2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</row>
    <row r="272" spans="1:28" x14ac:dyDescent="0.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</row>
    <row r="273" spans="1:28" x14ac:dyDescent="0.2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</row>
    <row r="274" spans="1:28" x14ac:dyDescent="0.2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</row>
    <row r="275" spans="1:28" x14ac:dyDescent="0.2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</row>
    <row r="276" spans="1:28" x14ac:dyDescent="0.2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</row>
    <row r="277" spans="1:28" x14ac:dyDescent="0.2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</row>
    <row r="278" spans="1:28" x14ac:dyDescent="0.2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</row>
    <row r="279" spans="1:28" x14ac:dyDescent="0.2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</row>
    <row r="280" spans="1:28" x14ac:dyDescent="0.2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</row>
    <row r="281" spans="1:28" x14ac:dyDescent="0.2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</row>
    <row r="282" spans="1:28" x14ac:dyDescent="0.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</row>
    <row r="283" spans="1:28" x14ac:dyDescent="0.2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</row>
    <row r="284" spans="1:28" x14ac:dyDescent="0.2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</row>
    <row r="285" spans="1:28" x14ac:dyDescent="0.2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</row>
    <row r="286" spans="1:28" x14ac:dyDescent="0.2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</row>
    <row r="287" spans="1:28" x14ac:dyDescent="0.2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</row>
    <row r="288" spans="1:28" x14ac:dyDescent="0.2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</row>
    <row r="289" spans="1:28" x14ac:dyDescent="0.2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</row>
    <row r="290" spans="1:28" x14ac:dyDescent="0.2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</row>
    <row r="291" spans="1:28" x14ac:dyDescent="0.2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  <c r="AA291" s="179"/>
      <c r="AB291" s="179"/>
    </row>
    <row r="292" spans="1:28" x14ac:dyDescent="0.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  <c r="AA292" s="179"/>
      <c r="AB292" s="179"/>
    </row>
    <row r="293" spans="1:28" x14ac:dyDescent="0.2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  <c r="AA293" s="179"/>
      <c r="AB293" s="179"/>
    </row>
    <row r="294" spans="1:28" x14ac:dyDescent="0.2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</row>
    <row r="295" spans="1:28" x14ac:dyDescent="0.2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</row>
    <row r="296" spans="1:28" x14ac:dyDescent="0.2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</row>
    <row r="297" spans="1:28" x14ac:dyDescent="0.2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</row>
    <row r="298" spans="1:28" x14ac:dyDescent="0.2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</row>
    <row r="299" spans="1:28" x14ac:dyDescent="0.2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</row>
    <row r="300" spans="1:28" x14ac:dyDescent="0.2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</row>
    <row r="301" spans="1:28" x14ac:dyDescent="0.2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</row>
    <row r="302" spans="1:28" x14ac:dyDescent="0.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</row>
    <row r="303" spans="1:28" x14ac:dyDescent="0.2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</row>
    <row r="304" spans="1:28" x14ac:dyDescent="0.2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</row>
    <row r="305" spans="1:28" x14ac:dyDescent="0.2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  <c r="AA305" s="179"/>
      <c r="AB305" s="179"/>
    </row>
    <row r="306" spans="1:28" x14ac:dyDescent="0.2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  <c r="AA306" s="179"/>
      <c r="AB306" s="179"/>
    </row>
    <row r="307" spans="1:28" x14ac:dyDescent="0.2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  <c r="AA307" s="179"/>
      <c r="AB307" s="179"/>
    </row>
    <row r="308" spans="1:28" x14ac:dyDescent="0.2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  <c r="AA308" s="179"/>
      <c r="AB308" s="179"/>
    </row>
    <row r="309" spans="1:28" x14ac:dyDescent="0.2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  <c r="AA309" s="179"/>
      <c r="AB309" s="179"/>
    </row>
    <row r="310" spans="1:28" x14ac:dyDescent="0.2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</row>
    <row r="311" spans="1:28" x14ac:dyDescent="0.2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  <c r="AA311" s="179"/>
      <c r="AB311" s="179"/>
    </row>
    <row r="312" spans="1:28" x14ac:dyDescent="0.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</row>
    <row r="313" spans="1:28" x14ac:dyDescent="0.2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</row>
    <row r="314" spans="1:28" x14ac:dyDescent="0.2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</row>
    <row r="315" spans="1:28" x14ac:dyDescent="0.2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</row>
    <row r="316" spans="1:28" x14ac:dyDescent="0.2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</row>
    <row r="317" spans="1:28" x14ac:dyDescent="0.2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</row>
    <row r="318" spans="1:28" x14ac:dyDescent="0.2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</row>
    <row r="319" spans="1:28" x14ac:dyDescent="0.2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</row>
    <row r="320" spans="1:28" x14ac:dyDescent="0.2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</row>
    <row r="321" spans="1:28" x14ac:dyDescent="0.2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</row>
    <row r="322" spans="1:28" x14ac:dyDescent="0.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  <c r="AA322" s="179"/>
      <c r="AB322" s="179"/>
    </row>
    <row r="323" spans="1:28" x14ac:dyDescent="0.2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</row>
    <row r="324" spans="1:28" x14ac:dyDescent="0.2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  <c r="AA324" s="179"/>
      <c r="AB324" s="179"/>
    </row>
    <row r="325" spans="1:28" x14ac:dyDescent="0.2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</row>
    <row r="326" spans="1:28" x14ac:dyDescent="0.2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</row>
    <row r="327" spans="1:28" x14ac:dyDescent="0.2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</row>
    <row r="328" spans="1:28" x14ac:dyDescent="0.2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</row>
    <row r="329" spans="1:28" x14ac:dyDescent="0.2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</row>
    <row r="330" spans="1:28" x14ac:dyDescent="0.2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</row>
    <row r="331" spans="1:28" x14ac:dyDescent="0.2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</row>
    <row r="332" spans="1:28" x14ac:dyDescent="0.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</row>
    <row r="333" spans="1:28" x14ac:dyDescent="0.2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</row>
    <row r="334" spans="1:28" x14ac:dyDescent="0.2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</row>
    <row r="335" spans="1:28" x14ac:dyDescent="0.2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</row>
    <row r="336" spans="1:28" x14ac:dyDescent="0.2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</row>
    <row r="337" spans="1:28" x14ac:dyDescent="0.2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</row>
    <row r="338" spans="1:28" x14ac:dyDescent="0.2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</row>
    <row r="339" spans="1:28" x14ac:dyDescent="0.2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</row>
    <row r="340" spans="1:28" x14ac:dyDescent="0.2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</row>
    <row r="341" spans="1:28" x14ac:dyDescent="0.2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</row>
    <row r="342" spans="1:28" x14ac:dyDescent="0.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</row>
    <row r="343" spans="1:28" x14ac:dyDescent="0.2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</row>
    <row r="344" spans="1:28" x14ac:dyDescent="0.2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</row>
    <row r="345" spans="1:28" x14ac:dyDescent="0.2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  <c r="AA345" s="179"/>
      <c r="AB345" s="179"/>
    </row>
    <row r="346" spans="1:28" x14ac:dyDescent="0.2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</row>
    <row r="347" spans="1:28" x14ac:dyDescent="0.2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  <c r="AA347" s="179"/>
      <c r="AB347" s="179"/>
    </row>
    <row r="348" spans="1:28" x14ac:dyDescent="0.2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</row>
    <row r="349" spans="1:28" x14ac:dyDescent="0.2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</row>
    <row r="350" spans="1:28" x14ac:dyDescent="0.2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</row>
    <row r="351" spans="1:28" x14ac:dyDescent="0.2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</row>
    <row r="352" spans="1:28" x14ac:dyDescent="0.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</row>
    <row r="353" spans="1:28" x14ac:dyDescent="0.2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</row>
    <row r="354" spans="1:28" x14ac:dyDescent="0.2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</row>
    <row r="355" spans="1:28" x14ac:dyDescent="0.2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</row>
    <row r="356" spans="1:28" x14ac:dyDescent="0.2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</row>
    <row r="357" spans="1:28" x14ac:dyDescent="0.2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</row>
    <row r="358" spans="1:28" x14ac:dyDescent="0.2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</row>
    <row r="359" spans="1:28" x14ac:dyDescent="0.2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</row>
    <row r="360" spans="1:28" x14ac:dyDescent="0.2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</row>
    <row r="361" spans="1:28" x14ac:dyDescent="0.2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</row>
    <row r="362" spans="1:28" x14ac:dyDescent="0.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  <c r="AA362" s="179"/>
      <c r="AB362" s="179"/>
    </row>
    <row r="363" spans="1:28" x14ac:dyDescent="0.2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</row>
    <row r="364" spans="1:28" x14ac:dyDescent="0.2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  <c r="AA364" s="179"/>
      <c r="AB364" s="179"/>
    </row>
    <row r="365" spans="1:28" x14ac:dyDescent="0.2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</row>
    <row r="366" spans="1:28" x14ac:dyDescent="0.2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</row>
    <row r="367" spans="1:28" x14ac:dyDescent="0.2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</row>
    <row r="368" spans="1:28" x14ac:dyDescent="0.2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</row>
    <row r="369" spans="1:28" x14ac:dyDescent="0.2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</row>
    <row r="370" spans="1:28" x14ac:dyDescent="0.2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</row>
    <row r="371" spans="1:28" x14ac:dyDescent="0.2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</row>
    <row r="372" spans="1:28" x14ac:dyDescent="0.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</row>
    <row r="373" spans="1:28" x14ac:dyDescent="0.2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</row>
    <row r="374" spans="1:28" x14ac:dyDescent="0.2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</row>
    <row r="375" spans="1:28" x14ac:dyDescent="0.2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</row>
    <row r="376" spans="1:28" x14ac:dyDescent="0.2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</row>
    <row r="377" spans="1:28" x14ac:dyDescent="0.2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</row>
    <row r="378" spans="1:28" x14ac:dyDescent="0.2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</row>
    <row r="379" spans="1:28" x14ac:dyDescent="0.2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</row>
    <row r="380" spans="1:28" x14ac:dyDescent="0.2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</row>
    <row r="381" spans="1:28" x14ac:dyDescent="0.2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</row>
    <row r="382" spans="1:28" x14ac:dyDescent="0.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</row>
    <row r="383" spans="1:28" x14ac:dyDescent="0.2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  <c r="AA383" s="179"/>
      <c r="AB383" s="179"/>
    </row>
    <row r="384" spans="1:28" x14ac:dyDescent="0.2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</row>
    <row r="385" spans="1:28" x14ac:dyDescent="0.2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</row>
    <row r="386" spans="1:28" x14ac:dyDescent="0.2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</row>
    <row r="387" spans="1:28" x14ac:dyDescent="0.2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</row>
    <row r="388" spans="1:28" x14ac:dyDescent="0.2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</row>
    <row r="389" spans="1:28" x14ac:dyDescent="0.2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</row>
    <row r="390" spans="1:28" x14ac:dyDescent="0.2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</row>
    <row r="391" spans="1:28" x14ac:dyDescent="0.2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</row>
    <row r="392" spans="1:28" x14ac:dyDescent="0.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</row>
    <row r="393" spans="1:28" x14ac:dyDescent="0.2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  <c r="AA393" s="179"/>
      <c r="AB393" s="179"/>
    </row>
    <row r="394" spans="1:28" x14ac:dyDescent="0.2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  <c r="AA394" s="179"/>
      <c r="AB394" s="179"/>
    </row>
    <row r="395" spans="1:28" x14ac:dyDescent="0.2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</row>
    <row r="396" spans="1:28" x14ac:dyDescent="0.2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  <c r="AA396" s="179"/>
      <c r="AB396" s="179"/>
    </row>
    <row r="397" spans="1:28" x14ac:dyDescent="0.2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</row>
    <row r="398" spans="1:28" x14ac:dyDescent="0.2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  <c r="AA398" s="179"/>
      <c r="AB398" s="179"/>
    </row>
    <row r="399" spans="1:28" x14ac:dyDescent="0.2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</row>
    <row r="400" spans="1:28" x14ac:dyDescent="0.2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  <c r="AA400" s="179"/>
      <c r="AB400" s="179"/>
    </row>
    <row r="401" spans="1:28" x14ac:dyDescent="0.2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  <c r="AA401" s="179"/>
      <c r="AB401" s="179"/>
    </row>
    <row r="402" spans="1:28" x14ac:dyDescent="0.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</row>
    <row r="403" spans="1:28" x14ac:dyDescent="0.2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</row>
    <row r="404" spans="1:28" x14ac:dyDescent="0.2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</row>
    <row r="405" spans="1:28" x14ac:dyDescent="0.2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</row>
    <row r="406" spans="1:28" x14ac:dyDescent="0.2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</row>
    <row r="407" spans="1:28" x14ac:dyDescent="0.2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</row>
    <row r="408" spans="1:28" x14ac:dyDescent="0.2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</row>
    <row r="409" spans="1:28" x14ac:dyDescent="0.2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</row>
    <row r="410" spans="1:28" x14ac:dyDescent="0.2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</row>
    <row r="411" spans="1:28" x14ac:dyDescent="0.2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  <c r="AA411" s="179"/>
      <c r="AB411" s="179"/>
    </row>
    <row r="412" spans="1:28" x14ac:dyDescent="0.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  <c r="AA412" s="179"/>
      <c r="AB412" s="179"/>
    </row>
    <row r="413" spans="1:28" x14ac:dyDescent="0.2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  <c r="AA413" s="179"/>
      <c r="AB413" s="179"/>
    </row>
    <row r="414" spans="1:28" x14ac:dyDescent="0.2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  <c r="AA414" s="179"/>
      <c r="AB414" s="179"/>
    </row>
    <row r="415" spans="1:28" x14ac:dyDescent="0.2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  <c r="AA415" s="179"/>
      <c r="AB415" s="179"/>
    </row>
    <row r="416" spans="1:28" x14ac:dyDescent="0.2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  <c r="AA416" s="179"/>
      <c r="AB416" s="179"/>
    </row>
    <row r="417" spans="1:28" x14ac:dyDescent="0.2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  <c r="AA417" s="179"/>
      <c r="AB417" s="179"/>
    </row>
    <row r="418" spans="1:28" x14ac:dyDescent="0.2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  <c r="AA418" s="179"/>
      <c r="AB418" s="179"/>
    </row>
    <row r="419" spans="1:28" x14ac:dyDescent="0.2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</row>
    <row r="420" spans="1:28" x14ac:dyDescent="0.2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</row>
    <row r="421" spans="1:28" x14ac:dyDescent="0.2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</row>
    <row r="422" spans="1:28" x14ac:dyDescent="0.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</row>
    <row r="423" spans="1:28" x14ac:dyDescent="0.2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</row>
    <row r="424" spans="1:28" x14ac:dyDescent="0.2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</row>
    <row r="425" spans="1:28" x14ac:dyDescent="0.2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</row>
    <row r="426" spans="1:28" x14ac:dyDescent="0.2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</row>
    <row r="427" spans="1:28" x14ac:dyDescent="0.2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</row>
    <row r="428" spans="1:28" x14ac:dyDescent="0.2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</row>
    <row r="429" spans="1:28" x14ac:dyDescent="0.2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</row>
    <row r="430" spans="1:28" x14ac:dyDescent="0.2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  <c r="AA430" s="179"/>
      <c r="AB430" s="179"/>
    </row>
    <row r="431" spans="1:28" x14ac:dyDescent="0.2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  <c r="AA431" s="179"/>
      <c r="AB431" s="179"/>
    </row>
    <row r="432" spans="1:28" x14ac:dyDescent="0.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  <c r="AA432" s="179"/>
      <c r="AB432" s="179"/>
    </row>
    <row r="433" spans="1:28" x14ac:dyDescent="0.2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  <c r="AA433" s="179"/>
      <c r="AB433" s="179"/>
    </row>
    <row r="434" spans="1:28" x14ac:dyDescent="0.2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</row>
    <row r="435" spans="1:28" x14ac:dyDescent="0.2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</row>
    <row r="436" spans="1:28" x14ac:dyDescent="0.2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  <c r="AA436" s="179"/>
      <c r="AB436" s="179"/>
    </row>
    <row r="437" spans="1:28" x14ac:dyDescent="0.2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</row>
    <row r="438" spans="1:28" x14ac:dyDescent="0.2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</row>
    <row r="439" spans="1:28" x14ac:dyDescent="0.2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</row>
    <row r="440" spans="1:28" x14ac:dyDescent="0.2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</row>
    <row r="441" spans="1:28" x14ac:dyDescent="0.2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</row>
    <row r="442" spans="1:28" x14ac:dyDescent="0.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</row>
    <row r="443" spans="1:28" x14ac:dyDescent="0.2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</row>
    <row r="444" spans="1:28" x14ac:dyDescent="0.2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</row>
    <row r="445" spans="1:28" x14ac:dyDescent="0.2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</row>
    <row r="446" spans="1:28" x14ac:dyDescent="0.2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</row>
    <row r="447" spans="1:28" x14ac:dyDescent="0.2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  <c r="AA447" s="179"/>
      <c r="AB447" s="179"/>
    </row>
    <row r="448" spans="1:28" x14ac:dyDescent="0.2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  <c r="AA448" s="179"/>
      <c r="AB448" s="179"/>
    </row>
    <row r="449" spans="1:28" x14ac:dyDescent="0.2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  <c r="AA449" s="179"/>
      <c r="AB449" s="179"/>
    </row>
    <row r="450" spans="1:28" x14ac:dyDescent="0.2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  <c r="AA450" s="179"/>
      <c r="AB450" s="179"/>
    </row>
    <row r="451" spans="1:28" x14ac:dyDescent="0.2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</row>
    <row r="452" spans="1:28" x14ac:dyDescent="0.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  <c r="AA452" s="179"/>
      <c r="AB452" s="179"/>
    </row>
    <row r="453" spans="1:28" x14ac:dyDescent="0.2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</row>
    <row r="454" spans="1:28" x14ac:dyDescent="0.2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  <c r="AA454" s="179"/>
      <c r="AB454" s="179"/>
    </row>
    <row r="455" spans="1:28" x14ac:dyDescent="0.2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</row>
    <row r="456" spans="1:28" x14ac:dyDescent="0.2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</row>
    <row r="457" spans="1:28" x14ac:dyDescent="0.2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</row>
    <row r="458" spans="1:28" x14ac:dyDescent="0.2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</row>
    <row r="459" spans="1:28" x14ac:dyDescent="0.2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</row>
    <row r="460" spans="1:28" x14ac:dyDescent="0.2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</row>
    <row r="461" spans="1:28" x14ac:dyDescent="0.2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</row>
    <row r="462" spans="1:28" x14ac:dyDescent="0.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</row>
    <row r="463" spans="1:28" x14ac:dyDescent="0.2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</row>
    <row r="464" spans="1:28" x14ac:dyDescent="0.2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</row>
    <row r="465" spans="1:28" x14ac:dyDescent="0.2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  <c r="AA465" s="179"/>
      <c r="AB465" s="179"/>
    </row>
    <row r="466" spans="1:28" x14ac:dyDescent="0.2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  <c r="AA466" s="179"/>
      <c r="AB466" s="179"/>
    </row>
    <row r="467" spans="1:28" x14ac:dyDescent="0.2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  <c r="AA467" s="179"/>
      <c r="AB467" s="179"/>
    </row>
    <row r="468" spans="1:28" x14ac:dyDescent="0.2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  <c r="AA468" s="179"/>
      <c r="AB468" s="179"/>
    </row>
    <row r="469" spans="1:28" x14ac:dyDescent="0.2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  <c r="AA469" s="179"/>
      <c r="AB469" s="179"/>
    </row>
    <row r="470" spans="1:28" x14ac:dyDescent="0.2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  <c r="AA470" s="179"/>
      <c r="AB470" s="179"/>
    </row>
    <row r="471" spans="1:28" x14ac:dyDescent="0.2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  <c r="AA471" s="179"/>
      <c r="AB471" s="179"/>
    </row>
    <row r="472" spans="1:28" x14ac:dyDescent="0.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  <c r="AA472" s="179"/>
      <c r="AB472" s="179"/>
    </row>
    <row r="473" spans="1:28" x14ac:dyDescent="0.2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  <c r="AA473" s="179"/>
      <c r="AB473" s="179"/>
    </row>
    <row r="474" spans="1:28" x14ac:dyDescent="0.2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</row>
    <row r="475" spans="1:28" x14ac:dyDescent="0.2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</row>
    <row r="476" spans="1:28" x14ac:dyDescent="0.2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</row>
    <row r="477" spans="1:28" x14ac:dyDescent="0.2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</row>
    <row r="478" spans="1:28" x14ac:dyDescent="0.2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</row>
    <row r="479" spans="1:28" x14ac:dyDescent="0.2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</row>
    <row r="480" spans="1:28" x14ac:dyDescent="0.2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</row>
    <row r="481" spans="1:28" x14ac:dyDescent="0.2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</row>
    <row r="482" spans="1:28" x14ac:dyDescent="0.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</row>
    <row r="483" spans="1:28" x14ac:dyDescent="0.2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  <c r="AA483" s="179"/>
      <c r="AB483" s="179"/>
    </row>
    <row r="484" spans="1:28" x14ac:dyDescent="0.2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  <c r="AA484" s="179"/>
      <c r="AB484" s="179"/>
    </row>
    <row r="485" spans="1:28" x14ac:dyDescent="0.2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  <c r="AA485" s="179"/>
      <c r="AB485" s="179"/>
    </row>
    <row r="486" spans="1:28" x14ac:dyDescent="0.2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  <c r="AA486" s="179"/>
      <c r="AB486" s="179"/>
    </row>
    <row r="487" spans="1:28" x14ac:dyDescent="0.2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  <c r="AA487" s="179"/>
      <c r="AB487" s="179"/>
    </row>
    <row r="488" spans="1:28" x14ac:dyDescent="0.2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  <c r="AA488" s="179"/>
      <c r="AB488" s="179"/>
    </row>
    <row r="489" spans="1:28" x14ac:dyDescent="0.2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  <c r="AA489" s="179"/>
      <c r="AB489" s="179"/>
    </row>
    <row r="490" spans="1:28" x14ac:dyDescent="0.2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  <c r="AA490" s="179"/>
      <c r="AB490" s="179"/>
    </row>
    <row r="491" spans="1:28" x14ac:dyDescent="0.2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  <c r="AA491" s="179"/>
      <c r="AB491" s="179"/>
    </row>
    <row r="492" spans="1:28" x14ac:dyDescent="0.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  <c r="AA492" s="179"/>
      <c r="AB492" s="179"/>
    </row>
    <row r="493" spans="1:28" x14ac:dyDescent="0.2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  <c r="AA493" s="179"/>
      <c r="AB493" s="179"/>
    </row>
    <row r="494" spans="1:28" x14ac:dyDescent="0.2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  <c r="AA494" s="179"/>
      <c r="AB494" s="179"/>
    </row>
    <row r="495" spans="1:28" x14ac:dyDescent="0.2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  <c r="AA495" s="179"/>
      <c r="AB495" s="179"/>
    </row>
    <row r="496" spans="1:28" x14ac:dyDescent="0.2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</row>
    <row r="497" spans="1:28" x14ac:dyDescent="0.2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</row>
    <row r="498" spans="1:28" x14ac:dyDescent="0.2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</row>
    <row r="499" spans="1:28" x14ac:dyDescent="0.2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</row>
    <row r="500" spans="1:28" x14ac:dyDescent="0.2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</row>
    <row r="501" spans="1:28" x14ac:dyDescent="0.2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  <c r="AA501" s="179"/>
      <c r="AB501" s="179"/>
    </row>
    <row r="502" spans="1:28" x14ac:dyDescent="0.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  <c r="AA502" s="179"/>
      <c r="AB502" s="179"/>
    </row>
    <row r="503" spans="1:28" x14ac:dyDescent="0.2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  <c r="AA503" s="179"/>
      <c r="AB503" s="179"/>
    </row>
    <row r="504" spans="1:28" x14ac:dyDescent="0.2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  <c r="AA504" s="179"/>
      <c r="AB504" s="179"/>
    </row>
    <row r="505" spans="1:28" x14ac:dyDescent="0.2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  <c r="AA505" s="179"/>
      <c r="AB505" s="179"/>
    </row>
    <row r="506" spans="1:28" x14ac:dyDescent="0.2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  <c r="AA506" s="179"/>
      <c r="AB506" s="179"/>
    </row>
    <row r="507" spans="1:28" x14ac:dyDescent="0.2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</row>
    <row r="508" spans="1:28" x14ac:dyDescent="0.2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  <c r="AA508" s="179"/>
      <c r="AB508" s="179"/>
    </row>
    <row r="509" spans="1:28" x14ac:dyDescent="0.2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</row>
    <row r="510" spans="1:28" x14ac:dyDescent="0.2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</row>
    <row r="511" spans="1:28" x14ac:dyDescent="0.2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</row>
    <row r="512" spans="1:28" x14ac:dyDescent="0.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  <c r="AA512" s="179"/>
      <c r="AB512" s="179"/>
    </row>
    <row r="513" spans="1:28" x14ac:dyDescent="0.2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  <c r="AA513" s="179"/>
      <c r="AB513" s="179"/>
    </row>
    <row r="514" spans="1:28" x14ac:dyDescent="0.2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  <c r="AA514" s="179"/>
      <c r="AB514" s="179"/>
    </row>
    <row r="515" spans="1:28" x14ac:dyDescent="0.2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  <c r="AA515" s="179"/>
      <c r="AB515" s="179"/>
    </row>
    <row r="516" spans="1:28" x14ac:dyDescent="0.2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  <c r="AA516" s="179"/>
      <c r="AB516" s="179"/>
    </row>
    <row r="517" spans="1:28" x14ac:dyDescent="0.2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</row>
    <row r="518" spans="1:28" x14ac:dyDescent="0.2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</row>
    <row r="519" spans="1:28" x14ac:dyDescent="0.2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  <c r="AA519" s="179"/>
      <c r="AB519" s="179"/>
    </row>
    <row r="520" spans="1:28" x14ac:dyDescent="0.2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  <c r="AA520" s="179"/>
      <c r="AB520" s="179"/>
    </row>
    <row r="521" spans="1:28" x14ac:dyDescent="0.2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  <c r="AA521" s="179"/>
      <c r="AB521" s="179"/>
    </row>
    <row r="522" spans="1:28" x14ac:dyDescent="0.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  <c r="AA522" s="179"/>
      <c r="AB522" s="179"/>
    </row>
    <row r="523" spans="1:28" x14ac:dyDescent="0.2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  <c r="AA523" s="179"/>
      <c r="AB523" s="179"/>
    </row>
    <row r="524" spans="1:28" x14ac:dyDescent="0.2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  <c r="AA524" s="179"/>
      <c r="AB524" s="179"/>
    </row>
    <row r="525" spans="1:28" x14ac:dyDescent="0.2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  <c r="AA525" s="179"/>
      <c r="AB525" s="179"/>
    </row>
    <row r="526" spans="1:28" x14ac:dyDescent="0.2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  <c r="AA526" s="179"/>
      <c r="AB526" s="179"/>
    </row>
    <row r="527" spans="1:28" x14ac:dyDescent="0.2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  <c r="AA527" s="179"/>
      <c r="AB527" s="179"/>
    </row>
    <row r="528" spans="1:28" x14ac:dyDescent="0.2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</row>
    <row r="529" spans="1:28" x14ac:dyDescent="0.2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</row>
    <row r="530" spans="1:28" x14ac:dyDescent="0.2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</row>
    <row r="531" spans="1:28" x14ac:dyDescent="0.2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</row>
    <row r="532" spans="1:28" x14ac:dyDescent="0.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</row>
    <row r="533" spans="1:28" x14ac:dyDescent="0.2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</row>
    <row r="534" spans="1:28" x14ac:dyDescent="0.2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</row>
    <row r="535" spans="1:28" x14ac:dyDescent="0.2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</row>
    <row r="536" spans="1:28" x14ac:dyDescent="0.2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</row>
    <row r="537" spans="1:28" x14ac:dyDescent="0.2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  <c r="AA537" s="179"/>
      <c r="AB537" s="179"/>
    </row>
    <row r="538" spans="1:28" x14ac:dyDescent="0.2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  <c r="AA538" s="179"/>
      <c r="AB538" s="179"/>
    </row>
    <row r="539" spans="1:28" x14ac:dyDescent="0.2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  <c r="AA539" s="179"/>
      <c r="AB539" s="179"/>
    </row>
    <row r="540" spans="1:28" x14ac:dyDescent="0.2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  <c r="AA540" s="179"/>
      <c r="AB540" s="179"/>
    </row>
    <row r="541" spans="1:28" x14ac:dyDescent="0.2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  <c r="AA541" s="179"/>
      <c r="AB541" s="179"/>
    </row>
    <row r="542" spans="1:28" x14ac:dyDescent="0.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  <c r="AA542" s="179"/>
      <c r="AB542" s="179"/>
    </row>
    <row r="543" spans="1:28" x14ac:dyDescent="0.2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  <c r="AA543" s="179"/>
      <c r="AB543" s="179"/>
    </row>
    <row r="544" spans="1:28" x14ac:dyDescent="0.2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  <c r="AA544" s="179"/>
      <c r="AB544" s="179"/>
    </row>
    <row r="545" spans="1:28" x14ac:dyDescent="0.2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  <c r="AA545" s="179"/>
      <c r="AB545" s="179"/>
    </row>
    <row r="546" spans="1:28" x14ac:dyDescent="0.2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</row>
    <row r="547" spans="1:28" x14ac:dyDescent="0.2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</row>
    <row r="548" spans="1:28" x14ac:dyDescent="0.2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</row>
    <row r="549" spans="1:28" x14ac:dyDescent="0.2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</row>
    <row r="550" spans="1:28" x14ac:dyDescent="0.2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</row>
    <row r="551" spans="1:28" x14ac:dyDescent="0.2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</row>
    <row r="552" spans="1:28" x14ac:dyDescent="0.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</row>
    <row r="553" spans="1:28" x14ac:dyDescent="0.2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</row>
    <row r="554" spans="1:28" x14ac:dyDescent="0.2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</row>
    <row r="555" spans="1:28" x14ac:dyDescent="0.2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  <c r="AA555" s="179"/>
      <c r="AB555" s="179"/>
    </row>
    <row r="556" spans="1:28" x14ac:dyDescent="0.2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  <c r="AA556" s="179"/>
      <c r="AB556" s="179"/>
    </row>
    <row r="557" spans="1:28" x14ac:dyDescent="0.2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  <c r="AA557" s="179"/>
      <c r="AB557" s="179"/>
    </row>
    <row r="558" spans="1:28" x14ac:dyDescent="0.2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  <c r="AA558" s="179"/>
      <c r="AB558" s="179"/>
    </row>
    <row r="559" spans="1:28" x14ac:dyDescent="0.2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  <c r="AA559" s="179"/>
      <c r="AB559" s="179"/>
    </row>
    <row r="560" spans="1:28" x14ac:dyDescent="0.2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  <c r="AA560" s="179"/>
      <c r="AB560" s="179"/>
    </row>
    <row r="561" spans="1:28" x14ac:dyDescent="0.2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  <c r="AA561" s="179"/>
      <c r="AB561" s="179"/>
    </row>
    <row r="562" spans="1:28" x14ac:dyDescent="0.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  <c r="AA562" s="179"/>
      <c r="AB562" s="179"/>
    </row>
    <row r="563" spans="1:28" x14ac:dyDescent="0.2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</row>
    <row r="564" spans="1:28" x14ac:dyDescent="0.2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</row>
    <row r="565" spans="1:28" x14ac:dyDescent="0.2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</row>
    <row r="566" spans="1:28" x14ac:dyDescent="0.2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</row>
    <row r="567" spans="1:28" x14ac:dyDescent="0.2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</row>
    <row r="568" spans="1:28" x14ac:dyDescent="0.2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</row>
    <row r="569" spans="1:28" x14ac:dyDescent="0.2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</row>
    <row r="570" spans="1:28" x14ac:dyDescent="0.2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</row>
    <row r="571" spans="1:28" x14ac:dyDescent="0.2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</row>
    <row r="572" spans="1:28" x14ac:dyDescent="0.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</row>
    <row r="573" spans="1:28" x14ac:dyDescent="0.2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  <c r="AA573" s="179"/>
      <c r="AB573" s="179"/>
    </row>
    <row r="574" spans="1:28" x14ac:dyDescent="0.2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  <c r="AA574" s="179"/>
      <c r="AB574" s="179"/>
    </row>
    <row r="575" spans="1:28" x14ac:dyDescent="0.2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  <c r="AA575" s="179"/>
      <c r="AB575" s="179"/>
    </row>
    <row r="576" spans="1:28" x14ac:dyDescent="0.2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  <c r="AA576" s="179"/>
      <c r="AB576" s="179"/>
    </row>
    <row r="577" spans="1:28" x14ac:dyDescent="0.2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  <c r="AA577" s="179"/>
      <c r="AB577" s="179"/>
    </row>
    <row r="578" spans="1:28" x14ac:dyDescent="0.2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  <c r="AA578" s="179"/>
      <c r="AB578" s="179"/>
    </row>
    <row r="579" spans="1:28" x14ac:dyDescent="0.2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  <c r="AA579" s="179"/>
      <c r="AB579" s="179"/>
    </row>
    <row r="580" spans="1:28" x14ac:dyDescent="0.2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</row>
    <row r="581" spans="1:28" x14ac:dyDescent="0.2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</row>
    <row r="582" spans="1:28" x14ac:dyDescent="0.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</row>
    <row r="583" spans="1:28" x14ac:dyDescent="0.2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</row>
    <row r="584" spans="1:28" x14ac:dyDescent="0.2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</row>
    <row r="585" spans="1:28" x14ac:dyDescent="0.2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</row>
    <row r="586" spans="1:28" x14ac:dyDescent="0.2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</row>
    <row r="587" spans="1:28" x14ac:dyDescent="0.2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</row>
    <row r="588" spans="1:28" x14ac:dyDescent="0.2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</row>
    <row r="589" spans="1:28" x14ac:dyDescent="0.2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</row>
    <row r="590" spans="1:28" x14ac:dyDescent="0.2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</row>
    <row r="591" spans="1:28" x14ac:dyDescent="0.2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  <c r="AA591" s="179"/>
      <c r="AB591" s="179"/>
    </row>
    <row r="592" spans="1:28" x14ac:dyDescent="0.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  <c r="AA592" s="179"/>
      <c r="AB592" s="179"/>
    </row>
    <row r="593" spans="1:28" x14ac:dyDescent="0.2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  <c r="AA593" s="179"/>
      <c r="AB593" s="179"/>
    </row>
    <row r="594" spans="1:28" x14ac:dyDescent="0.2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  <c r="AA594" s="179"/>
      <c r="AB594" s="179"/>
    </row>
    <row r="595" spans="1:28" x14ac:dyDescent="0.2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  <c r="AA595" s="179"/>
      <c r="AB595" s="179"/>
    </row>
    <row r="596" spans="1:28" x14ac:dyDescent="0.2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  <c r="AA596" s="179"/>
      <c r="AB596" s="179"/>
    </row>
    <row r="597" spans="1:28" x14ac:dyDescent="0.2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  <c r="AA597" s="179"/>
      <c r="AB597" s="179"/>
    </row>
    <row r="598" spans="1:28" x14ac:dyDescent="0.2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  <c r="AA598" s="179"/>
      <c r="AB598" s="179"/>
    </row>
    <row r="599" spans="1:28" x14ac:dyDescent="0.2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  <c r="AA599" s="179"/>
      <c r="AB599" s="179"/>
    </row>
    <row r="600" spans="1:28" x14ac:dyDescent="0.2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</row>
    <row r="601" spans="1:28" x14ac:dyDescent="0.2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</row>
    <row r="602" spans="1:28" x14ac:dyDescent="0.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</row>
    <row r="603" spans="1:28" x14ac:dyDescent="0.2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</row>
    <row r="604" spans="1:28" x14ac:dyDescent="0.2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</row>
    <row r="605" spans="1:28" x14ac:dyDescent="0.2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</row>
    <row r="606" spans="1:28" x14ac:dyDescent="0.2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</row>
    <row r="607" spans="1:28" x14ac:dyDescent="0.2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</row>
    <row r="608" spans="1:28" x14ac:dyDescent="0.2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</row>
    <row r="609" spans="1:28" x14ac:dyDescent="0.2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  <c r="AA609" s="179"/>
      <c r="AB609" s="179"/>
    </row>
    <row r="610" spans="1:28" x14ac:dyDescent="0.2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  <c r="AA610" s="179"/>
      <c r="AB610" s="179"/>
    </row>
    <row r="611" spans="1:28" x14ac:dyDescent="0.2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  <c r="AA611" s="179"/>
      <c r="AB611" s="179"/>
    </row>
    <row r="612" spans="1:28" x14ac:dyDescent="0.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  <c r="AA612" s="179"/>
      <c r="AB612" s="179"/>
    </row>
    <row r="613" spans="1:28" x14ac:dyDescent="0.2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  <c r="AA613" s="179"/>
      <c r="AB613" s="179"/>
    </row>
    <row r="614" spans="1:28" x14ac:dyDescent="0.2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  <c r="AA614" s="179"/>
      <c r="AB614" s="179"/>
    </row>
    <row r="615" spans="1:28" x14ac:dyDescent="0.2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  <c r="AA615" s="179"/>
      <c r="AB615" s="179"/>
    </row>
    <row r="616" spans="1:28" x14ac:dyDescent="0.2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  <c r="AA616" s="179"/>
      <c r="AB616" s="179"/>
    </row>
    <row r="617" spans="1:28" x14ac:dyDescent="0.2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  <c r="AA617" s="179"/>
      <c r="AB617" s="179"/>
    </row>
    <row r="618" spans="1:28" x14ac:dyDescent="0.2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</row>
    <row r="619" spans="1:28" x14ac:dyDescent="0.2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</row>
    <row r="620" spans="1:28" x14ac:dyDescent="0.2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</row>
    <row r="621" spans="1:28" x14ac:dyDescent="0.2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</row>
    <row r="622" spans="1:28" x14ac:dyDescent="0.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</row>
    <row r="623" spans="1:28" x14ac:dyDescent="0.2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</row>
    <row r="624" spans="1:28" x14ac:dyDescent="0.2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</row>
    <row r="625" spans="1:28" x14ac:dyDescent="0.2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</row>
    <row r="626" spans="1:28" x14ac:dyDescent="0.2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</row>
    <row r="627" spans="1:28" x14ac:dyDescent="0.2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  <c r="AA627" s="179"/>
      <c r="AB627" s="179"/>
    </row>
    <row r="628" spans="1:28" x14ac:dyDescent="0.2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  <c r="AA628" s="179"/>
      <c r="AB628" s="179"/>
    </row>
    <row r="629" spans="1:28" x14ac:dyDescent="0.2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  <c r="AA629" s="179"/>
      <c r="AB629" s="179"/>
    </row>
    <row r="630" spans="1:28" x14ac:dyDescent="0.2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  <c r="AA630" s="179"/>
      <c r="AB630" s="179"/>
    </row>
    <row r="631" spans="1:28" x14ac:dyDescent="0.2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  <c r="AA631" s="179"/>
      <c r="AB631" s="179"/>
    </row>
    <row r="632" spans="1:28" x14ac:dyDescent="0.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  <c r="AA632" s="179"/>
      <c r="AB632" s="179"/>
    </row>
    <row r="633" spans="1:28" x14ac:dyDescent="0.2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  <c r="AA633" s="179"/>
      <c r="AB633" s="179"/>
    </row>
    <row r="634" spans="1:28" x14ac:dyDescent="0.2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  <c r="AA634" s="179"/>
      <c r="AB634" s="179"/>
    </row>
    <row r="635" spans="1:28" x14ac:dyDescent="0.2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  <c r="AA635" s="179"/>
      <c r="AB635" s="179"/>
    </row>
    <row r="636" spans="1:28" x14ac:dyDescent="0.2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</row>
    <row r="637" spans="1:28" x14ac:dyDescent="0.2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</row>
    <row r="638" spans="1:28" x14ac:dyDescent="0.2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</row>
    <row r="639" spans="1:28" x14ac:dyDescent="0.2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</row>
    <row r="640" spans="1:28" x14ac:dyDescent="0.2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</row>
    <row r="641" spans="1:28" x14ac:dyDescent="0.2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</row>
    <row r="642" spans="1:28" x14ac:dyDescent="0.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</row>
    <row r="643" spans="1:28" x14ac:dyDescent="0.2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</row>
    <row r="644" spans="1:28" x14ac:dyDescent="0.2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</row>
    <row r="645" spans="1:28" x14ac:dyDescent="0.2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  <c r="AA645" s="179"/>
      <c r="AB645" s="179"/>
    </row>
    <row r="646" spans="1:28" x14ac:dyDescent="0.2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  <c r="AA646" s="179"/>
      <c r="AB646" s="179"/>
    </row>
    <row r="647" spans="1:28" x14ac:dyDescent="0.2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  <c r="AA647" s="179"/>
      <c r="AB647" s="179"/>
    </row>
    <row r="648" spans="1:28" x14ac:dyDescent="0.2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  <c r="AA648" s="179"/>
      <c r="AB648" s="179"/>
    </row>
    <row r="649" spans="1:28" x14ac:dyDescent="0.2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  <c r="AA649" s="179"/>
      <c r="AB649" s="179"/>
    </row>
    <row r="650" spans="1:28" x14ac:dyDescent="0.2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  <c r="AA650" s="179"/>
      <c r="AB650" s="179"/>
    </row>
    <row r="651" spans="1:28" x14ac:dyDescent="0.2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  <c r="AA651" s="179"/>
      <c r="AB651" s="179"/>
    </row>
    <row r="652" spans="1:28" x14ac:dyDescent="0.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  <c r="AA652" s="179"/>
      <c r="AB652" s="179"/>
    </row>
    <row r="653" spans="1:28" x14ac:dyDescent="0.2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  <c r="AA653" s="179"/>
      <c r="AB653" s="179"/>
    </row>
    <row r="654" spans="1:28" x14ac:dyDescent="0.2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</row>
    <row r="655" spans="1:28" x14ac:dyDescent="0.2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</row>
    <row r="656" spans="1:28" x14ac:dyDescent="0.2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</row>
    <row r="657" spans="1:28" x14ac:dyDescent="0.2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</row>
    <row r="658" spans="1:28" x14ac:dyDescent="0.2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</row>
    <row r="659" spans="1:28" x14ac:dyDescent="0.2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</row>
    <row r="660" spans="1:28" x14ac:dyDescent="0.2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</row>
    <row r="661" spans="1:28" x14ac:dyDescent="0.2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</row>
    <row r="662" spans="1:28" x14ac:dyDescent="0.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</row>
    <row r="663" spans="1:28" x14ac:dyDescent="0.2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  <c r="AA663" s="179"/>
      <c r="AB663" s="179"/>
    </row>
    <row r="664" spans="1:28" x14ac:dyDescent="0.2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  <c r="AA664" s="179"/>
      <c r="AB664" s="179"/>
    </row>
    <row r="665" spans="1:28" x14ac:dyDescent="0.2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  <c r="AA665" s="179"/>
      <c r="AB665" s="179"/>
    </row>
    <row r="666" spans="1:28" x14ac:dyDescent="0.2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  <c r="AA666" s="179"/>
      <c r="AB666" s="179"/>
    </row>
    <row r="667" spans="1:28" x14ac:dyDescent="0.2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  <c r="AA667" s="179"/>
      <c r="AB667" s="179"/>
    </row>
    <row r="668" spans="1:28" x14ac:dyDescent="0.2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  <c r="AA668" s="179"/>
      <c r="AB668" s="179"/>
    </row>
    <row r="669" spans="1:28" x14ac:dyDescent="0.2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  <c r="AA669" s="179"/>
      <c r="AB669" s="179"/>
    </row>
    <row r="670" spans="1:28" x14ac:dyDescent="0.2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  <c r="AA670" s="179"/>
      <c r="AB670" s="179"/>
    </row>
    <row r="671" spans="1:28" x14ac:dyDescent="0.2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  <c r="AA671" s="179"/>
      <c r="AB671" s="179"/>
    </row>
    <row r="672" spans="1:28" x14ac:dyDescent="0.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</row>
    <row r="673" spans="1:28" x14ac:dyDescent="0.2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</row>
    <row r="674" spans="1:28" x14ac:dyDescent="0.2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</row>
    <row r="675" spans="1:28" x14ac:dyDescent="0.2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</row>
    <row r="676" spans="1:28" x14ac:dyDescent="0.2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</row>
    <row r="677" spans="1:28" x14ac:dyDescent="0.2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</row>
    <row r="678" spans="1:28" x14ac:dyDescent="0.2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</row>
    <row r="679" spans="1:28" x14ac:dyDescent="0.2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</row>
    <row r="680" spans="1:28" x14ac:dyDescent="0.2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</row>
    <row r="681" spans="1:28" x14ac:dyDescent="0.2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  <c r="AA681" s="179"/>
      <c r="AB681" s="179"/>
    </row>
    <row r="682" spans="1:28" x14ac:dyDescent="0.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  <c r="AA682" s="179"/>
      <c r="AB682" s="179"/>
    </row>
    <row r="683" spans="1:28" x14ac:dyDescent="0.2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  <c r="AA683" s="179"/>
      <c r="AB683" s="179"/>
    </row>
    <row r="684" spans="1:28" x14ac:dyDescent="0.2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  <c r="AA684" s="179"/>
      <c r="AB684" s="179"/>
    </row>
    <row r="685" spans="1:28" x14ac:dyDescent="0.2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  <c r="AA685" s="179"/>
      <c r="AB685" s="179"/>
    </row>
    <row r="686" spans="1:28" x14ac:dyDescent="0.2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  <c r="AA686" s="179"/>
      <c r="AB686" s="179"/>
    </row>
    <row r="687" spans="1:28" x14ac:dyDescent="0.2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  <c r="AA687" s="179"/>
      <c r="AB687" s="179"/>
    </row>
    <row r="688" spans="1:28" x14ac:dyDescent="0.2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  <c r="AA688" s="179"/>
      <c r="AB688" s="179"/>
    </row>
    <row r="689" spans="1:28" x14ac:dyDescent="0.2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  <c r="AA689" s="179"/>
      <c r="AB689" s="179"/>
    </row>
    <row r="690" spans="1:28" x14ac:dyDescent="0.2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  <c r="AA690" s="179"/>
      <c r="AB690" s="179"/>
    </row>
    <row r="691" spans="1:28" x14ac:dyDescent="0.2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  <c r="AA691" s="179"/>
      <c r="AB691" s="179"/>
    </row>
    <row r="692" spans="1:28" x14ac:dyDescent="0.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  <c r="AA692" s="179"/>
      <c r="AB692" s="179"/>
    </row>
    <row r="693" spans="1:28" x14ac:dyDescent="0.2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</row>
    <row r="694" spans="1:28" x14ac:dyDescent="0.2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  <c r="AA694" s="179"/>
      <c r="AB694" s="179"/>
    </row>
    <row r="695" spans="1:28" x14ac:dyDescent="0.2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  <c r="AA695" s="179"/>
      <c r="AB695" s="179"/>
    </row>
    <row r="696" spans="1:28" x14ac:dyDescent="0.2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  <c r="AA696" s="179"/>
      <c r="AB696" s="179"/>
    </row>
    <row r="697" spans="1:28" x14ac:dyDescent="0.2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  <c r="AA697" s="179"/>
      <c r="AB697" s="179"/>
    </row>
    <row r="698" spans="1:28" x14ac:dyDescent="0.2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  <c r="AA698" s="179"/>
      <c r="AB698" s="179"/>
    </row>
    <row r="699" spans="1:28" x14ac:dyDescent="0.2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  <c r="AA699" s="179"/>
      <c r="AB699" s="179"/>
    </row>
    <row r="700" spans="1:28" x14ac:dyDescent="0.2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  <c r="AA700" s="179"/>
      <c r="AB700" s="179"/>
    </row>
    <row r="701" spans="1:28" x14ac:dyDescent="0.2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  <c r="AA701" s="179"/>
      <c r="AB701" s="179"/>
    </row>
    <row r="702" spans="1:28" x14ac:dyDescent="0.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  <c r="AA702" s="179"/>
      <c r="AB702" s="179"/>
    </row>
    <row r="703" spans="1:28" x14ac:dyDescent="0.2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  <c r="AA703" s="179"/>
      <c r="AB703" s="179"/>
    </row>
    <row r="704" spans="1:28" x14ac:dyDescent="0.2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  <c r="AA704" s="179"/>
      <c r="AB704" s="179"/>
    </row>
    <row r="705" spans="1:28" x14ac:dyDescent="0.2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  <c r="AA705" s="179"/>
      <c r="AB705" s="179"/>
    </row>
    <row r="706" spans="1:28" x14ac:dyDescent="0.2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  <c r="AA706" s="179"/>
      <c r="AB706" s="179"/>
    </row>
    <row r="707" spans="1:28" x14ac:dyDescent="0.2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  <c r="AA707" s="179"/>
      <c r="AB707" s="179"/>
    </row>
    <row r="708" spans="1:28" x14ac:dyDescent="0.2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</row>
    <row r="709" spans="1:28" x14ac:dyDescent="0.2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</row>
    <row r="710" spans="1:28" x14ac:dyDescent="0.2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</row>
    <row r="711" spans="1:28" x14ac:dyDescent="0.2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</row>
    <row r="712" spans="1:28" x14ac:dyDescent="0.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</row>
    <row r="713" spans="1:28" x14ac:dyDescent="0.2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</row>
    <row r="714" spans="1:28" x14ac:dyDescent="0.2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</row>
    <row r="715" spans="1:28" x14ac:dyDescent="0.2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</row>
    <row r="716" spans="1:28" x14ac:dyDescent="0.2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</row>
    <row r="717" spans="1:28" x14ac:dyDescent="0.2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  <c r="AA717" s="179"/>
      <c r="AB717" s="179"/>
    </row>
    <row r="718" spans="1:28" x14ac:dyDescent="0.2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  <c r="AA718" s="179"/>
      <c r="AB718" s="179"/>
    </row>
    <row r="719" spans="1:28" x14ac:dyDescent="0.2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  <c r="AA719" s="179"/>
      <c r="AB719" s="179"/>
    </row>
    <row r="720" spans="1:28" x14ac:dyDescent="0.2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  <c r="AA720" s="179"/>
      <c r="AB720" s="179"/>
    </row>
    <row r="721" spans="1:28" x14ac:dyDescent="0.2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  <c r="AA721" s="179"/>
      <c r="AB721" s="179"/>
    </row>
    <row r="722" spans="1:28" x14ac:dyDescent="0.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  <c r="AA722" s="179"/>
      <c r="AB722" s="179"/>
    </row>
    <row r="723" spans="1:28" x14ac:dyDescent="0.2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  <c r="AA723" s="179"/>
      <c r="AB723" s="179"/>
    </row>
    <row r="724" spans="1:28" x14ac:dyDescent="0.2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  <c r="AA724" s="179"/>
      <c r="AB724" s="179"/>
    </row>
    <row r="725" spans="1:28" x14ac:dyDescent="0.2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  <c r="AA725" s="179"/>
      <c r="AB725" s="179"/>
    </row>
    <row r="726" spans="1:28" x14ac:dyDescent="0.2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</row>
    <row r="727" spans="1:28" x14ac:dyDescent="0.2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</row>
    <row r="728" spans="1:28" x14ac:dyDescent="0.2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</row>
    <row r="729" spans="1:28" x14ac:dyDescent="0.2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</row>
    <row r="730" spans="1:28" x14ac:dyDescent="0.2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</row>
    <row r="731" spans="1:28" x14ac:dyDescent="0.2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</row>
    <row r="732" spans="1:28" x14ac:dyDescent="0.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</row>
    <row r="733" spans="1:28" x14ac:dyDescent="0.2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</row>
    <row r="734" spans="1:28" x14ac:dyDescent="0.2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</row>
    <row r="735" spans="1:28" x14ac:dyDescent="0.2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</row>
    <row r="736" spans="1:28" x14ac:dyDescent="0.2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  <c r="AA736" s="179"/>
      <c r="AB736" s="179"/>
    </row>
    <row r="737" spans="1:28" x14ac:dyDescent="0.2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  <c r="AA737" s="179"/>
      <c r="AB737" s="179"/>
    </row>
    <row r="738" spans="1:28" x14ac:dyDescent="0.2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  <c r="AA738" s="179"/>
      <c r="AB738" s="179"/>
    </row>
    <row r="739" spans="1:28" x14ac:dyDescent="0.2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  <c r="AA739" s="179"/>
      <c r="AB739" s="179"/>
    </row>
    <row r="740" spans="1:28" x14ac:dyDescent="0.2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  <c r="AA740" s="179"/>
      <c r="AB740" s="179"/>
    </row>
    <row r="741" spans="1:28" x14ac:dyDescent="0.2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  <c r="AA741" s="179"/>
      <c r="AB741" s="179"/>
    </row>
    <row r="742" spans="1:28" x14ac:dyDescent="0.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  <c r="AA742" s="179"/>
      <c r="AB742" s="179"/>
    </row>
    <row r="743" spans="1:28" x14ac:dyDescent="0.2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  <c r="AA743" s="179"/>
      <c r="AB743" s="179"/>
    </row>
    <row r="744" spans="1:28" x14ac:dyDescent="0.2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</row>
    <row r="745" spans="1:28" x14ac:dyDescent="0.2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</row>
    <row r="746" spans="1:28" x14ac:dyDescent="0.2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</row>
    <row r="747" spans="1:28" x14ac:dyDescent="0.2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</row>
    <row r="748" spans="1:28" x14ac:dyDescent="0.2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</row>
    <row r="749" spans="1:28" x14ac:dyDescent="0.2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</row>
    <row r="750" spans="1:28" x14ac:dyDescent="0.2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</row>
    <row r="751" spans="1:28" x14ac:dyDescent="0.2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</row>
    <row r="752" spans="1:28" x14ac:dyDescent="0.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</row>
    <row r="753" spans="1:28" x14ac:dyDescent="0.2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  <c r="AA753" s="179"/>
      <c r="AB753" s="179"/>
    </row>
    <row r="754" spans="1:28" x14ac:dyDescent="0.2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  <c r="AA754" s="179"/>
      <c r="AB754" s="179"/>
    </row>
    <row r="755" spans="1:28" x14ac:dyDescent="0.2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  <c r="AA755" s="179"/>
      <c r="AB755" s="179"/>
    </row>
    <row r="756" spans="1:28" x14ac:dyDescent="0.2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  <c r="AA756" s="179"/>
      <c r="AB756" s="179"/>
    </row>
    <row r="757" spans="1:28" x14ac:dyDescent="0.2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  <c r="AA757" s="179"/>
      <c r="AB757" s="179"/>
    </row>
    <row r="758" spans="1:28" x14ac:dyDescent="0.2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  <c r="AA758" s="179"/>
      <c r="AB758" s="179"/>
    </row>
    <row r="759" spans="1:28" x14ac:dyDescent="0.2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  <c r="AA759" s="179"/>
      <c r="AB759" s="179"/>
    </row>
    <row r="760" spans="1:28" x14ac:dyDescent="0.2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  <c r="AA760" s="179"/>
      <c r="AB760" s="179"/>
    </row>
    <row r="761" spans="1:28" x14ac:dyDescent="0.2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  <c r="AA761" s="179"/>
      <c r="AB761" s="179"/>
    </row>
    <row r="762" spans="1:28" x14ac:dyDescent="0.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</row>
    <row r="763" spans="1:28" x14ac:dyDescent="0.2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</row>
    <row r="764" spans="1:28" x14ac:dyDescent="0.2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</row>
    <row r="765" spans="1:28" x14ac:dyDescent="0.2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</row>
    <row r="766" spans="1:28" x14ac:dyDescent="0.2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</row>
    <row r="767" spans="1:28" x14ac:dyDescent="0.2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</row>
    <row r="768" spans="1:28" x14ac:dyDescent="0.2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</row>
    <row r="769" spans="1:28" x14ac:dyDescent="0.2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</row>
    <row r="770" spans="1:28" x14ac:dyDescent="0.2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</row>
    <row r="771" spans="1:28" x14ac:dyDescent="0.2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  <c r="AA771" s="179"/>
      <c r="AB771" s="179"/>
    </row>
    <row r="772" spans="1:28" x14ac:dyDescent="0.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  <c r="AA772" s="179"/>
      <c r="AB772" s="179"/>
    </row>
    <row r="773" spans="1:28" x14ac:dyDescent="0.2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  <c r="AA773" s="179"/>
      <c r="AB773" s="179"/>
    </row>
    <row r="774" spans="1:28" x14ac:dyDescent="0.2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  <c r="AA774" s="179"/>
      <c r="AB774" s="179"/>
    </row>
    <row r="775" spans="1:28" x14ac:dyDescent="0.2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  <c r="AA775" s="179"/>
      <c r="AB775" s="179"/>
    </row>
    <row r="776" spans="1:28" x14ac:dyDescent="0.2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  <c r="AA776" s="179"/>
      <c r="AB776" s="179"/>
    </row>
    <row r="777" spans="1:28" x14ac:dyDescent="0.2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</row>
    <row r="778" spans="1:28" x14ac:dyDescent="0.2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</row>
    <row r="779" spans="1:28" x14ac:dyDescent="0.2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</row>
    <row r="780" spans="1:28" x14ac:dyDescent="0.2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</row>
    <row r="781" spans="1:28" x14ac:dyDescent="0.2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</row>
    <row r="782" spans="1:28" x14ac:dyDescent="0.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</row>
    <row r="783" spans="1:28" x14ac:dyDescent="0.2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</row>
    <row r="784" spans="1:28" x14ac:dyDescent="0.2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</row>
    <row r="785" spans="1:28" x14ac:dyDescent="0.2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</row>
    <row r="786" spans="1:28" x14ac:dyDescent="0.2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</row>
    <row r="787" spans="1:28" x14ac:dyDescent="0.2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</row>
    <row r="788" spans="1:28" x14ac:dyDescent="0.2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</row>
    <row r="789" spans="1:28" x14ac:dyDescent="0.2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  <c r="AA789" s="179"/>
      <c r="AB789" s="179"/>
    </row>
    <row r="790" spans="1:28" x14ac:dyDescent="0.2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  <c r="AA790" s="179"/>
      <c r="AB790" s="179"/>
    </row>
    <row r="791" spans="1:28" x14ac:dyDescent="0.2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  <c r="AA791" s="179"/>
      <c r="AB791" s="179"/>
    </row>
    <row r="792" spans="1:28" x14ac:dyDescent="0.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  <c r="AA792" s="179"/>
      <c r="AB792" s="179"/>
    </row>
    <row r="793" spans="1:28" x14ac:dyDescent="0.2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  <c r="AA793" s="179"/>
      <c r="AB793" s="179"/>
    </row>
    <row r="794" spans="1:28" x14ac:dyDescent="0.2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  <c r="AA794" s="179"/>
      <c r="AB794" s="179"/>
    </row>
    <row r="795" spans="1:28" x14ac:dyDescent="0.2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  <c r="AA795" s="179"/>
      <c r="AB795" s="179"/>
    </row>
    <row r="796" spans="1:28" x14ac:dyDescent="0.2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  <c r="AA796" s="179"/>
      <c r="AB796" s="179"/>
    </row>
    <row r="797" spans="1:28" x14ac:dyDescent="0.2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  <c r="AA797" s="179"/>
      <c r="AB797" s="179"/>
    </row>
    <row r="798" spans="1:28" x14ac:dyDescent="0.2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  <c r="AA798" s="179"/>
      <c r="AB798" s="179"/>
    </row>
    <row r="799" spans="1:28" x14ac:dyDescent="0.2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  <c r="AA799" s="179"/>
      <c r="AB799" s="179"/>
    </row>
    <row r="800" spans="1:28" x14ac:dyDescent="0.2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  <c r="AA800" s="179"/>
      <c r="AB800" s="179"/>
    </row>
    <row r="801" spans="1:28" x14ac:dyDescent="0.2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  <c r="AA801" s="179"/>
      <c r="AB801" s="179"/>
    </row>
    <row r="802" spans="1:28" x14ac:dyDescent="0.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  <c r="AA802" s="179"/>
      <c r="AB802" s="179"/>
    </row>
    <row r="803" spans="1:28" x14ac:dyDescent="0.2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  <c r="AA803" s="179"/>
      <c r="AB803" s="179"/>
    </row>
    <row r="804" spans="1:28" x14ac:dyDescent="0.2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  <c r="AA804" s="179"/>
      <c r="AB804" s="179"/>
    </row>
    <row r="805" spans="1:28" x14ac:dyDescent="0.2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  <c r="AA805" s="179"/>
      <c r="AB805" s="179"/>
    </row>
    <row r="806" spans="1:28" x14ac:dyDescent="0.2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</row>
    <row r="807" spans="1:28" x14ac:dyDescent="0.2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  <c r="AA807" s="179"/>
      <c r="AB807" s="179"/>
    </row>
    <row r="808" spans="1:28" x14ac:dyDescent="0.2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  <c r="AA808" s="179"/>
      <c r="AB808" s="179"/>
    </row>
    <row r="809" spans="1:28" x14ac:dyDescent="0.2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  <c r="AA809" s="179"/>
      <c r="AB809" s="179"/>
    </row>
    <row r="810" spans="1:28" x14ac:dyDescent="0.2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  <c r="AA810" s="179"/>
      <c r="AB810" s="179"/>
    </row>
    <row r="811" spans="1:28" x14ac:dyDescent="0.2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  <c r="AA811" s="179"/>
      <c r="AB811" s="179"/>
    </row>
    <row r="812" spans="1:28" x14ac:dyDescent="0.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  <c r="AA812" s="179"/>
      <c r="AB812" s="179"/>
    </row>
    <row r="813" spans="1:28" x14ac:dyDescent="0.2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  <c r="AA813" s="179"/>
      <c r="AB813" s="179"/>
    </row>
    <row r="814" spans="1:28" x14ac:dyDescent="0.2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  <c r="AA814" s="179"/>
      <c r="AB814" s="179"/>
    </row>
    <row r="815" spans="1:28" x14ac:dyDescent="0.2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  <c r="AA815" s="179"/>
      <c r="AB815" s="179"/>
    </row>
    <row r="816" spans="1:28" x14ac:dyDescent="0.2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</row>
    <row r="817" spans="1:28" x14ac:dyDescent="0.2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</row>
    <row r="818" spans="1:28" x14ac:dyDescent="0.2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</row>
    <row r="819" spans="1:28" x14ac:dyDescent="0.2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</row>
    <row r="820" spans="1:28" x14ac:dyDescent="0.2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</row>
    <row r="821" spans="1:28" x14ac:dyDescent="0.2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</row>
    <row r="822" spans="1:28" x14ac:dyDescent="0.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</row>
    <row r="823" spans="1:28" x14ac:dyDescent="0.2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</row>
    <row r="824" spans="1:28" x14ac:dyDescent="0.2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</row>
    <row r="825" spans="1:28" x14ac:dyDescent="0.2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  <c r="AA825" s="179"/>
      <c r="AB825" s="179"/>
    </row>
    <row r="826" spans="1:28" x14ac:dyDescent="0.2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  <c r="AA826" s="179"/>
      <c r="AB826" s="179"/>
    </row>
    <row r="827" spans="1:28" x14ac:dyDescent="0.2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  <c r="AA827" s="179"/>
      <c r="AB827" s="179"/>
    </row>
    <row r="828" spans="1:28" x14ac:dyDescent="0.2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  <c r="AA828" s="179"/>
      <c r="AB828" s="179"/>
    </row>
    <row r="829" spans="1:28" x14ac:dyDescent="0.2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  <c r="AA829" s="179"/>
      <c r="AB829" s="179"/>
    </row>
    <row r="830" spans="1:28" x14ac:dyDescent="0.2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  <c r="AA830" s="179"/>
      <c r="AB830" s="179"/>
    </row>
    <row r="831" spans="1:28" x14ac:dyDescent="0.2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  <c r="AA831" s="179"/>
      <c r="AB831" s="179"/>
    </row>
    <row r="832" spans="1:28" x14ac:dyDescent="0.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  <c r="AA832" s="179"/>
      <c r="AB832" s="179"/>
    </row>
    <row r="833" spans="1:28" x14ac:dyDescent="0.2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  <c r="AA833" s="179"/>
      <c r="AB833" s="179"/>
    </row>
    <row r="834" spans="1:28" x14ac:dyDescent="0.2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  <c r="AA834" s="179"/>
      <c r="AB834" s="179"/>
    </row>
    <row r="835" spans="1:28" x14ac:dyDescent="0.2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  <c r="AA835" s="179"/>
      <c r="AB835" s="179"/>
    </row>
    <row r="836" spans="1:28" x14ac:dyDescent="0.2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  <c r="AA836" s="179"/>
      <c r="AB836" s="179"/>
    </row>
    <row r="837" spans="1:28" x14ac:dyDescent="0.2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  <c r="AA837" s="179"/>
      <c r="AB837" s="179"/>
    </row>
    <row r="838" spans="1:28" x14ac:dyDescent="0.2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  <c r="AA838" s="179"/>
      <c r="AB838" s="179"/>
    </row>
    <row r="839" spans="1:28" x14ac:dyDescent="0.2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  <c r="AA839" s="179"/>
      <c r="AB839" s="179"/>
    </row>
    <row r="840" spans="1:28" x14ac:dyDescent="0.2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  <c r="AA840" s="179"/>
      <c r="AB840" s="179"/>
    </row>
    <row r="841" spans="1:28" x14ac:dyDescent="0.2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  <c r="AA841" s="179"/>
      <c r="AB841" s="179"/>
    </row>
    <row r="842" spans="1:28" x14ac:dyDescent="0.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</row>
    <row r="843" spans="1:28" x14ac:dyDescent="0.2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  <c r="AA843" s="179"/>
      <c r="AB843" s="179"/>
    </row>
    <row r="844" spans="1:28" x14ac:dyDescent="0.2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  <c r="AA844" s="179"/>
      <c r="AB844" s="179"/>
    </row>
    <row r="845" spans="1:28" x14ac:dyDescent="0.2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  <c r="AA845" s="179"/>
      <c r="AB845" s="179"/>
    </row>
    <row r="846" spans="1:28" x14ac:dyDescent="0.2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  <c r="AA846" s="179"/>
      <c r="AB846" s="179"/>
    </row>
    <row r="847" spans="1:28" x14ac:dyDescent="0.2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  <c r="AA847" s="179"/>
      <c r="AB847" s="179"/>
    </row>
    <row r="848" spans="1:28" x14ac:dyDescent="0.2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  <c r="AA848" s="179"/>
      <c r="AB848" s="179"/>
    </row>
    <row r="849" spans="1:28" x14ac:dyDescent="0.2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  <c r="AA849" s="179"/>
      <c r="AB849" s="179"/>
    </row>
    <row r="850" spans="1:28" x14ac:dyDescent="0.2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  <c r="AA850" s="179"/>
      <c r="AB850" s="179"/>
    </row>
    <row r="851" spans="1:28" x14ac:dyDescent="0.2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  <c r="AA851" s="179"/>
      <c r="AB851" s="179"/>
    </row>
    <row r="852" spans="1:28" x14ac:dyDescent="0.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</row>
    <row r="853" spans="1:28" x14ac:dyDescent="0.2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</row>
    <row r="854" spans="1:28" x14ac:dyDescent="0.2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</row>
    <row r="855" spans="1:28" x14ac:dyDescent="0.2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</row>
    <row r="856" spans="1:28" x14ac:dyDescent="0.2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</row>
    <row r="857" spans="1:28" x14ac:dyDescent="0.2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</row>
    <row r="858" spans="1:28" x14ac:dyDescent="0.2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</row>
    <row r="859" spans="1:28" x14ac:dyDescent="0.2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</row>
    <row r="860" spans="1:28" x14ac:dyDescent="0.2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</row>
    <row r="861" spans="1:28" x14ac:dyDescent="0.2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  <c r="AA861" s="179"/>
      <c r="AB861" s="179"/>
    </row>
    <row r="862" spans="1:28" x14ac:dyDescent="0.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  <c r="AA862" s="179"/>
      <c r="AB862" s="179"/>
    </row>
    <row r="863" spans="1:28" x14ac:dyDescent="0.2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  <c r="AA863" s="179"/>
      <c r="AB863" s="179"/>
    </row>
    <row r="864" spans="1:28" x14ac:dyDescent="0.2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  <c r="AA864" s="179"/>
      <c r="AB864" s="179"/>
    </row>
    <row r="865" spans="1:28" x14ac:dyDescent="0.2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  <c r="AA865" s="179"/>
      <c r="AB865" s="179"/>
    </row>
    <row r="866" spans="1:28" x14ac:dyDescent="0.2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  <c r="AA866" s="179"/>
      <c r="AB866" s="179"/>
    </row>
    <row r="867" spans="1:28" x14ac:dyDescent="0.2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  <c r="AA867" s="179"/>
      <c r="AB867" s="179"/>
    </row>
    <row r="868" spans="1:28" x14ac:dyDescent="0.2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  <c r="AA868" s="179"/>
      <c r="AB868" s="179"/>
    </row>
    <row r="869" spans="1:28" x14ac:dyDescent="0.2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  <c r="AA869" s="179"/>
      <c r="AB869" s="179"/>
    </row>
    <row r="870" spans="1:28" x14ac:dyDescent="0.2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</row>
    <row r="871" spans="1:28" x14ac:dyDescent="0.2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</row>
    <row r="872" spans="1:28" x14ac:dyDescent="0.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</row>
    <row r="873" spans="1:28" x14ac:dyDescent="0.2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</row>
    <row r="874" spans="1:28" x14ac:dyDescent="0.2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</row>
    <row r="875" spans="1:28" x14ac:dyDescent="0.2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  <c r="AA875" s="179"/>
      <c r="AB875" s="179"/>
    </row>
    <row r="876" spans="1:28" x14ac:dyDescent="0.2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  <c r="AA876" s="179"/>
      <c r="AB876" s="179"/>
    </row>
    <row r="877" spans="1:28" x14ac:dyDescent="0.2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  <c r="AA877" s="179"/>
      <c r="AB877" s="179"/>
    </row>
    <row r="878" spans="1:28" x14ac:dyDescent="0.2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  <c r="AA878" s="179"/>
      <c r="AB878" s="179"/>
    </row>
    <row r="879" spans="1:28" x14ac:dyDescent="0.2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  <c r="AA879" s="179"/>
      <c r="AB879" s="179"/>
    </row>
    <row r="880" spans="1:28" x14ac:dyDescent="0.2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  <c r="AA880" s="179"/>
      <c r="AB880" s="179"/>
    </row>
    <row r="881" spans="1:28" x14ac:dyDescent="0.2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  <c r="AA881" s="179"/>
      <c r="AB881" s="179"/>
    </row>
    <row r="882" spans="1:28" x14ac:dyDescent="0.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  <c r="AA882" s="179"/>
      <c r="AB882" s="179"/>
    </row>
    <row r="883" spans="1:28" x14ac:dyDescent="0.2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  <c r="AA883" s="179"/>
      <c r="AB883" s="179"/>
    </row>
    <row r="884" spans="1:28" x14ac:dyDescent="0.2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  <c r="AA884" s="179"/>
      <c r="AB884" s="179"/>
    </row>
    <row r="885" spans="1:28" x14ac:dyDescent="0.2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  <c r="AA885" s="179"/>
      <c r="AB885" s="179"/>
    </row>
    <row r="886" spans="1:28" x14ac:dyDescent="0.2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  <c r="AA886" s="179"/>
      <c r="AB886" s="179"/>
    </row>
    <row r="887" spans="1:28" x14ac:dyDescent="0.2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  <c r="AA887" s="179"/>
      <c r="AB887" s="179"/>
    </row>
    <row r="888" spans="1:28" x14ac:dyDescent="0.2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</row>
    <row r="889" spans="1:28" x14ac:dyDescent="0.2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</row>
    <row r="890" spans="1:28" x14ac:dyDescent="0.2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</row>
    <row r="891" spans="1:28" x14ac:dyDescent="0.2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</row>
    <row r="892" spans="1:28" x14ac:dyDescent="0.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</row>
    <row r="893" spans="1:28" x14ac:dyDescent="0.2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</row>
    <row r="894" spans="1:28" x14ac:dyDescent="0.2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</row>
    <row r="895" spans="1:28" x14ac:dyDescent="0.2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</row>
    <row r="896" spans="1:28" x14ac:dyDescent="0.2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</row>
    <row r="897" spans="1:28" x14ac:dyDescent="0.2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  <c r="AA897" s="179"/>
      <c r="AB897" s="179"/>
    </row>
    <row r="898" spans="1:28" x14ac:dyDescent="0.2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  <c r="AA898" s="179"/>
      <c r="AB898" s="179"/>
    </row>
    <row r="899" spans="1:28" x14ac:dyDescent="0.2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  <c r="AA899" s="179"/>
      <c r="AB899" s="179"/>
    </row>
    <row r="900" spans="1:28" x14ac:dyDescent="0.2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  <c r="AA900" s="179"/>
      <c r="AB900" s="179"/>
    </row>
    <row r="901" spans="1:28" x14ac:dyDescent="0.2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  <c r="AA901" s="179"/>
      <c r="AB901" s="179"/>
    </row>
    <row r="902" spans="1:28" x14ac:dyDescent="0.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  <c r="AA902" s="179"/>
      <c r="AB902" s="179"/>
    </row>
    <row r="903" spans="1:28" x14ac:dyDescent="0.2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  <c r="AA903" s="179"/>
      <c r="AB903" s="179"/>
    </row>
    <row r="904" spans="1:28" x14ac:dyDescent="0.2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  <c r="AA904" s="179"/>
      <c r="AB904" s="179"/>
    </row>
    <row r="905" spans="1:28" x14ac:dyDescent="0.2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  <c r="AA905" s="179"/>
      <c r="AB905" s="179"/>
    </row>
    <row r="906" spans="1:28" x14ac:dyDescent="0.2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  <c r="AA906" s="179"/>
      <c r="AB906" s="179"/>
    </row>
    <row r="907" spans="1:28" x14ac:dyDescent="0.2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  <c r="AA907" s="179"/>
      <c r="AB907" s="179"/>
    </row>
    <row r="908" spans="1:28" x14ac:dyDescent="0.2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  <c r="AA908" s="179"/>
      <c r="AB908" s="179"/>
    </row>
    <row r="909" spans="1:28" x14ac:dyDescent="0.2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  <c r="AA909" s="179"/>
      <c r="AB909" s="179"/>
    </row>
    <row r="910" spans="1:28" x14ac:dyDescent="0.2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  <c r="AA910" s="179"/>
      <c r="AB910" s="179"/>
    </row>
    <row r="911" spans="1:28" x14ac:dyDescent="0.2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  <c r="AA911" s="179"/>
      <c r="AB911" s="179"/>
    </row>
    <row r="912" spans="1:28" x14ac:dyDescent="0.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  <c r="AA912" s="179"/>
      <c r="AB912" s="179"/>
    </row>
    <row r="913" spans="1:28" x14ac:dyDescent="0.2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  <c r="AA913" s="179"/>
      <c r="AB913" s="179"/>
    </row>
    <row r="914" spans="1:28" x14ac:dyDescent="0.2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</row>
    <row r="915" spans="1:28" x14ac:dyDescent="0.2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  <c r="AA915" s="179"/>
      <c r="AB915" s="179"/>
    </row>
    <row r="916" spans="1:28" x14ac:dyDescent="0.2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  <c r="AA916" s="179"/>
      <c r="AB916" s="179"/>
    </row>
    <row r="917" spans="1:28" x14ac:dyDescent="0.2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  <c r="AA917" s="179"/>
      <c r="AB917" s="179"/>
    </row>
    <row r="918" spans="1:28" x14ac:dyDescent="0.2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  <c r="AA918" s="179"/>
      <c r="AB918" s="179"/>
    </row>
    <row r="919" spans="1:28" x14ac:dyDescent="0.2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  <c r="AA919" s="179"/>
      <c r="AB919" s="179"/>
    </row>
    <row r="920" spans="1:28" x14ac:dyDescent="0.2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  <c r="AA920" s="179"/>
      <c r="AB920" s="179"/>
    </row>
    <row r="921" spans="1:28" x14ac:dyDescent="0.2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  <c r="AA921" s="179"/>
      <c r="AB921" s="179"/>
    </row>
    <row r="922" spans="1:28" x14ac:dyDescent="0.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  <c r="AA922" s="179"/>
      <c r="AB922" s="179"/>
    </row>
    <row r="923" spans="1:28" x14ac:dyDescent="0.2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  <c r="AA923" s="179"/>
      <c r="AB923" s="179"/>
    </row>
    <row r="924" spans="1:28" x14ac:dyDescent="0.2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  <c r="AA924" s="179"/>
      <c r="AB924" s="179"/>
    </row>
    <row r="925" spans="1:28" x14ac:dyDescent="0.2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  <c r="AA925" s="179"/>
      <c r="AB925" s="179"/>
    </row>
    <row r="926" spans="1:28" x14ac:dyDescent="0.2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  <c r="AA926" s="179"/>
      <c r="AB926" s="179"/>
    </row>
    <row r="927" spans="1:28" x14ac:dyDescent="0.2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  <c r="AA927" s="179"/>
      <c r="AB927" s="179"/>
    </row>
    <row r="928" spans="1:28" x14ac:dyDescent="0.2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  <c r="AA928" s="179"/>
      <c r="AB928" s="179"/>
    </row>
    <row r="929" spans="1:28" x14ac:dyDescent="0.2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  <c r="AA929" s="179"/>
      <c r="AB929" s="179"/>
    </row>
    <row r="930" spans="1:28" x14ac:dyDescent="0.2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  <c r="AA930" s="179"/>
      <c r="AB930" s="179"/>
    </row>
    <row r="931" spans="1:28" x14ac:dyDescent="0.2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  <c r="AA931" s="179"/>
      <c r="AB931" s="179"/>
    </row>
    <row r="932" spans="1:28" x14ac:dyDescent="0.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</row>
    <row r="933" spans="1:28" x14ac:dyDescent="0.2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  <c r="AA933" s="179"/>
      <c r="AB933" s="179"/>
    </row>
    <row r="934" spans="1:28" x14ac:dyDescent="0.2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  <c r="AA934" s="179"/>
      <c r="AB934" s="179"/>
    </row>
    <row r="935" spans="1:28" x14ac:dyDescent="0.2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  <c r="AA935" s="179"/>
      <c r="AB935" s="179"/>
    </row>
    <row r="936" spans="1:28" x14ac:dyDescent="0.2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  <c r="AA936" s="179"/>
      <c r="AB936" s="179"/>
    </row>
    <row r="937" spans="1:28" x14ac:dyDescent="0.2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  <c r="AA937" s="179"/>
      <c r="AB937" s="179"/>
    </row>
    <row r="938" spans="1:28" x14ac:dyDescent="0.2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  <c r="AA938" s="179"/>
      <c r="AB938" s="179"/>
    </row>
    <row r="939" spans="1:28" x14ac:dyDescent="0.2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  <c r="AA939" s="179"/>
      <c r="AB939" s="179"/>
    </row>
    <row r="940" spans="1:28" x14ac:dyDescent="0.2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  <c r="AA940" s="179"/>
      <c r="AB940" s="179"/>
    </row>
    <row r="941" spans="1:28" x14ac:dyDescent="0.2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  <c r="AA941" s="179"/>
      <c r="AB941" s="179"/>
    </row>
    <row r="942" spans="1:28" x14ac:dyDescent="0.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  <c r="AA942" s="179"/>
      <c r="AB942" s="179"/>
    </row>
    <row r="943" spans="1:28" x14ac:dyDescent="0.2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  <c r="AA943" s="179"/>
      <c r="AB943" s="179"/>
    </row>
    <row r="944" spans="1:28" x14ac:dyDescent="0.2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  <c r="AA944" s="179"/>
      <c r="AB944" s="179"/>
    </row>
    <row r="945" spans="1:28" x14ac:dyDescent="0.2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  <c r="AA945" s="179"/>
      <c r="AB945" s="179"/>
    </row>
    <row r="946" spans="1:28" x14ac:dyDescent="0.2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  <c r="AA946" s="179"/>
      <c r="AB946" s="179"/>
    </row>
    <row r="947" spans="1:28" x14ac:dyDescent="0.2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  <c r="AA947" s="179"/>
      <c r="AB947" s="179"/>
    </row>
    <row r="948" spans="1:28" x14ac:dyDescent="0.2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  <c r="AA948" s="179"/>
      <c r="AB948" s="179"/>
    </row>
    <row r="949" spans="1:28" x14ac:dyDescent="0.2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  <c r="AA949" s="179"/>
      <c r="AB949" s="179"/>
    </row>
    <row r="950" spans="1:28" x14ac:dyDescent="0.2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  <c r="AA950" s="179"/>
      <c r="AB950" s="179"/>
    </row>
    <row r="951" spans="1:28" x14ac:dyDescent="0.2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  <c r="AA951" s="179"/>
      <c r="AB951" s="179"/>
    </row>
    <row r="952" spans="1:28" x14ac:dyDescent="0.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  <c r="AA952" s="179"/>
      <c r="AB952" s="179"/>
    </row>
    <row r="953" spans="1:28" x14ac:dyDescent="0.2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  <c r="AA953" s="179"/>
      <c r="AB953" s="179"/>
    </row>
    <row r="954" spans="1:28" x14ac:dyDescent="0.2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  <c r="AA954" s="179"/>
      <c r="AB954" s="179"/>
    </row>
    <row r="955" spans="1:28" x14ac:dyDescent="0.2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  <c r="AA955" s="179"/>
      <c r="AB955" s="179"/>
    </row>
    <row r="956" spans="1:28" x14ac:dyDescent="0.2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  <c r="AA956" s="179"/>
      <c r="AB956" s="179"/>
    </row>
    <row r="957" spans="1:28" x14ac:dyDescent="0.2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  <c r="AA957" s="179"/>
      <c r="AB957" s="179"/>
    </row>
    <row r="958" spans="1:28" x14ac:dyDescent="0.2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  <c r="AA958" s="179"/>
      <c r="AB958" s="179"/>
    </row>
    <row r="959" spans="1:28" x14ac:dyDescent="0.2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  <c r="AA959" s="179"/>
      <c r="AB959" s="179"/>
    </row>
    <row r="960" spans="1:28" x14ac:dyDescent="0.2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  <c r="AA960" s="179"/>
      <c r="AB960" s="179"/>
    </row>
    <row r="961" spans="1:28" x14ac:dyDescent="0.2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  <c r="AA961" s="179"/>
      <c r="AB961" s="179"/>
    </row>
    <row r="962" spans="1:28" x14ac:dyDescent="0.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  <c r="AA962" s="179"/>
      <c r="AB962" s="179"/>
    </row>
    <row r="963" spans="1:28" x14ac:dyDescent="0.2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  <c r="AA963" s="179"/>
      <c r="AB963" s="179"/>
    </row>
    <row r="964" spans="1:28" x14ac:dyDescent="0.2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  <c r="AA964" s="179"/>
      <c r="AB964" s="179"/>
    </row>
    <row r="965" spans="1:28" x14ac:dyDescent="0.2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  <c r="AA965" s="179"/>
      <c r="AB965" s="179"/>
    </row>
    <row r="966" spans="1:28" x14ac:dyDescent="0.2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  <c r="AA966" s="179"/>
      <c r="AB966" s="179"/>
    </row>
    <row r="967" spans="1:28" x14ac:dyDescent="0.2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  <c r="AA967" s="179"/>
      <c r="AB967" s="179"/>
    </row>
    <row r="968" spans="1:28" x14ac:dyDescent="0.2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</row>
    <row r="969" spans="1:28" x14ac:dyDescent="0.2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  <c r="AA969" s="179"/>
      <c r="AB969" s="179"/>
    </row>
    <row r="970" spans="1:28" x14ac:dyDescent="0.2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  <c r="AA970" s="179"/>
      <c r="AB970" s="179"/>
    </row>
    <row r="971" spans="1:28" x14ac:dyDescent="0.2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  <c r="AA971" s="179"/>
      <c r="AB971" s="179"/>
    </row>
    <row r="972" spans="1:28" x14ac:dyDescent="0.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  <c r="AA972" s="179"/>
      <c r="AB972" s="179"/>
    </row>
    <row r="973" spans="1:28" x14ac:dyDescent="0.2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  <c r="AA973" s="179"/>
      <c r="AB973" s="179"/>
    </row>
    <row r="974" spans="1:28" x14ac:dyDescent="0.2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  <c r="AA974" s="179"/>
      <c r="AB974" s="179"/>
    </row>
    <row r="975" spans="1:28" x14ac:dyDescent="0.2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  <c r="AA975" s="179"/>
      <c r="AB975" s="179"/>
    </row>
    <row r="976" spans="1:28" x14ac:dyDescent="0.2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  <c r="AA976" s="179"/>
      <c r="AB976" s="179"/>
    </row>
    <row r="977" spans="1:28" x14ac:dyDescent="0.2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  <c r="AA977" s="179"/>
      <c r="AB977" s="179"/>
    </row>
    <row r="978" spans="1:28" x14ac:dyDescent="0.2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  <c r="AA978" s="179"/>
      <c r="AB978" s="179"/>
    </row>
    <row r="979" spans="1:28" x14ac:dyDescent="0.2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  <c r="AA979" s="179"/>
      <c r="AB979" s="179"/>
    </row>
    <row r="980" spans="1:28" x14ac:dyDescent="0.2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</row>
    <row r="981" spans="1:28" x14ac:dyDescent="0.2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</row>
    <row r="982" spans="1:28" x14ac:dyDescent="0.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</row>
    <row r="983" spans="1:28" x14ac:dyDescent="0.2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</row>
    <row r="984" spans="1:28" x14ac:dyDescent="0.2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</row>
    <row r="985" spans="1:28" x14ac:dyDescent="0.2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</row>
    <row r="986" spans="1:28" x14ac:dyDescent="0.2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</row>
    <row r="987" spans="1:28" x14ac:dyDescent="0.2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  <c r="AA987" s="179"/>
      <c r="AB987" s="179"/>
    </row>
    <row r="988" spans="1:28" x14ac:dyDescent="0.2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  <c r="AA988" s="179"/>
      <c r="AB988" s="179"/>
    </row>
    <row r="989" spans="1:28" x14ac:dyDescent="0.2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  <c r="AA989" s="179"/>
      <c r="AB989" s="179"/>
    </row>
    <row r="990" spans="1:28" x14ac:dyDescent="0.2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  <c r="AA990" s="179"/>
      <c r="AB990" s="179"/>
    </row>
    <row r="991" spans="1:28" x14ac:dyDescent="0.2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  <c r="AA991" s="179"/>
      <c r="AB991" s="179"/>
    </row>
    <row r="992" spans="1:28" x14ac:dyDescent="0.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  <c r="AA992" s="179"/>
      <c r="AB992" s="179"/>
    </row>
    <row r="993" spans="1:28" x14ac:dyDescent="0.2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  <c r="AA993" s="179"/>
      <c r="AB993" s="179"/>
    </row>
    <row r="994" spans="1:28" x14ac:dyDescent="0.2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  <c r="AA994" s="179"/>
      <c r="AB994" s="179"/>
    </row>
    <row r="995" spans="1:28" x14ac:dyDescent="0.2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  <c r="AA995" s="179"/>
      <c r="AB995" s="179"/>
    </row>
    <row r="996" spans="1:28" x14ac:dyDescent="0.2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  <c r="AA996" s="179"/>
      <c r="AB996" s="179"/>
    </row>
    <row r="997" spans="1:28" x14ac:dyDescent="0.2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  <c r="AA997" s="179"/>
      <c r="AB997" s="179"/>
    </row>
    <row r="998" spans="1:28" x14ac:dyDescent="0.2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  <c r="AA998" s="179"/>
      <c r="AB998" s="179"/>
    </row>
    <row r="999" spans="1:28" x14ac:dyDescent="0.2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  <c r="AA999" s="179"/>
      <c r="AB999" s="179"/>
    </row>
    <row r="1000" spans="1:28" x14ac:dyDescent="0.2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  <c r="AA1000" s="179"/>
      <c r="AB1000" s="179"/>
    </row>
    <row r="1001" spans="1:28" x14ac:dyDescent="0.2">
      <c r="A1001" s="179"/>
      <c r="B1001" s="179"/>
      <c r="C1001" s="179"/>
      <c r="D1001" s="179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  <c r="AA1001" s="179"/>
      <c r="AB1001" s="179"/>
    </row>
    <row r="1002" spans="1:28" x14ac:dyDescent="0.2">
      <c r="A1002" s="179"/>
      <c r="B1002" s="179"/>
      <c r="C1002" s="179"/>
      <c r="D1002" s="179"/>
      <c r="E1002" s="179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  <c r="AA1002" s="179"/>
      <c r="AB1002" s="179"/>
    </row>
    <row r="1003" spans="1:28" x14ac:dyDescent="0.2">
      <c r="A1003" s="179"/>
      <c r="B1003" s="179"/>
      <c r="C1003" s="179"/>
      <c r="D1003" s="179"/>
      <c r="E1003" s="179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179"/>
      <c r="P1003" s="179"/>
      <c r="Q1003" s="179"/>
      <c r="R1003" s="179"/>
      <c r="S1003" s="179"/>
      <c r="T1003" s="179"/>
      <c r="U1003" s="179"/>
      <c r="V1003" s="179"/>
      <c r="W1003" s="179"/>
      <c r="X1003" s="179"/>
      <c r="Y1003" s="179"/>
      <c r="Z1003" s="179"/>
      <c r="AA1003" s="179"/>
      <c r="AB1003" s="179"/>
    </row>
  </sheetData>
  <mergeCells count="21">
    <mergeCell ref="B25:F25"/>
    <mergeCell ref="B22:E22"/>
    <mergeCell ref="F22:G23"/>
    <mergeCell ref="H22:H23"/>
    <mergeCell ref="B23:E23"/>
    <mergeCell ref="B24:E24"/>
    <mergeCell ref="F24:G24"/>
    <mergeCell ref="W5:X5"/>
    <mergeCell ref="E13:F13"/>
    <mergeCell ref="O13:R21"/>
    <mergeCell ref="C15:C17"/>
    <mergeCell ref="D15:D17"/>
    <mergeCell ref="M17:N17"/>
    <mergeCell ref="M18:N18"/>
    <mergeCell ref="B20:H20"/>
    <mergeCell ref="B1:H1"/>
    <mergeCell ref="B3:D4"/>
    <mergeCell ref="F3:H3"/>
    <mergeCell ref="V3:X3"/>
    <mergeCell ref="F4:H4"/>
    <mergeCell ref="W4: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AB1002"/>
  <sheetViews>
    <sheetView workbookViewId="0"/>
  </sheetViews>
  <sheetFormatPr baseColWidth="10" defaultColWidth="14.42578125" defaultRowHeight="15.75" customHeight="1" x14ac:dyDescent="0.2"/>
  <cols>
    <col min="1" max="1" width="2.7109375" customWidth="1"/>
    <col min="2" max="2" width="33" customWidth="1"/>
    <col min="4" max="4" width="6.5703125" customWidth="1"/>
    <col min="5" max="5" width="2.85546875" customWidth="1"/>
    <col min="6" max="6" width="26" customWidth="1"/>
    <col min="7" max="7" width="26.5703125" customWidth="1"/>
    <col min="8" max="8" width="5" customWidth="1"/>
    <col min="9" max="11" width="4.7109375" customWidth="1"/>
    <col min="12" max="12" width="8.7109375" customWidth="1"/>
    <col min="13" max="13" width="2.5703125" customWidth="1"/>
    <col min="14" max="14" width="2.28515625" customWidth="1"/>
    <col min="15" max="15" width="7.140625" customWidth="1"/>
    <col min="16" max="16" width="5" customWidth="1"/>
    <col min="17" max="21" width="4.7109375" customWidth="1"/>
  </cols>
  <sheetData>
    <row r="1" spans="1:28" ht="12.75" x14ac:dyDescent="0.2">
      <c r="A1" s="55"/>
      <c r="B1" s="137" t="s">
        <v>49</v>
      </c>
      <c r="C1" s="131"/>
      <c r="D1" s="131"/>
      <c r="E1" s="131"/>
      <c r="F1" s="131"/>
      <c r="G1" s="131"/>
      <c r="H1" s="131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12.75" x14ac:dyDescent="0.2">
      <c r="A2" s="55"/>
      <c r="B2" s="56"/>
      <c r="C2" s="57"/>
      <c r="D2" s="57"/>
      <c r="E2" s="55"/>
      <c r="F2" s="57"/>
      <c r="G2" s="57"/>
      <c r="H2" s="57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ht="12.75" x14ac:dyDescent="0.2">
      <c r="A3" s="55"/>
      <c r="B3" s="138" t="s">
        <v>50</v>
      </c>
      <c r="C3" s="139"/>
      <c r="D3" s="140"/>
      <c r="E3" s="57"/>
      <c r="F3" s="143" t="s">
        <v>51</v>
      </c>
      <c r="G3" s="144"/>
      <c r="H3" s="14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146" t="s">
        <v>52</v>
      </c>
      <c r="W3" s="144"/>
      <c r="X3" s="145"/>
      <c r="Y3" s="55"/>
      <c r="Z3" s="55"/>
      <c r="AA3" s="55"/>
      <c r="AB3" s="55"/>
    </row>
    <row r="4" spans="1:28" ht="12.75" x14ac:dyDescent="0.2">
      <c r="A4" s="55"/>
      <c r="B4" s="141"/>
      <c r="C4" s="141"/>
      <c r="D4" s="142"/>
      <c r="E4" s="57"/>
      <c r="F4" s="143" t="s">
        <v>53</v>
      </c>
      <c r="G4" s="144"/>
      <c r="H4" s="145"/>
      <c r="I4" s="55"/>
      <c r="J4" s="55"/>
      <c r="U4" s="55"/>
      <c r="V4" s="58" t="s">
        <v>54</v>
      </c>
      <c r="W4" s="147">
        <f>SQRT(3)</f>
        <v>1.7320508075688772</v>
      </c>
      <c r="X4" s="145"/>
      <c r="Y4" s="55"/>
      <c r="Z4" s="55"/>
      <c r="AA4" s="55"/>
      <c r="AB4" s="55"/>
    </row>
    <row r="5" spans="1:28" ht="12.75" x14ac:dyDescent="0.2">
      <c r="A5" s="55"/>
      <c r="B5" s="59" t="s">
        <v>55</v>
      </c>
      <c r="C5" s="60">
        <f>PARALELO_1!E21</f>
        <v>1.6E-2</v>
      </c>
      <c r="D5" s="61"/>
      <c r="E5" s="57"/>
      <c r="F5" s="62" t="s">
        <v>56</v>
      </c>
      <c r="G5" s="63">
        <v>0.92</v>
      </c>
      <c r="H5" s="57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8" t="s">
        <v>57</v>
      </c>
      <c r="W5" s="147">
        <v>1</v>
      </c>
      <c r="X5" s="145"/>
      <c r="Y5" s="55"/>
      <c r="Z5" s="55"/>
      <c r="AA5" s="55"/>
      <c r="AB5" s="55"/>
    </row>
    <row r="6" spans="1:28" ht="12.75" x14ac:dyDescent="0.2">
      <c r="A6" s="55"/>
      <c r="B6" s="64" t="s">
        <v>58</v>
      </c>
      <c r="C6" s="65">
        <f>ROUND(ACOS(C5)*180/PI(),4)</f>
        <v>89.083200000000005</v>
      </c>
      <c r="D6" s="61" t="s">
        <v>40</v>
      </c>
      <c r="E6" s="57"/>
      <c r="F6" s="62" t="s">
        <v>58</v>
      </c>
      <c r="G6" s="61">
        <f>ROUND(ACOS(G5)*180/PI(),4)</f>
        <v>23.073899999999998</v>
      </c>
      <c r="H6" s="61" t="s">
        <v>40</v>
      </c>
      <c r="I6" s="55"/>
      <c r="J6" s="55"/>
      <c r="K6" s="55"/>
      <c r="L6" s="66">
        <f>C10</f>
        <v>12.5265</v>
      </c>
      <c r="M6" s="67" t="s">
        <v>35</v>
      </c>
      <c r="N6" s="66"/>
      <c r="O6" s="68">
        <f>G16</f>
        <v>0.21739130434782608</v>
      </c>
      <c r="P6" s="69" t="s">
        <v>35</v>
      </c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8" ht="12.75" x14ac:dyDescent="0.2">
      <c r="A7" s="55"/>
      <c r="B7" s="64" t="s">
        <v>59</v>
      </c>
      <c r="C7" s="65">
        <f>ROUND(TAN(ACOS(CosPhi)*180/PI()*PI()/180),4)</f>
        <v>62.491999999999997</v>
      </c>
      <c r="D7" s="61"/>
      <c r="E7" s="57"/>
      <c r="F7" s="62" t="s">
        <v>59</v>
      </c>
      <c r="G7" s="61">
        <f>ROUND(TAN(ACOS(CosPhiUTE)*180/PI()*PI()/180),4)</f>
        <v>0.42599999999999999</v>
      </c>
      <c r="H7" s="61"/>
      <c r="I7" s="55"/>
      <c r="J7" s="55"/>
      <c r="K7" s="55"/>
      <c r="L7" s="66"/>
      <c r="M7" s="66"/>
      <c r="N7" s="66"/>
      <c r="O7" s="70"/>
      <c r="P7" s="70"/>
      <c r="Q7" s="155" t="str">
        <f>" CARGA Z = φ "&amp;C6</f>
        <v xml:space="preserve"> CARGA Z = φ 89,0832</v>
      </c>
      <c r="R7" s="156"/>
      <c r="S7" s="156"/>
      <c r="T7" s="157"/>
      <c r="U7" s="55"/>
      <c r="V7" s="55"/>
      <c r="W7" s="55"/>
      <c r="X7" s="55"/>
      <c r="Y7" s="55"/>
      <c r="Z7" s="55"/>
      <c r="AA7" s="55"/>
      <c r="AB7" s="55"/>
    </row>
    <row r="8" spans="1:28" ht="12.75" x14ac:dyDescent="0.2">
      <c r="A8" s="55"/>
      <c r="B8" s="64" t="s">
        <v>60</v>
      </c>
      <c r="C8" s="71">
        <f>PARALELO_1!D24</f>
        <v>20</v>
      </c>
      <c r="D8" s="61" t="s">
        <v>61</v>
      </c>
      <c r="E8" s="55"/>
      <c r="F8" s="55"/>
      <c r="G8" s="55"/>
      <c r="H8" s="55"/>
      <c r="I8" s="55"/>
      <c r="J8" s="55"/>
      <c r="K8" s="55"/>
      <c r="L8" s="72"/>
      <c r="M8" s="72"/>
      <c r="N8" s="72"/>
      <c r="O8" s="73"/>
      <c r="P8" s="73"/>
      <c r="Q8" s="158"/>
      <c r="R8" s="131"/>
      <c r="S8" s="131"/>
      <c r="T8" s="159"/>
      <c r="U8" s="55"/>
      <c r="V8" s="55"/>
      <c r="W8" s="55"/>
      <c r="X8" s="55"/>
      <c r="Y8" s="55"/>
      <c r="Z8" s="55"/>
      <c r="AA8" s="55"/>
      <c r="AB8" s="55"/>
    </row>
    <row r="9" spans="1:28" ht="12.75" x14ac:dyDescent="0.2">
      <c r="A9" s="55"/>
      <c r="B9" s="64" t="s">
        <v>62</v>
      </c>
      <c r="C9" s="71">
        <f>PARALELO_1!G2</f>
        <v>50</v>
      </c>
      <c r="D9" s="61" t="s">
        <v>2</v>
      </c>
      <c r="E9" s="55"/>
      <c r="F9" s="55"/>
      <c r="G9" s="55"/>
      <c r="H9" s="55"/>
      <c r="I9" s="55"/>
      <c r="J9" s="55"/>
      <c r="K9" s="55"/>
      <c r="L9" s="74"/>
      <c r="M9" s="75"/>
      <c r="N9" s="75"/>
      <c r="O9" s="76"/>
      <c r="P9" s="77"/>
      <c r="Q9" s="158"/>
      <c r="R9" s="131"/>
      <c r="S9" s="131"/>
      <c r="T9" s="159"/>
      <c r="U9" s="55"/>
      <c r="V9" s="55"/>
      <c r="W9" s="55"/>
      <c r="X9" s="55"/>
      <c r="Y9" s="55"/>
      <c r="Z9" s="55"/>
      <c r="AA9" s="55"/>
      <c r="AB9" s="55"/>
    </row>
    <row r="10" spans="1:28" ht="12.75" x14ac:dyDescent="0.2">
      <c r="A10" s="55"/>
      <c r="B10" s="64" t="s">
        <v>63</v>
      </c>
      <c r="C10" s="71">
        <f>PARALELO_1!E16</f>
        <v>12.5265</v>
      </c>
      <c r="D10" s="61" t="s">
        <v>35</v>
      </c>
      <c r="E10" s="55"/>
      <c r="F10" s="55"/>
      <c r="G10" s="55"/>
      <c r="H10" s="55"/>
      <c r="I10" s="55"/>
      <c r="J10" s="55"/>
      <c r="K10" s="55"/>
      <c r="L10" s="66"/>
      <c r="M10" s="66"/>
      <c r="N10" s="78"/>
      <c r="O10" s="79"/>
      <c r="P10" s="80"/>
      <c r="Q10" s="158"/>
      <c r="R10" s="131"/>
      <c r="S10" s="131"/>
      <c r="T10" s="159"/>
      <c r="U10" s="55"/>
      <c r="V10" s="55"/>
      <c r="W10" s="55"/>
      <c r="X10" s="55"/>
      <c r="Y10" s="55"/>
      <c r="Z10" s="55"/>
      <c r="AA10" s="55"/>
      <c r="AB10" s="55"/>
    </row>
    <row r="11" spans="1:28" ht="12.75" x14ac:dyDescent="0.2">
      <c r="A11" s="55"/>
      <c r="B11" s="64" t="s">
        <v>64</v>
      </c>
      <c r="C11" s="81">
        <v>100</v>
      </c>
      <c r="D11" s="61" t="s">
        <v>18</v>
      </c>
      <c r="E11" s="55"/>
      <c r="F11" s="55"/>
      <c r="G11" s="55"/>
      <c r="H11" s="55"/>
      <c r="I11" s="55"/>
      <c r="J11" s="55"/>
      <c r="K11" s="55"/>
      <c r="L11" s="66"/>
      <c r="M11" s="66"/>
      <c r="N11" s="66"/>
      <c r="O11" s="163">
        <f>F20</f>
        <v>1241.32</v>
      </c>
      <c r="P11" s="159"/>
      <c r="Q11" s="158"/>
      <c r="R11" s="131"/>
      <c r="S11" s="131"/>
      <c r="T11" s="159"/>
      <c r="U11" s="55"/>
      <c r="V11" s="55"/>
      <c r="W11" s="55"/>
      <c r="X11" s="55"/>
      <c r="Y11" s="55"/>
      <c r="Z11" s="55"/>
      <c r="AA11" s="55"/>
      <c r="AB11" s="55"/>
    </row>
    <row r="12" spans="1:28" ht="12.75" x14ac:dyDescent="0.2">
      <c r="A12" s="55"/>
      <c r="B12" s="64" t="s">
        <v>65</v>
      </c>
      <c r="C12" s="81" t="s">
        <v>57</v>
      </c>
      <c r="D12" s="61"/>
      <c r="E12" s="147">
        <f>VLOOKUP(C12,V4:X5,2,FALSE)</f>
        <v>1</v>
      </c>
      <c r="F12" s="145"/>
      <c r="G12" s="55"/>
      <c r="H12" s="55"/>
      <c r="I12" s="55"/>
      <c r="J12" s="55"/>
      <c r="K12" s="55"/>
      <c r="L12" s="82"/>
      <c r="M12" s="83"/>
      <c r="N12" s="83"/>
      <c r="O12" s="164" t="s">
        <v>66</v>
      </c>
      <c r="P12" s="162"/>
      <c r="Q12" s="158"/>
      <c r="R12" s="131"/>
      <c r="S12" s="131"/>
      <c r="T12" s="159"/>
      <c r="U12" s="55"/>
      <c r="V12" s="55"/>
      <c r="W12" s="55"/>
      <c r="X12" s="55"/>
      <c r="Y12" s="55"/>
      <c r="Z12" s="55"/>
      <c r="AA12" s="55"/>
      <c r="AB12" s="55"/>
    </row>
    <row r="13" spans="1:28" ht="12.75" x14ac:dyDescent="0.2">
      <c r="A13" s="55"/>
      <c r="B13" s="59" t="s">
        <v>67</v>
      </c>
      <c r="C13" s="65">
        <f>SIN(ACOS(CosPhi)*180/PI()*PI()/180)</f>
        <v>0.9998719918069513</v>
      </c>
      <c r="D13" s="61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158"/>
      <c r="R13" s="131"/>
      <c r="S13" s="131"/>
      <c r="T13" s="159"/>
      <c r="U13" s="55"/>
      <c r="V13" s="55"/>
      <c r="W13" s="55"/>
      <c r="X13" s="55"/>
      <c r="Y13" s="55"/>
      <c r="Z13" s="55"/>
      <c r="AA13" s="55"/>
      <c r="AB13" s="55"/>
    </row>
    <row r="14" spans="1:28" ht="22.5" customHeight="1" x14ac:dyDescent="0.2">
      <c r="A14" s="55"/>
      <c r="B14" s="84" t="s">
        <v>68</v>
      </c>
      <c r="C14" s="165">
        <f>IF(C12=V4,Vtotal*Ainicial*SIN(ACOS(CosPhi)*180/PI()*PI()/180)*W4,Vtotal*Ainicial*SIN(ACOS(CosPhi)*180/PI()*PI()/180))</f>
        <v>1252.4896505369777</v>
      </c>
      <c r="D14" s="167" t="s">
        <v>45</v>
      </c>
      <c r="E14" s="57"/>
      <c r="F14" s="85" t="s">
        <v>69</v>
      </c>
      <c r="G14" s="86">
        <f>Pactiva/CosPhiUTE</f>
        <v>21.739130434782609</v>
      </c>
      <c r="H14" s="85" t="s">
        <v>48</v>
      </c>
      <c r="I14" s="55"/>
      <c r="J14" s="55"/>
      <c r="K14" s="55"/>
      <c r="L14" s="55"/>
      <c r="M14" s="55"/>
      <c r="N14" s="55"/>
      <c r="O14" s="55"/>
      <c r="P14" s="55"/>
      <c r="Q14" s="158"/>
      <c r="R14" s="131"/>
      <c r="S14" s="131"/>
      <c r="T14" s="159"/>
      <c r="U14" s="55"/>
      <c r="V14" s="55"/>
      <c r="W14" s="55"/>
      <c r="X14" s="55"/>
      <c r="Y14" s="55"/>
      <c r="Z14" s="55"/>
      <c r="AA14" s="55"/>
      <c r="AB14" s="55"/>
    </row>
    <row r="15" spans="1:28" ht="12.75" x14ac:dyDescent="0.2">
      <c r="A15" s="55"/>
      <c r="B15" s="22" t="s">
        <v>22</v>
      </c>
      <c r="C15" s="166"/>
      <c r="D15" s="131"/>
      <c r="E15" s="57"/>
      <c r="F15" s="87" t="s">
        <v>70</v>
      </c>
      <c r="G15" s="88">
        <f>SQRT(Scorregida^2-Pactiva^2)</f>
        <v>8.519964322724098</v>
      </c>
      <c r="H15" s="87" t="s">
        <v>45</v>
      </c>
      <c r="I15" s="55"/>
      <c r="J15" s="55"/>
      <c r="K15" s="55"/>
      <c r="L15" s="55"/>
      <c r="M15" s="55"/>
      <c r="N15" s="55"/>
      <c r="O15" s="55"/>
      <c r="P15" s="55"/>
      <c r="Q15" s="160"/>
      <c r="R15" s="161"/>
      <c r="S15" s="161"/>
      <c r="T15" s="162"/>
      <c r="U15" s="55"/>
      <c r="V15" s="55"/>
      <c r="W15" s="55"/>
      <c r="X15" s="55"/>
      <c r="Y15" s="55"/>
      <c r="Z15" s="55"/>
      <c r="AA15" s="55"/>
      <c r="AB15" s="55"/>
    </row>
    <row r="16" spans="1:28" ht="12.75" x14ac:dyDescent="0.2">
      <c r="A16" s="55"/>
      <c r="B16" s="89" t="s">
        <v>71</v>
      </c>
      <c r="C16" s="152"/>
      <c r="D16" s="131"/>
      <c r="E16" s="57"/>
      <c r="F16" s="85" t="s">
        <v>72</v>
      </c>
      <c r="G16" s="90">
        <f>IF(C12=V4,Scorregida/Vtotal,Scorregida/Vtotal)</f>
        <v>0.21739130434782608</v>
      </c>
      <c r="H16" s="85" t="s">
        <v>35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spans="1:28" ht="12.75" x14ac:dyDescent="0.2">
      <c r="A17" s="55"/>
      <c r="B17" s="22" t="s">
        <v>22</v>
      </c>
      <c r="C17" s="55">
        <f>(PARALELO_1!C4*PARALELO_1!E18^2)-(PARALELO_1!C5*PARALELO_1!E19^2)</f>
        <v>-1252.4943899256011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spans="1:28" ht="12.75" x14ac:dyDescent="0.2">
      <c r="A18" s="55"/>
      <c r="B18" s="137" t="s">
        <v>73</v>
      </c>
      <c r="C18" s="131"/>
      <c r="D18" s="131"/>
      <c r="E18" s="131"/>
      <c r="F18" s="131"/>
      <c r="G18" s="131"/>
      <c r="H18" s="13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spans="1:28" ht="12.75" x14ac:dyDescent="0.2">
      <c r="A19" s="55"/>
      <c r="B19" s="56"/>
      <c r="C19" s="57"/>
      <c r="D19" s="57"/>
      <c r="E19" s="57"/>
      <c r="F19" s="57"/>
      <c r="G19" s="57"/>
      <c r="H19" s="57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spans="1:28" ht="12.75" x14ac:dyDescent="0.2">
      <c r="A20" s="55"/>
      <c r="B20" s="148" t="s">
        <v>74</v>
      </c>
      <c r="C20" s="144"/>
      <c r="D20" s="144"/>
      <c r="E20" s="145"/>
      <c r="F20" s="149">
        <f>C8*(C7-G7)</f>
        <v>1241.32</v>
      </c>
      <c r="G20" s="140"/>
      <c r="H20" s="151" t="s">
        <v>66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spans="1:28" ht="12.75" x14ac:dyDescent="0.2">
      <c r="A21" s="55"/>
      <c r="B21" s="148" t="str">
        <f>C8&amp; " * " &amp;"( "&amp;C7&amp; " - "&amp;G7&amp;" )"</f>
        <v>20 * ( 62,492 - 0,426 )</v>
      </c>
      <c r="C21" s="144"/>
      <c r="D21" s="144"/>
      <c r="E21" s="145"/>
      <c r="F21" s="150"/>
      <c r="G21" s="142"/>
      <c r="H21" s="152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spans="1:28" ht="12.75" x14ac:dyDescent="0.2">
      <c r="A22" s="55"/>
      <c r="B22" s="153" t="s">
        <v>75</v>
      </c>
      <c r="C22" s="144"/>
      <c r="D22" s="144"/>
      <c r="E22" s="145"/>
      <c r="F22" s="154">
        <f>ROUND((F20*10^9)/(2*PI()*C9*C11^2),2)</f>
        <v>395124.43</v>
      </c>
      <c r="G22" s="145"/>
      <c r="H22" s="91" t="s">
        <v>76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spans="1:28" ht="12.75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 ht="12.75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spans="1:28" ht="12.75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spans="1:28" ht="12.75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</row>
    <row r="27" spans="1:28" ht="12.75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spans="1:28" ht="12.75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spans="1:28" ht="12.75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spans="1:28" ht="12.75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spans="1:28" ht="12.75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spans="1:28" ht="12.75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</row>
    <row r="33" spans="1:28" ht="12.75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spans="1:28" ht="12.7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spans="1:28" ht="12.7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spans="1:28" ht="12.75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spans="1:28" ht="12.75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spans="1:28" ht="12.75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spans="1:28" ht="12.75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spans="1:28" ht="12.7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</row>
    <row r="41" spans="1:28" ht="12.75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spans="1:28" ht="12.7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</row>
    <row r="43" spans="1:28" ht="12.75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</row>
    <row r="44" spans="1:28" ht="12.75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spans="1:28" ht="12.75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spans="1:28" ht="12.75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spans="1:28" ht="12.75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spans="1:28" ht="12.75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spans="1:28" ht="12.75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ht="12.75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spans="1:28" ht="12.75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spans="1:28" ht="12.75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ht="12.75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ht="12.75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ht="12.75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ht="12.75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ht="12.75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ht="12.75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ht="12.75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ht="12.75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ht="12.75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1:28" ht="12.75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 ht="12.75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ht="12.75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ht="12.75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ht="12.75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ht="12.75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ht="12.75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ht="12.75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:28" ht="12.75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:28" ht="12.75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ht="12.75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:28" ht="12.75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:28" ht="12.75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:28" ht="12.75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ht="12.75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 ht="12.75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 ht="12.75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ht="12.75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ht="12.75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ht="12.75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ht="12.75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ht="12.75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ht="12.75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ht="12.75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ht="12.75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ht="12.75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ht="12.75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ht="12.75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ht="12.75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ht="12.75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ht="12.75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ht="12.75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ht="12.75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ht="12.75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ht="12.75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ht="12.75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ht="12.75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ht="12.75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ht="12.75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ht="12.75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ht="12.75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:28" ht="12.75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:28" ht="12.75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:28" ht="12.75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:28" ht="12.75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:28" ht="12.75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:28" ht="12.75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:28" ht="12.75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:28" ht="12.75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:28" ht="12.75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:28" ht="12.75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:28" ht="12.75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:28" ht="12.75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:28" ht="12.75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:28" ht="12.75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:28" ht="12.75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:28" ht="12.75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:28" ht="12.75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:28" ht="12.75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:28" ht="12.75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:28" ht="12.75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:28" ht="12.75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:28" ht="12.75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:28" ht="12.75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:28" ht="12.75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:28" ht="12.75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:28" ht="12.75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:28" ht="12.75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:28" ht="12.75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:28" ht="12.75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:28" ht="12.75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:28" ht="12.75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:28" ht="12.75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:28" ht="12.75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:28" ht="12.75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:28" ht="12.75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:28" ht="12.75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:28" ht="12.75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:28" ht="12.75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:28" ht="12.75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:28" ht="12.75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:28" ht="12.75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:28" ht="12.75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:28" ht="12.75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:28" ht="12.75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:28" ht="12.75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:28" ht="12.75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:28" ht="12.75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:28" ht="12.75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:28" ht="12.75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:28" ht="12.75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spans="1:28" ht="12.75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spans="1:28" ht="12.75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spans="1:28" ht="12.75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spans="1:28" ht="12.75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spans="1:28" ht="12.75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spans="1:28" ht="12.75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spans="1:28" ht="12.75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spans="1:28" ht="12.75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1:28" ht="12.75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spans="1:28" ht="12.75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spans="1:28" ht="12.75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spans="1:28" ht="12.75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spans="1:28" ht="12.75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spans="1:28" ht="12.75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spans="1:28" ht="12.75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spans="1:28" ht="12.75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spans="1:28" ht="12.75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spans="1:28" ht="12.75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spans="1:28" ht="12.75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spans="1:28" ht="12.75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spans="1:28" ht="12.75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spans="1:28" ht="12.75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spans="1:28" ht="12.75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spans="1:28" ht="12.75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spans="1:28" ht="12.75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spans="1:28" ht="12.75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spans="1:28" ht="12.75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spans="1:28" ht="12.75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spans="1:28" ht="12.75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spans="1:28" ht="12.75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spans="1:28" ht="12.75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spans="1:28" ht="12.75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spans="1:28" ht="12.75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spans="1:28" ht="12.75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spans="1:28" ht="12.75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spans="1:28" ht="12.75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spans="1:28" ht="12.75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spans="1:28" ht="12.75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spans="1:28" ht="12.75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spans="1:28" ht="12.75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spans="1:28" ht="12.75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spans="1:28" ht="12.75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spans="1:28" ht="12.75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spans="1:28" ht="12.75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spans="1:28" ht="12.75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spans="1:28" ht="12.75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spans="1:28" ht="12.75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spans="1:28" ht="12.75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  <row r="201" spans="1:28" ht="12.75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</row>
    <row r="202" spans="1:28" ht="12.75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</row>
    <row r="203" spans="1:28" ht="12.75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</row>
    <row r="204" spans="1:28" ht="12.75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 spans="1:28" ht="12.75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 spans="1:28" ht="12.75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 spans="1:28" ht="12.75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 spans="1:28" ht="12.75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 spans="1:28" ht="12.75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 spans="1:28" ht="12.75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:28" ht="12.75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 spans="1:28" ht="12.75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 spans="1:28" ht="12.75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 spans="1:28" ht="12.75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 spans="1:28" ht="12.75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 spans="1:28" ht="12.75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 spans="1:28" ht="12.75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 spans="1:28" ht="12.75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 spans="1:28" ht="12.75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 spans="1:28" ht="12.75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 spans="1:28" ht="12.75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 spans="1:28" ht="12.75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 spans="1:28" ht="12.75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 spans="1:28" ht="12.75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 spans="1:28" ht="12.75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 spans="1:28" ht="12.75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 spans="1:28" ht="12.75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 spans="1:28" ht="12.75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 spans="1:28" ht="12.75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:28" ht="12.75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 spans="1:28" ht="12.75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 spans="1:28" ht="12.75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 spans="1:28" ht="12.75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 spans="1:28" ht="12.75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 spans="1:28" ht="12.75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 spans="1:28" ht="12.75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 spans="1:28" ht="12.75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 spans="1:28" ht="12.75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 spans="1:28" ht="12.75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 spans="1:28" ht="12.75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 spans="1:28" ht="12.75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 spans="1:28" ht="12.75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 spans="1:28" ht="12.75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:28" ht="12.75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 spans="1:28" ht="12.75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 spans="1:28" ht="12.75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 spans="1:28" ht="12.75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 spans="1:28" ht="12.75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 spans="1:28" ht="12.75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 spans="1:28" ht="12.75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 spans="1:28" ht="12.75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 spans="1:28" ht="12.75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 spans="1:28" ht="12.75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 spans="1:28" ht="12.75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 spans="1:28" ht="12.75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 spans="1:28" ht="12.75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 spans="1:28" ht="12.75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 spans="1:28" ht="12.75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 spans="1:28" ht="12.75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 spans="1:28" ht="12.75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 spans="1:28" ht="12.75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 spans="1:28" ht="12.75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 spans="1:28" ht="12.75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 spans="1:28" ht="12.75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 spans="1:28" ht="12.75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 spans="1:28" ht="12.75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 spans="1:28" ht="12.75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 spans="1:28" ht="12.75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 spans="1:28" ht="12.75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 spans="1:28" ht="12.75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 spans="1:28" ht="12.75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 spans="1:28" ht="12.75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 spans="1:28" ht="12.75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 spans="1:28" ht="12.75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 spans="1:28" ht="12.75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 spans="1:28" ht="12.75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 spans="1:28" ht="12.75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 spans="1:28" ht="12.75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 spans="1:28" ht="12.75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 spans="1:28" ht="12.75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 spans="1:28" ht="12.75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 spans="1:28" ht="12.75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 spans="1:28" ht="12.75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 spans="1:28" ht="12.75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 spans="1:28" ht="12.75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 spans="1:28" ht="12.75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 spans="1:28" ht="12.75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spans="1:28" ht="12.75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 spans="1:28" ht="12.75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 spans="1:28" ht="12.75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 spans="1:28" ht="12.75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 spans="1:28" ht="12.75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 spans="1:28" ht="12.75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 spans="1:28" ht="12.75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 spans="1:28" ht="12.75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 spans="1:28" ht="12.75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 spans="1:28" ht="12.75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 spans="1:28" ht="12.75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 spans="1:28" ht="12.75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 spans="1:28" ht="12.75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 spans="1:28" ht="12.75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 spans="1:28" ht="12.75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 spans="1:28" ht="12.75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 spans="1:28" ht="12.75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 spans="1:28" ht="12.75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 spans="1:28" ht="12.75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 spans="1:28" ht="12.75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 spans="1:28" ht="12.75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 spans="1:28" ht="12.75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 spans="1:28" ht="12.75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 spans="1:28" ht="12.75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 spans="1:28" ht="12.75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 spans="1:28" ht="12.75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 spans="1:28" ht="12.75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 spans="1:28" ht="12.75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spans="1:28" ht="12.75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 spans="1:28" ht="12.75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 spans="1:28" ht="12.75" x14ac:dyDescent="0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 spans="1:28" ht="12.75" x14ac:dyDescent="0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 spans="1:28" ht="12.75" x14ac:dyDescent="0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 spans="1:28" ht="12.75" x14ac:dyDescent="0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 spans="1:28" ht="12.75" x14ac:dyDescent="0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 spans="1:28" ht="12.75" x14ac:dyDescent="0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 spans="1:28" ht="12.75" x14ac:dyDescent="0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 spans="1:28" ht="12.75" x14ac:dyDescent="0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 spans="1:28" ht="12.75" x14ac:dyDescent="0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 spans="1:28" ht="12.75" x14ac:dyDescent="0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 spans="1:28" ht="12.75" x14ac:dyDescent="0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 spans="1:28" ht="12.75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spans="1:28" ht="12.75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 spans="1:28" ht="12.75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 spans="1:28" ht="12.75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 spans="1:28" ht="12.75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 spans="1:28" ht="12.75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 spans="1:28" ht="12.75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 spans="1:28" ht="12.75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 spans="1:28" ht="12.75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 spans="1:28" ht="12.75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 spans="1:28" ht="12.75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 spans="1:28" ht="12.75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spans="1:28" ht="12.75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 spans="1:28" ht="12.75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 spans="1:28" ht="12.75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spans="1:28" ht="12.75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 spans="1:28" ht="12.75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 spans="1:28" ht="12.75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 spans="1:28" ht="12.75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 spans="1:28" ht="12.75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 spans="1:28" ht="12.75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 spans="1:28" ht="12.75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 spans="1:28" ht="12.75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 spans="1:28" ht="12.75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 spans="1:28" ht="12.75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 spans="1:28" ht="12.75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 spans="1:28" ht="12.75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 spans="1:28" ht="12.75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 spans="1:28" ht="12.75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 spans="1:28" ht="12.75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spans="1:28" ht="12.75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 spans="1:28" ht="12.75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 spans="1:28" ht="12.75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spans="1:28" ht="12.75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 spans="1:28" ht="12.75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 spans="1:28" ht="12.75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 spans="1:28" ht="12.75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 spans="1:28" ht="12.75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 spans="1:28" ht="12.75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 spans="1:28" ht="12.75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 spans="1:28" ht="12.75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 spans="1:28" ht="12.75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 spans="1:28" ht="12.75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 spans="1:28" ht="12.75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 spans="1:28" ht="12.75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spans="1:28" ht="12.75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 spans="1:28" ht="12.75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 spans="1:28" ht="12.75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 spans="1:28" ht="12.75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spans="1:28" ht="12.75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spans="1:28" ht="12.75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spans="1:28" ht="12.75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spans="1:28" ht="12.75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spans="1:28" ht="12.75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 spans="1:28" ht="12.75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 spans="1:28" ht="12.75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 spans="1:28" ht="12.75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 spans="1:28" ht="12.75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 spans="1:28" ht="12.75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 spans="1:28" ht="12.75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spans="1:28" ht="12.75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 spans="1:28" ht="12.75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 spans="1:28" ht="12.75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 spans="1:28" ht="12.75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 spans="1:28" ht="12.75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 spans="1:28" ht="12.75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 spans="1:28" ht="12.75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 spans="1:28" ht="12.75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 spans="1:28" ht="12.75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 spans="1:28" ht="12.75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 spans="1:28" ht="12.75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 spans="1:28" ht="12.75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 spans="1:28" ht="12.75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 spans="1:28" ht="12.75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 spans="1:28" ht="12.75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 spans="1:28" ht="12.75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 spans="1:28" ht="12.75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 spans="1:28" ht="12.75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 spans="1:28" ht="12.75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spans="1:28" ht="12.75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 spans="1:28" ht="12.75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 spans="1:28" ht="12.75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 spans="1:28" ht="12.75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 spans="1:28" ht="12.75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 spans="1:28" ht="12.75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 spans="1:28" ht="12.75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 spans="1:28" ht="12.75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 spans="1:28" ht="12.75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 spans="1:28" ht="12.75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 spans="1:28" ht="12.75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 spans="1:28" ht="12.75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 spans="1:28" ht="12.75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 spans="1:28" ht="12.75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 spans="1:28" ht="12.75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 spans="1:28" ht="12.75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spans="1:28" ht="12.75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 spans="1:28" ht="12.75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 spans="1:28" ht="12.75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 spans="1:28" ht="12.75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 spans="1:28" ht="12.75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 spans="1:28" ht="12.75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 spans="1:28" ht="12.75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 spans="1:28" ht="12.75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 spans="1:28" ht="12.75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 spans="1:28" ht="12.75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 spans="1:28" ht="12.75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 spans="1:28" ht="12.75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 spans="1:28" ht="12.75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 spans="1:28" ht="12.75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 spans="1:28" ht="12.75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spans="1:28" ht="12.75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 spans="1:28" ht="12.75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 spans="1:28" ht="12.75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 spans="1:28" ht="12.75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 spans="1:28" ht="12.75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 spans="1:28" ht="12.75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 spans="1:28" ht="12.75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 spans="1:28" ht="12.75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 spans="1:28" ht="12.75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 spans="1:28" ht="12.75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 spans="1:28" ht="12.75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 spans="1:28" ht="12.75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 spans="1:28" ht="12.75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 spans="1:28" ht="12.75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 spans="1:28" ht="12.75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 spans="1:28" ht="12.75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 spans="1:28" ht="12.75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 spans="1:28" ht="12.75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 spans="1:28" ht="12.75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spans="1:28" ht="12.75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 spans="1:28" ht="12.75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 spans="1:28" ht="12.75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 spans="1:28" ht="12.75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 spans="1:28" ht="12.75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 spans="1:28" ht="12.75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 spans="1:28" ht="12.75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 spans="1:28" ht="12.75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 spans="1:28" ht="12.75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 spans="1:28" ht="12.75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 spans="1:28" ht="12.75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 spans="1:28" ht="12.75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 spans="1:28" ht="12.75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 spans="1:28" ht="12.75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spans="1:28" ht="12.75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 spans="1:28" ht="12.75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 spans="1:28" ht="12.75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 spans="1:28" ht="12.75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 spans="1:28" ht="12.75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 spans="1:28" ht="12.75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 spans="1:28" ht="12.75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 spans="1:28" ht="12.75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 spans="1:28" ht="12.75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 spans="1:28" ht="12.75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 spans="1:28" ht="12.75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 spans="1:28" ht="12.75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 spans="1:28" ht="12.75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 spans="1:28" ht="12.75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 spans="1:28" ht="12.75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 spans="1:28" ht="12.75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 spans="1:28" ht="12.75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 spans="1:28" ht="12.75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 spans="1:28" ht="12.75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 spans="1:28" ht="12.75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 spans="1:28" ht="12.75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 spans="1:28" ht="12.75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 spans="1:28" ht="12.75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 spans="1:28" ht="12.75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 spans="1:28" ht="12.75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 spans="1:28" ht="12.75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 spans="1:28" ht="12.75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 spans="1:28" ht="12.75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 spans="1:28" ht="12.75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 spans="1:28" ht="12.75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 spans="1:28" ht="12.75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 spans="1:28" ht="12.75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 spans="1:28" ht="12.75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 spans="1:28" ht="12.75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 spans="1:28" ht="12.75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 spans="1:28" ht="12.75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 spans="1:28" ht="12.75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 spans="1:28" ht="12.75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 spans="1:28" ht="12.75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 spans="1:28" ht="12.75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 spans="1:28" ht="12.75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 spans="1:28" ht="12.75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 spans="1:28" ht="12.75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 spans="1:28" ht="12.75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 spans="1:28" ht="12.75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 spans="1:28" ht="12.75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 spans="1:28" ht="12.75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 spans="1:28" ht="12.75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 spans="1:28" ht="12.75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 spans="1:28" ht="12.75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 spans="1:28" ht="12.75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 spans="1:28" ht="12.75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 spans="1:28" ht="12.75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 spans="1:28" ht="12.75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 spans="1:28" ht="12.75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 spans="1:28" ht="12.75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 spans="1:28" ht="12.75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 spans="1:28" ht="12.75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 spans="1:28" ht="12.75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 spans="1:28" ht="12.75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 spans="1:28" ht="12.75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 spans="1:28" ht="12.75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 spans="1:28" ht="12.75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 spans="1:28" ht="12.75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 spans="1:28" ht="12.75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 spans="1:28" ht="12.75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 spans="1:28" ht="12.75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 spans="1:28" ht="12.75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 spans="1:28" ht="12.75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 spans="1:28" ht="12.75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 spans="1:28" ht="12.75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 spans="1:28" ht="12.75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 spans="1:28" ht="12.75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 spans="1:28" ht="12.75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 spans="1:28" ht="12.75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 spans="1:28" ht="12.75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 spans="1:28" ht="12.75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 spans="1:28" ht="12.75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 spans="1:28" ht="12.75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 spans="1:28" ht="12.75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 spans="1:28" ht="12.75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 spans="1:28" ht="12.75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 spans="1:28" ht="12.75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 spans="1:28" ht="12.75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 spans="1:28" ht="12.75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 spans="1:28" ht="12.75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 spans="1:28" ht="12.75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 spans="1:28" ht="12.75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 spans="1:28" ht="12.75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 spans="1:28" ht="12.75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 spans="1:28" ht="12.75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 spans="1:28" ht="12.75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 spans="1:28" ht="12.75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 spans="1:28" ht="12.75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 spans="1:28" ht="12.75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 spans="1:28" ht="12.75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 spans="1:28" ht="12.75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 spans="1:28" ht="12.75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 spans="1:28" ht="12.75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 spans="1:28" ht="12.75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 spans="1:28" ht="12.75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 spans="1:28" ht="12.75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 spans="1:28" ht="12.75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 spans="1:28" ht="12.75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 spans="1:28" ht="12.75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 spans="1:28" ht="12.75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 spans="1:28" ht="12.75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 spans="1:28" ht="12.75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 spans="1:28" ht="12.75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 spans="1:28" ht="12.75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 spans="1:28" ht="12.75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 spans="1:28" ht="12.75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 spans="1:28" ht="12.75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 spans="1:28" ht="12.75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 spans="1:28" ht="12.75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 spans="1:28" ht="12.75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 spans="1:28" ht="12.75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 spans="1:28" ht="12.75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 spans="1:28" ht="12.75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 spans="1:28" ht="12.75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 spans="1:28" ht="12.75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 spans="1:28" ht="12.75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 spans="1:28" ht="12.75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 spans="1:28" ht="12.75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 spans="1:28" ht="12.75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 spans="1:28" ht="12.75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 spans="1:28" ht="12.75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 spans="1:28" ht="12.75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 spans="1:28" ht="12.75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 spans="1:28" ht="12.75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 spans="1:28" ht="12.75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 spans="1:28" ht="12.75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 spans="1:28" ht="12.75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 spans="1:28" ht="12.75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 spans="1:28" ht="12.75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 spans="1:28" ht="12.75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 spans="1:28" ht="12.75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 spans="1:28" ht="12.75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 spans="1:28" ht="12.75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 spans="1:28" ht="12.75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 spans="1:28" ht="12.75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 spans="1:28" ht="12.75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 spans="1:28" ht="12.75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 spans="1:28" ht="12.75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 spans="1:28" ht="12.75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 spans="1:28" ht="12.75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 spans="1:28" ht="12.75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 spans="1:28" ht="12.75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 spans="1:28" ht="12.75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 spans="1:28" ht="12.75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 spans="1:28" ht="12.75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 spans="1:28" ht="12.75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 spans="1:28" ht="12.75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 spans="1:28" ht="12.75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 spans="1:28" ht="12.75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 spans="1:28" ht="12.75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 spans="1:28" ht="12.75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 spans="1:28" ht="12.75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 spans="1:28" ht="12.75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 spans="1:28" ht="12.75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 spans="1:28" ht="12.75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 spans="1:28" ht="12.75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 spans="1:28" ht="12.75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 spans="1:28" ht="12.75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 spans="1:28" ht="12.75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 spans="1:28" ht="12.75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 spans="1:28" ht="12.75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 spans="1:28" ht="12.75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 spans="1:28" ht="12.75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 spans="1:28" ht="12.75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 spans="1:28" ht="12.75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 spans="1:28" ht="12.75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 spans="1:28" ht="12.75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 spans="1:28" ht="12.75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 spans="1:28" ht="12.75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 spans="1:28" ht="12.75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 spans="1:28" ht="12.75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 spans="1:28" ht="12.75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 spans="1:28" ht="12.75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 spans="1:28" ht="12.75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 spans="1:28" ht="12.75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 spans="1:28" ht="12.75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 spans="1:28" ht="12.75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 spans="1:28" ht="12.75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 spans="1:28" ht="12.75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 spans="1:28" ht="12.75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 spans="1:28" ht="12.75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 spans="1:28" ht="12.75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 spans="1:28" ht="12.75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 spans="1:28" ht="12.75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 spans="1:28" ht="12.75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 spans="1:28" ht="12.75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 spans="1:28" ht="12.75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 spans="1:28" ht="12.75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 spans="1:28" ht="12.75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 spans="1:28" ht="12.75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 spans="1:28" ht="12.75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 spans="1:28" ht="12.75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 spans="1:28" ht="12.75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 spans="1:28" ht="12.75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 spans="1:28" ht="12.75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 spans="1:28" ht="12.75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 spans="1:28" ht="12.75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 spans="1:28" ht="12.75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 spans="1:28" ht="12.75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 spans="1:28" ht="12.75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 spans="1:28" ht="12.75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 spans="1:28" ht="12.75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 spans="1:28" ht="12.75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 spans="1:28" ht="12.75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 spans="1:28" ht="12.75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 spans="1:28" ht="12.75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 spans="1:28" ht="12.75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 spans="1:28" ht="12.75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 spans="1:28" ht="12.75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 spans="1:28" ht="12.75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 spans="1:28" ht="12.75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 spans="1:28" ht="12.75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 spans="1:28" ht="12.75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 spans="1:28" ht="12.75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 spans="1:28" ht="12.75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 spans="1:28" ht="12.75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 spans="1:28" ht="12.75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 spans="1:28" ht="12.75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 spans="1:28" ht="12.75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 spans="1:28" ht="12.75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 spans="1:28" ht="12.75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 spans="1:28" ht="12.75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 spans="1:28" ht="12.75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 spans="1:28" ht="12.75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 spans="1:28" ht="12.75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 spans="1:28" ht="12.75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 spans="1:28" ht="12.75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 spans="1:28" ht="12.75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 spans="1:28" ht="12.75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 spans="1:28" ht="12.75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 spans="1:28" ht="12.75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 spans="1:28" ht="12.75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 spans="1:28" ht="12.75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 spans="1:28" ht="12.75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 spans="1:28" ht="12.75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 spans="1:28" ht="12.75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 spans="1:28" ht="12.75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 spans="1:28" ht="12.75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 spans="1:28" ht="12.75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 spans="1:28" ht="12.75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 spans="1:28" ht="12.75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 spans="1:28" ht="12.75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 spans="1:28" ht="12.75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 spans="1:28" ht="12.75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 spans="1:28" ht="12.75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 spans="1:28" ht="12.75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 spans="1:28" ht="12.75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 spans="1:28" ht="12.75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 spans="1:28" ht="12.75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 spans="1:28" ht="12.75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 spans="1:28" ht="12.75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 spans="1:28" ht="12.75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 spans="1:28" ht="12.75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 spans="1:28" ht="12.75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 spans="1:28" ht="12.75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 spans="1:28" ht="12.75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 spans="1:28" ht="12.75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 spans="1:28" ht="12.75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 spans="1:28" ht="12.75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 spans="1:28" ht="12.75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 spans="1:28" ht="12.75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 spans="1:28" ht="12.75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 spans="1:28" ht="12.75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 spans="1:28" ht="12.75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 spans="1:28" ht="12.75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 spans="1:28" ht="12.75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 spans="1:28" ht="12.75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 spans="1:28" ht="12.75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 spans="1:28" ht="12.75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 spans="1:28" ht="12.75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 spans="1:28" ht="12.75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 spans="1:28" ht="12.75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 spans="1:28" ht="12.75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 spans="1:28" ht="12.75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 spans="1:28" ht="12.75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 spans="1:28" ht="12.75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 spans="1:28" ht="12.75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 spans="1:28" ht="12.75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 spans="1:28" ht="12.75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 spans="1:28" ht="12.75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 spans="1:28" ht="12.75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 spans="1:28" ht="12.75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 spans="1:28" ht="12.75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 spans="1:28" ht="12.75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 spans="1:28" ht="12.75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 spans="1:28" ht="12.75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 spans="1:28" ht="12.75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 spans="1:28" ht="12.75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 spans="1:28" ht="12.75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 spans="1:28" ht="12.75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 spans="1:28" ht="12.75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 spans="1:28" ht="12.75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 spans="1:28" ht="12.75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 spans="1:28" ht="12.75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 spans="1:28" ht="12.75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 spans="1:28" ht="12.75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 spans="1:28" ht="12.75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 spans="1:28" ht="12.75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 spans="1:28" ht="12.75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 spans="1:28" ht="12.75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 spans="1:28" ht="12.75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 spans="1:28" ht="12.75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 spans="1:28" ht="12.75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 spans="1:28" ht="12.75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 spans="1:28" ht="12.75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 spans="1:28" ht="12.75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 spans="1:28" ht="12.75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 spans="1:28" ht="12.75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 spans="1:28" ht="12.75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 spans="1:28" ht="12.75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 spans="1:28" ht="12.75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 spans="1:28" ht="12.75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 spans="1:28" ht="12.75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 spans="1:28" ht="12.75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 spans="1:28" ht="12.75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 spans="1:28" ht="12.75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 spans="1:28" ht="12.75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 spans="1:28" ht="12.75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 spans="1:28" ht="12.75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 spans="1:28" ht="12.75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 spans="1:28" ht="12.75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 spans="1:28" ht="12.75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 spans="1:28" ht="12.75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 spans="1:28" ht="12.75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 spans="1:28" ht="12.75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 spans="1:28" ht="12.75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 spans="1:28" ht="12.75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 spans="1:28" ht="12.75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 spans="1:28" ht="12.75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 spans="1:28" ht="12.75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 spans="1:28" ht="12.75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 spans="1:28" ht="12.75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 spans="1:28" ht="12.75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 spans="1:28" ht="12.75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 spans="1:28" ht="12.75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 spans="1:28" ht="12.75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 spans="1:28" ht="12.75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 spans="1:28" ht="12.75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 spans="1:28" ht="12.75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 spans="1:28" ht="12.75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 spans="1:28" ht="12.75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 spans="1:28" ht="12.75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 spans="1:28" ht="12.75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 spans="1:28" ht="12.75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 spans="1:28" ht="12.75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 spans="1:28" ht="12.75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 spans="1:28" ht="12.75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 spans="1:28" ht="12.75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 spans="1:28" ht="12.75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 spans="1:28" ht="12.75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 spans="1:28" ht="12.75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 spans="1:28" ht="12.75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 spans="1:28" ht="12.75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 spans="1:28" ht="12.75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 spans="1:28" ht="12.75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 spans="1:28" ht="12.75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 spans="1:28" ht="12.75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 spans="1:28" ht="12.75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 spans="1:28" ht="12.75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 spans="1:28" ht="12.75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 spans="1:28" ht="12.75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 spans="1:28" ht="12.75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 spans="1:28" ht="12.75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 spans="1:28" ht="12.75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 spans="1:28" ht="12.75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 spans="1:28" ht="12.75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 spans="1:28" ht="12.75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 spans="1:28" ht="12.75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 spans="1:28" ht="12.75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 spans="1:28" ht="12.75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 spans="1:28" ht="12.75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 spans="1:28" ht="12.75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 spans="1:28" ht="12.75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 spans="1:28" ht="12.75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 spans="1:28" ht="12.75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 spans="1:28" ht="12.75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 spans="1:28" ht="12.75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 spans="1:28" ht="12.75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 spans="1:28" ht="12.75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 spans="1:28" ht="12.75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 spans="1:28" ht="12.75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 spans="1:28" ht="12.75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 spans="1:28" ht="12.75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 spans="1:28" ht="12.75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 spans="1:28" ht="12.75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 spans="1:28" ht="12.75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 spans="1:28" ht="12.75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 spans="1:28" ht="12.75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 spans="1:28" ht="12.75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 spans="1:28" ht="12.75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 spans="1:28" ht="12.75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 spans="1:28" ht="12.75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 spans="1:28" ht="12.75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 spans="1:28" ht="12.75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 spans="1:28" ht="12.75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 spans="1:28" ht="12.75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 spans="1:28" ht="12.75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 spans="1:28" ht="12.75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 spans="1:28" ht="12.75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 spans="1:28" ht="12.75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 spans="1:28" ht="12.75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 spans="1:28" ht="12.75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 spans="1:28" ht="12.75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 spans="1:28" ht="12.75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 spans="1:28" ht="12.75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 spans="1:28" ht="12.75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 spans="1:28" ht="12.75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 spans="1:28" ht="12.75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 spans="1:28" ht="12.75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 spans="1:28" ht="12.75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 spans="1:28" ht="12.75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 spans="1:28" ht="12.75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 spans="1:28" ht="12.75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 spans="1:28" ht="12.75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 spans="1:28" ht="12.75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 spans="1:28" ht="12.75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 spans="1:28" ht="12.75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 spans="1:28" ht="12.75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 spans="1:28" ht="12.75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 spans="1:28" ht="12.75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 spans="1:28" ht="12.75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 spans="1:28" ht="12.75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 spans="1:28" ht="12.75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 spans="1:28" ht="12.75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 spans="1:28" ht="12.75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 spans="1:28" ht="12.75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 spans="1:28" ht="12.75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 spans="1:28" ht="12.75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 spans="1:28" ht="12.75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 spans="1:28" ht="12.75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 spans="1:28" ht="12.75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 spans="1:28" ht="12.75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 spans="1:28" ht="12.75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 spans="1:28" ht="12.75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 spans="1:28" ht="12.75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 spans="1:28" ht="12.75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 spans="1:28" ht="12.75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 spans="1:28" ht="12.75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 spans="1:28" ht="12.75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 spans="1:28" ht="12.75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 spans="1:28" ht="12.75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 spans="1:28" ht="12.75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 spans="1:28" ht="12.75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 spans="1:28" ht="12.75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 spans="1:28" ht="12.75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 spans="1:28" ht="12.75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 spans="1:28" ht="12.75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 spans="1:28" ht="12.75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 spans="1:28" ht="12.75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 spans="1:28" ht="12.75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 spans="1:28" ht="12.75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 spans="1:28" ht="12.75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 spans="1:28" ht="12.75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 spans="1:28" ht="12.75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 spans="1:28" ht="12.75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 spans="1:28" ht="12.75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 spans="1:28" ht="12.75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 spans="1:28" ht="12.75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 spans="1:28" ht="12.75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 spans="1:28" ht="12.75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 spans="1:28" ht="12.75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 spans="1:28" ht="12.75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 spans="1:28" ht="12.75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 spans="1:28" ht="12.75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 spans="1:28" ht="12.75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 spans="1:28" ht="12.75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 spans="1:28" ht="12.75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 spans="1:28" ht="12.75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 spans="1:28" ht="12.75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 spans="1:28" ht="12.75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 spans="1:28" ht="12.75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 spans="1:28" ht="12.75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 spans="1:28" ht="12.75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 spans="1:28" ht="12.75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 spans="1:28" ht="12.75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 spans="1:28" ht="12.75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 spans="1:28" ht="12.75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 spans="1:28" ht="12.75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 spans="1:28" ht="12.75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 spans="1:28" ht="12.75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 spans="1:28" ht="12.75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 spans="1:28" ht="12.75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 spans="1:28" ht="12.75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 spans="1:28" ht="12.75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 spans="1:28" ht="12.75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 spans="1:28" ht="12.75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 spans="1:28" ht="12.75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 spans="1:28" ht="12.75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 spans="1:28" ht="12.75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 spans="1:28" ht="12.75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 spans="1:28" ht="12.75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 spans="1:28" ht="12.75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 spans="1:28" ht="12.75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 spans="1:28" ht="12.75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 spans="1:28" ht="12.75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 spans="1:28" ht="12.75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 spans="1:28" ht="12.75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 spans="1:28" ht="12.75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 spans="1:28" ht="12.75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 spans="1:28" ht="12.75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 spans="1:28" ht="12.75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 spans="1:28" ht="12.75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 spans="1:28" ht="12.75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 spans="1:28" ht="12.75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 spans="1:28" ht="12.75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 spans="1:28" ht="12.75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 spans="1:28" ht="12.75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 spans="1:28" ht="12.75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 spans="1:28" ht="12.75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 spans="1:28" ht="12.75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 spans="1:28" ht="12.75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 spans="1:28" ht="12.75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 spans="1:28" ht="12.75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 spans="1:28" ht="12.75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</row>
    <row r="992" spans="1:28" ht="12.75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</row>
    <row r="993" spans="1:28" ht="12.75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</row>
    <row r="994" spans="1:28" ht="12.75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</row>
    <row r="995" spans="1:28" ht="12.75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</row>
    <row r="996" spans="1:28" ht="12.75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</row>
    <row r="997" spans="1:28" ht="12.75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</row>
    <row r="998" spans="1:28" ht="12.75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</row>
    <row r="999" spans="1:28" ht="12.75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</row>
    <row r="1000" spans="1:28" ht="12.75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</row>
    <row r="1001" spans="1:28" ht="12.75" x14ac:dyDescent="0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</row>
    <row r="1002" spans="1:28" ht="12.75" x14ac:dyDescent="0.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</row>
  </sheetData>
  <mergeCells count="20">
    <mergeCell ref="B22:E22"/>
    <mergeCell ref="F22:G22"/>
    <mergeCell ref="Q7:T15"/>
    <mergeCell ref="O11:P11"/>
    <mergeCell ref="E12:F12"/>
    <mergeCell ref="O12:P12"/>
    <mergeCell ref="C14:C16"/>
    <mergeCell ref="D14:D16"/>
    <mergeCell ref="B18:H18"/>
    <mergeCell ref="W5:X5"/>
    <mergeCell ref="B20:E20"/>
    <mergeCell ref="F20:G21"/>
    <mergeCell ref="H20:H21"/>
    <mergeCell ref="B21:E21"/>
    <mergeCell ref="B1:H1"/>
    <mergeCell ref="B3:D4"/>
    <mergeCell ref="F3:H3"/>
    <mergeCell ref="V3:X3"/>
    <mergeCell ref="F4:H4"/>
    <mergeCell ref="W4:X4"/>
  </mergeCells>
  <dataValidations count="1">
    <dataValidation type="list" allowBlank="1" sqref="C12">
      <formula1>$V$4:$V$5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Z1002"/>
  <sheetViews>
    <sheetView workbookViewId="0"/>
  </sheetViews>
  <sheetFormatPr baseColWidth="10" defaultColWidth="14.42578125" defaultRowHeight="15.75" customHeight="1" x14ac:dyDescent="0.2"/>
  <cols>
    <col min="1" max="1" width="2.85546875" customWidth="1"/>
    <col min="2" max="2" width="29.28515625" customWidth="1"/>
    <col min="3" max="3" width="18.28515625" customWidth="1"/>
  </cols>
  <sheetData>
    <row r="1" spans="1:2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92" t="s">
        <v>77</v>
      </c>
      <c r="C2" s="92"/>
      <c r="D2" s="92"/>
      <c r="E2" s="9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168" t="s">
        <v>78</v>
      </c>
      <c r="C3" s="144"/>
      <c r="D3" s="144"/>
      <c r="E3" s="14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92" t="s">
        <v>79</v>
      </c>
      <c r="C4" s="93" t="s">
        <v>80</v>
      </c>
      <c r="D4" s="94">
        <v>0.1</v>
      </c>
      <c r="E4" s="95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96" t="s">
        <v>81</v>
      </c>
      <c r="C5" s="97" t="s">
        <v>82</v>
      </c>
      <c r="D5" s="98">
        <v>500</v>
      </c>
      <c r="E5" s="99" t="s">
        <v>83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92" t="s">
        <v>84</v>
      </c>
      <c r="C6" s="93" t="s">
        <v>25</v>
      </c>
      <c r="D6" s="100">
        <f>ROUND(1/(2*PI()*SQRT(D4*D5)),4)</f>
        <v>2.2499999999999999E-2</v>
      </c>
      <c r="E6" s="95" t="s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130" t="s">
        <v>85</v>
      </c>
      <c r="C7" s="131"/>
      <c r="D7" s="131"/>
      <c r="E7" s="13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169" t="s">
        <v>86</v>
      </c>
      <c r="C10" s="131"/>
      <c r="D10" s="131"/>
      <c r="E10" s="1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101" t="s">
        <v>87</v>
      </c>
      <c r="C12" s="93" t="s">
        <v>25</v>
      </c>
      <c r="D12" s="102">
        <f>((1/(2*PI()))^2)/(D14^2*D13)</f>
        <v>1.0132118364233779E-4</v>
      </c>
      <c r="E12" s="103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96" t="s">
        <v>79</v>
      </c>
      <c r="C13" s="97" t="s">
        <v>80</v>
      </c>
      <c r="D13" s="104">
        <v>0.1</v>
      </c>
      <c r="E13" s="99" t="s">
        <v>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92" t="s">
        <v>83</v>
      </c>
      <c r="C14" s="93" t="s">
        <v>62</v>
      </c>
      <c r="D14" s="105">
        <v>50</v>
      </c>
      <c r="E14" s="95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">
    <mergeCell ref="B3:E3"/>
    <mergeCell ref="B7:E7"/>
    <mergeCell ref="B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B1003"/>
  <sheetViews>
    <sheetView workbookViewId="0"/>
  </sheetViews>
  <sheetFormatPr baseColWidth="10" defaultColWidth="14.42578125" defaultRowHeight="15.75" customHeight="1" x14ac:dyDescent="0.2"/>
  <cols>
    <col min="1" max="1" width="2.140625" customWidth="1"/>
    <col min="2" max="2" width="38.42578125" customWidth="1"/>
    <col min="4" max="4" width="9.85546875" customWidth="1"/>
    <col min="5" max="5" width="4" customWidth="1"/>
    <col min="6" max="6" width="24.28515625" customWidth="1"/>
    <col min="9" max="9" width="3.85546875" customWidth="1"/>
    <col min="10" max="10" width="5.5703125" customWidth="1"/>
    <col min="11" max="11" width="5.42578125" customWidth="1"/>
    <col min="12" max="12" width="7.5703125" customWidth="1"/>
    <col min="13" max="13" width="3.140625" customWidth="1"/>
    <col min="14" max="14" width="7" customWidth="1"/>
    <col min="15" max="15" width="5.42578125" customWidth="1"/>
    <col min="16" max="16" width="6.5703125" customWidth="1"/>
    <col min="17" max="17" width="3.7109375" customWidth="1"/>
    <col min="18" max="18" width="2" customWidth="1"/>
    <col min="19" max="19" width="7.7109375" customWidth="1"/>
  </cols>
  <sheetData>
    <row r="1" spans="1:28" x14ac:dyDescent="0.2">
      <c r="A1" s="106"/>
      <c r="B1" s="170" t="s">
        <v>49</v>
      </c>
      <c r="C1" s="144"/>
      <c r="D1" s="144"/>
      <c r="E1" s="144"/>
      <c r="F1" s="144"/>
      <c r="G1" s="144"/>
      <c r="H1" s="145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1:28" x14ac:dyDescent="0.2">
      <c r="A2" s="106"/>
      <c r="B2" s="107"/>
      <c r="C2" s="107"/>
      <c r="D2" s="107"/>
      <c r="E2" s="107"/>
      <c r="F2" s="107"/>
      <c r="G2" s="107"/>
      <c r="H2" s="107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07"/>
      <c r="X2" s="107"/>
      <c r="Y2" s="106"/>
      <c r="Z2" s="106"/>
      <c r="AA2" s="106"/>
      <c r="AB2" s="106"/>
    </row>
    <row r="3" spans="1:28" x14ac:dyDescent="0.2">
      <c r="A3" s="106"/>
      <c r="B3" s="171" t="s">
        <v>50</v>
      </c>
      <c r="C3" s="139"/>
      <c r="D3" s="140"/>
      <c r="E3" s="107"/>
      <c r="F3" s="146"/>
      <c r="G3" s="144"/>
      <c r="H3" s="145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46" t="s">
        <v>52</v>
      </c>
      <c r="W3" s="144"/>
      <c r="X3" s="145"/>
      <c r="Y3" s="106"/>
      <c r="Z3" s="106"/>
      <c r="AA3" s="106"/>
      <c r="AB3" s="106"/>
    </row>
    <row r="4" spans="1:28" x14ac:dyDescent="0.2">
      <c r="A4" s="106"/>
      <c r="B4" s="150"/>
      <c r="C4" s="141"/>
      <c r="D4" s="142"/>
      <c r="E4" s="107"/>
      <c r="F4" s="146" t="s">
        <v>88</v>
      </c>
      <c r="G4" s="144"/>
      <c r="H4" s="145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8" t="s">
        <v>54</v>
      </c>
      <c r="W4" s="147">
        <f>SQRT(3)</f>
        <v>1.7320508075688772</v>
      </c>
      <c r="X4" s="145"/>
      <c r="Y4" s="106"/>
      <c r="Z4" s="106"/>
      <c r="AA4" s="106"/>
      <c r="AB4" s="106"/>
    </row>
    <row r="5" spans="1:28" x14ac:dyDescent="0.2">
      <c r="A5" s="106"/>
      <c r="B5" s="109" t="s">
        <v>89</v>
      </c>
      <c r="C5" s="110">
        <f>ROUND(IF(C13=V4,(C9/(C12*C11*W4)),(C9/(C12*C11))),4)</f>
        <v>0.86960000000000004</v>
      </c>
      <c r="D5" s="111">
        <f>ROUND((C12*C11)/C9,4)</f>
        <v>1.1499999999999999</v>
      </c>
      <c r="E5" s="107"/>
      <c r="F5" s="112" t="s">
        <v>56</v>
      </c>
      <c r="G5" s="113">
        <v>1</v>
      </c>
      <c r="H5" s="107"/>
      <c r="I5" s="106"/>
      <c r="J5" s="106"/>
      <c r="K5" s="114" t="s">
        <v>63</v>
      </c>
      <c r="L5" s="106"/>
      <c r="M5" s="106"/>
      <c r="N5" s="114" t="s">
        <v>90</v>
      </c>
      <c r="O5" s="106"/>
      <c r="P5" s="106"/>
      <c r="Q5" s="106"/>
      <c r="R5" s="106"/>
      <c r="S5" s="106"/>
      <c r="T5" s="106"/>
      <c r="U5" s="106"/>
      <c r="V5" s="108" t="s">
        <v>57</v>
      </c>
      <c r="W5" s="147">
        <v>1</v>
      </c>
      <c r="X5" s="145"/>
      <c r="Y5" s="106"/>
      <c r="Z5" s="106"/>
      <c r="AA5" s="106"/>
      <c r="AB5" s="106"/>
    </row>
    <row r="6" spans="1:28" x14ac:dyDescent="0.2">
      <c r="A6" s="106"/>
      <c r="B6" s="109" t="s">
        <v>58</v>
      </c>
      <c r="C6" s="115">
        <f>ROUND(ACOS(C5)*180/PI(),4)</f>
        <v>29.587800000000001</v>
      </c>
      <c r="D6" s="111" t="s">
        <v>40</v>
      </c>
      <c r="E6" s="107"/>
      <c r="F6" s="112" t="s">
        <v>58</v>
      </c>
      <c r="G6" s="111">
        <f>ROUND(ACOS(G5)*180/PI(),4)</f>
        <v>0</v>
      </c>
      <c r="H6" s="111" t="s">
        <v>40</v>
      </c>
      <c r="I6" s="106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106"/>
      <c r="V6" s="106"/>
      <c r="W6" s="106"/>
      <c r="X6" s="106"/>
      <c r="Y6" s="106"/>
      <c r="Z6" s="106"/>
      <c r="AA6" s="106"/>
      <c r="AB6" s="106"/>
    </row>
    <row r="7" spans="1:28" x14ac:dyDescent="0.2">
      <c r="A7" s="106"/>
      <c r="B7" s="109" t="s">
        <v>59</v>
      </c>
      <c r="C7" s="116">
        <f>ROUND(TAN(ACOS(C5)*180/PI()*PI()/180),4)</f>
        <v>0.56779999999999997</v>
      </c>
      <c r="D7" s="111"/>
      <c r="E7" s="107"/>
      <c r="F7" s="112" t="s">
        <v>59</v>
      </c>
      <c r="G7" s="111">
        <f>ROUND(TAN(ACOS(G5)*180/PI()*PI()/180),4)</f>
        <v>0</v>
      </c>
      <c r="H7" s="111"/>
      <c r="I7" s="106"/>
      <c r="J7" s="55"/>
      <c r="K7" s="66">
        <f>C11</f>
        <v>10</v>
      </c>
      <c r="L7" s="67" t="s">
        <v>35</v>
      </c>
      <c r="M7" s="66"/>
      <c r="N7" s="68">
        <f>G17</f>
        <v>8.695652173913043</v>
      </c>
      <c r="O7" s="69" t="s">
        <v>35</v>
      </c>
      <c r="P7" s="55"/>
      <c r="Q7" s="55"/>
      <c r="R7" s="55"/>
      <c r="S7" s="55"/>
      <c r="T7" s="55"/>
      <c r="U7" s="106"/>
      <c r="V7" s="106"/>
      <c r="W7" s="106"/>
      <c r="X7" s="106"/>
      <c r="Y7" s="106"/>
      <c r="Z7" s="106"/>
      <c r="AA7" s="106"/>
      <c r="AB7" s="106"/>
    </row>
    <row r="8" spans="1:28" x14ac:dyDescent="0.2">
      <c r="A8" s="106"/>
      <c r="B8" s="109" t="s">
        <v>91</v>
      </c>
      <c r="C8" s="117">
        <f>SIN(ACOS(C5)*180/PI()*PI()/180)</f>
        <v>0.4937568632434387</v>
      </c>
      <c r="D8" s="111"/>
      <c r="E8" s="106"/>
      <c r="F8" s="107"/>
      <c r="G8" s="106"/>
      <c r="H8" s="106"/>
      <c r="I8" s="106"/>
      <c r="J8" s="55"/>
      <c r="K8" s="66"/>
      <c r="L8" s="66"/>
      <c r="M8" s="66"/>
      <c r="N8" s="70"/>
      <c r="O8" s="70"/>
      <c r="P8" s="155" t="str">
        <f>" CARGA Z = φ "&amp;C6</f>
        <v xml:space="preserve"> CARGA Z = φ 29,5878</v>
      </c>
      <c r="Q8" s="156"/>
      <c r="R8" s="156"/>
      <c r="S8" s="157"/>
      <c r="T8" s="55"/>
      <c r="U8" s="106"/>
      <c r="V8" s="106"/>
      <c r="W8" s="106"/>
      <c r="X8" s="106"/>
      <c r="Y8" s="106"/>
      <c r="Z8" s="106"/>
      <c r="AA8" s="106"/>
      <c r="AB8" s="106"/>
    </row>
    <row r="9" spans="1:28" x14ac:dyDescent="0.2">
      <c r="A9" s="106"/>
      <c r="B9" s="118" t="s">
        <v>92</v>
      </c>
      <c r="C9" s="113">
        <v>2000</v>
      </c>
      <c r="D9" s="111" t="s">
        <v>61</v>
      </c>
      <c r="E9" s="106"/>
      <c r="F9" s="107"/>
      <c r="G9" s="106"/>
      <c r="H9" s="106"/>
      <c r="I9" s="106"/>
      <c r="J9" s="55"/>
      <c r="K9" s="72"/>
      <c r="L9" s="72"/>
      <c r="M9" s="72"/>
      <c r="N9" s="73"/>
      <c r="O9" s="73"/>
      <c r="P9" s="158"/>
      <c r="Q9" s="131"/>
      <c r="R9" s="131"/>
      <c r="S9" s="159"/>
      <c r="T9" s="55"/>
      <c r="U9" s="106"/>
      <c r="V9" s="106"/>
      <c r="W9" s="106"/>
      <c r="X9" s="106"/>
      <c r="Y9" s="106"/>
      <c r="Z9" s="106"/>
      <c r="AA9" s="106"/>
      <c r="AB9" s="106"/>
    </row>
    <row r="10" spans="1:28" x14ac:dyDescent="0.2">
      <c r="A10" s="106"/>
      <c r="B10" s="109" t="s">
        <v>62</v>
      </c>
      <c r="C10" s="113">
        <v>50</v>
      </c>
      <c r="D10" s="111" t="s">
        <v>2</v>
      </c>
      <c r="E10" s="106"/>
      <c r="G10" s="106"/>
      <c r="H10" s="106"/>
      <c r="I10" s="106"/>
      <c r="J10" s="55"/>
      <c r="K10" s="74"/>
      <c r="L10" s="75"/>
      <c r="M10" s="75"/>
      <c r="N10" s="76"/>
      <c r="O10" s="77"/>
      <c r="P10" s="158"/>
      <c r="Q10" s="131"/>
      <c r="R10" s="131"/>
      <c r="S10" s="159"/>
      <c r="T10" s="55"/>
      <c r="U10" s="106"/>
      <c r="V10" s="106"/>
      <c r="W10" s="106"/>
      <c r="X10" s="106"/>
      <c r="Y10" s="106"/>
      <c r="Z10" s="106"/>
      <c r="AA10" s="106"/>
      <c r="AB10" s="106"/>
    </row>
    <row r="11" spans="1:28" x14ac:dyDescent="0.2">
      <c r="A11" s="106"/>
      <c r="B11" s="109" t="s">
        <v>63</v>
      </c>
      <c r="C11" s="119">
        <v>10</v>
      </c>
      <c r="D11" s="111" t="s">
        <v>35</v>
      </c>
      <c r="E11" s="107"/>
      <c r="G11" s="106"/>
      <c r="H11" s="106"/>
      <c r="I11" s="106"/>
      <c r="J11" s="55"/>
      <c r="K11" s="66"/>
      <c r="L11" s="66"/>
      <c r="M11" s="78"/>
      <c r="N11" s="79"/>
      <c r="O11" s="80"/>
      <c r="P11" s="158"/>
      <c r="Q11" s="131"/>
      <c r="R11" s="131"/>
      <c r="S11" s="159"/>
      <c r="T11" s="55"/>
      <c r="U11" s="106"/>
      <c r="V11" s="106"/>
      <c r="W11" s="106"/>
      <c r="X11" s="106"/>
      <c r="Y11" s="106"/>
      <c r="Z11" s="106"/>
      <c r="AA11" s="106"/>
      <c r="AB11" s="106"/>
    </row>
    <row r="12" spans="1:28" x14ac:dyDescent="0.2">
      <c r="A12" s="106"/>
      <c r="B12" s="109" t="s">
        <v>64</v>
      </c>
      <c r="C12" s="119">
        <v>230</v>
      </c>
      <c r="D12" s="111" t="s">
        <v>18</v>
      </c>
      <c r="E12" s="107"/>
      <c r="F12" s="107"/>
      <c r="G12" s="106"/>
      <c r="H12" s="106"/>
      <c r="I12" s="106"/>
      <c r="J12" s="55"/>
      <c r="K12" s="66"/>
      <c r="L12" s="66"/>
      <c r="M12" s="66"/>
      <c r="N12" s="163">
        <f>E21</f>
        <v>0</v>
      </c>
      <c r="O12" s="159"/>
      <c r="P12" s="158"/>
      <c r="Q12" s="131"/>
      <c r="R12" s="131"/>
      <c r="S12" s="159"/>
      <c r="T12" s="55"/>
      <c r="U12" s="106"/>
      <c r="V12" s="106"/>
      <c r="W12" s="106"/>
      <c r="X12" s="106"/>
      <c r="Y12" s="106"/>
      <c r="Z12" s="106"/>
      <c r="AA12" s="106"/>
      <c r="AB12" s="106"/>
    </row>
    <row r="13" spans="1:28" x14ac:dyDescent="0.2">
      <c r="A13" s="106"/>
      <c r="B13" s="109" t="s">
        <v>65</v>
      </c>
      <c r="C13" s="119" t="s">
        <v>57</v>
      </c>
      <c r="D13" s="111"/>
      <c r="E13" s="147">
        <v>1</v>
      </c>
      <c r="F13" s="145"/>
      <c r="G13" s="106"/>
      <c r="H13" s="106"/>
      <c r="I13" s="106"/>
      <c r="J13" s="55"/>
      <c r="K13" s="82"/>
      <c r="L13" s="83"/>
      <c r="M13" s="83"/>
      <c r="N13" s="164" t="s">
        <v>66</v>
      </c>
      <c r="O13" s="162"/>
      <c r="P13" s="158"/>
      <c r="Q13" s="131"/>
      <c r="R13" s="131"/>
      <c r="S13" s="159"/>
      <c r="T13" s="55"/>
      <c r="U13" s="106"/>
      <c r="V13" s="106"/>
      <c r="W13" s="106"/>
      <c r="X13" s="106"/>
      <c r="Y13" s="106"/>
      <c r="Z13" s="106"/>
      <c r="AA13" s="106"/>
      <c r="AB13" s="106"/>
    </row>
    <row r="14" spans="1:28" x14ac:dyDescent="0.2">
      <c r="A14" s="106"/>
      <c r="B14" s="106"/>
      <c r="C14" s="107"/>
      <c r="D14" s="106"/>
      <c r="E14" s="107"/>
      <c r="F14" s="107"/>
      <c r="G14" s="107"/>
      <c r="H14" s="107"/>
      <c r="I14" s="106"/>
      <c r="J14" s="55"/>
      <c r="K14" s="55"/>
      <c r="L14" s="55"/>
      <c r="M14" s="55"/>
      <c r="N14" s="55"/>
      <c r="O14" s="55"/>
      <c r="P14" s="158"/>
      <c r="Q14" s="131"/>
      <c r="R14" s="131"/>
      <c r="S14" s="159"/>
      <c r="T14" s="55"/>
      <c r="U14" s="106"/>
      <c r="V14" s="106"/>
      <c r="W14" s="106"/>
      <c r="X14" s="106"/>
      <c r="Y14" s="106"/>
      <c r="Z14" s="106"/>
      <c r="AA14" s="106"/>
      <c r="AB14" s="106"/>
    </row>
    <row r="15" spans="1:28" x14ac:dyDescent="0.2">
      <c r="A15" s="106"/>
      <c r="B15" s="120" t="s">
        <v>93</v>
      </c>
      <c r="C15" s="165">
        <f>IF(C13=V4,C12*C11*SIN(ACOS(C5)*180/PI()*PI()/180)*W4,C12*C11*SIN(ACOS(C5)*180/PI()*PI()/180))</f>
        <v>1135.640785459909</v>
      </c>
      <c r="D15" s="151" t="s">
        <v>45</v>
      </c>
      <c r="E15" s="107"/>
      <c r="F15" s="120" t="s">
        <v>69</v>
      </c>
      <c r="G15" s="121">
        <f>C9/G5</f>
        <v>2000</v>
      </c>
      <c r="H15" s="120" t="s">
        <v>48</v>
      </c>
      <c r="I15" s="106"/>
      <c r="J15" s="55"/>
      <c r="K15" s="55"/>
      <c r="L15" s="55"/>
      <c r="M15" s="55"/>
      <c r="N15" s="55"/>
      <c r="O15" s="55"/>
      <c r="P15" s="158"/>
      <c r="Q15" s="131"/>
      <c r="R15" s="131"/>
      <c r="S15" s="159"/>
      <c r="T15" s="55"/>
      <c r="U15" s="106"/>
      <c r="V15" s="106"/>
      <c r="W15" s="106"/>
      <c r="X15" s="106"/>
      <c r="Y15" s="106"/>
      <c r="Z15" s="106"/>
      <c r="AA15" s="106"/>
      <c r="AB15" s="106"/>
    </row>
    <row r="16" spans="1:28" x14ac:dyDescent="0.2">
      <c r="A16" s="106"/>
      <c r="B16" s="122" t="s">
        <v>94</v>
      </c>
      <c r="C16" s="166"/>
      <c r="D16" s="166"/>
      <c r="E16" s="107"/>
      <c r="F16" s="123" t="s">
        <v>70</v>
      </c>
      <c r="G16" s="124">
        <f>SQRT(G15^2-C9^2)</f>
        <v>0</v>
      </c>
      <c r="H16" s="123" t="s">
        <v>45</v>
      </c>
      <c r="I16" s="106"/>
      <c r="J16" s="55"/>
      <c r="K16" s="55"/>
      <c r="L16" s="55"/>
      <c r="M16" s="55"/>
      <c r="N16" s="55"/>
      <c r="O16" s="55"/>
      <c r="P16" s="160"/>
      <c r="Q16" s="161"/>
      <c r="R16" s="161"/>
      <c r="S16" s="162"/>
      <c r="T16" s="55"/>
      <c r="U16" s="106"/>
      <c r="V16" s="106"/>
      <c r="W16" s="106"/>
      <c r="X16" s="106"/>
      <c r="Y16" s="106"/>
      <c r="Z16" s="106"/>
      <c r="AA16" s="106"/>
      <c r="AB16" s="106"/>
    </row>
    <row r="17" spans="1:28" x14ac:dyDescent="0.2">
      <c r="A17" s="106"/>
      <c r="B17" s="122" t="s">
        <v>71</v>
      </c>
      <c r="C17" s="152"/>
      <c r="D17" s="152"/>
      <c r="E17" s="107"/>
      <c r="F17" s="120" t="s">
        <v>72</v>
      </c>
      <c r="G17" s="125">
        <f>IF(C13=V4,G15/C12,G15/C12)</f>
        <v>8.695652173913043</v>
      </c>
      <c r="H17" s="120" t="s">
        <v>35</v>
      </c>
      <c r="I17" s="106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106"/>
      <c r="V17" s="106"/>
      <c r="W17" s="106"/>
      <c r="X17" s="106"/>
      <c r="Y17" s="106"/>
      <c r="Z17" s="106"/>
      <c r="AA17" s="106"/>
      <c r="AB17" s="106"/>
    </row>
    <row r="18" spans="1:28" x14ac:dyDescent="0.2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</row>
    <row r="19" spans="1:28" x14ac:dyDescent="0.2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</row>
    <row r="20" spans="1:28" x14ac:dyDescent="0.2">
      <c r="A20" s="106"/>
      <c r="B20" s="146" t="s">
        <v>73</v>
      </c>
      <c r="C20" s="144"/>
      <c r="D20" s="144"/>
      <c r="E20" s="144"/>
      <c r="F20" s="144"/>
      <c r="G20" s="144"/>
      <c r="H20" s="145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</row>
    <row r="21" spans="1:28" x14ac:dyDescent="0.2">
      <c r="A21" s="106"/>
      <c r="B21" s="107"/>
      <c r="C21" s="107"/>
      <c r="D21" s="107"/>
      <c r="E21" s="107"/>
      <c r="F21" s="107"/>
      <c r="G21" s="107"/>
      <c r="H21" s="107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</row>
    <row r="22" spans="1:28" x14ac:dyDescent="0.2">
      <c r="A22" s="106"/>
      <c r="B22" s="172" t="s">
        <v>74</v>
      </c>
      <c r="C22" s="144"/>
      <c r="D22" s="144"/>
      <c r="E22" s="145"/>
      <c r="F22" s="173">
        <f>C9*(C7-G7)</f>
        <v>1135.5999999999999</v>
      </c>
      <c r="G22" s="140"/>
      <c r="H22" s="151" t="s">
        <v>66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</row>
    <row r="23" spans="1:28" x14ac:dyDescent="0.2">
      <c r="A23" s="106"/>
      <c r="B23" s="172" t="str">
        <f>F9&amp; " * " &amp;"( "&amp;F7&amp; " - "&amp;J7&amp;" )"</f>
        <v xml:space="preserve"> * ( Tgφ -  )</v>
      </c>
      <c r="C23" s="144"/>
      <c r="D23" s="144"/>
      <c r="E23" s="145"/>
      <c r="F23" s="150"/>
      <c r="G23" s="142"/>
      <c r="H23" s="152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</row>
    <row r="24" spans="1:28" x14ac:dyDescent="0.2">
      <c r="A24" s="106"/>
      <c r="B24" s="154" t="s">
        <v>75</v>
      </c>
      <c r="C24" s="144"/>
      <c r="D24" s="144"/>
      <c r="E24" s="145"/>
      <c r="F24" s="154">
        <f>ROUND((F22*10^9)/(2*PI()*C10*C12^2),2)</f>
        <v>68331.320000000007</v>
      </c>
      <c r="G24" s="145"/>
      <c r="H24" s="126" t="s">
        <v>76</v>
      </c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</row>
    <row r="25" spans="1:28" x14ac:dyDescent="0.2">
      <c r="A25" s="107"/>
      <c r="B25" s="172" t="s">
        <v>95</v>
      </c>
      <c r="C25" s="144"/>
      <c r="D25" s="144"/>
      <c r="E25" s="144"/>
      <c r="F25" s="145"/>
      <c r="G25" s="125">
        <f>F22/C12</f>
        <v>4.9373913043478259</v>
      </c>
      <c r="H25" s="120" t="s">
        <v>35</v>
      </c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</row>
    <row r="26" spans="1:28" x14ac:dyDescent="0.2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</row>
    <row r="27" spans="1:28" x14ac:dyDescent="0.2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</row>
    <row r="28" spans="1:28" x14ac:dyDescent="0.2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</row>
    <row r="29" spans="1:28" x14ac:dyDescent="0.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</row>
    <row r="30" spans="1:28" x14ac:dyDescent="0.2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</row>
    <row r="31" spans="1:28" x14ac:dyDescent="0.2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</row>
    <row r="32" spans="1:28" x14ac:dyDescent="0.2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</row>
    <row r="33" spans="1:28" x14ac:dyDescent="0.2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</row>
    <row r="34" spans="1:28" x14ac:dyDescent="0.2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</row>
    <row r="35" spans="1:28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</row>
    <row r="36" spans="1:28" x14ac:dyDescent="0.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</row>
    <row r="37" spans="1:28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</row>
    <row r="38" spans="1:28" x14ac:dyDescent="0.2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</row>
    <row r="39" spans="1:28" x14ac:dyDescent="0.2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</row>
    <row r="40" spans="1:28" x14ac:dyDescent="0.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</row>
    <row r="41" spans="1:28" x14ac:dyDescent="0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</row>
    <row r="42" spans="1:28" x14ac:dyDescent="0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</row>
    <row r="43" spans="1:28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</row>
    <row r="44" spans="1:28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</row>
    <row r="45" spans="1:28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</row>
    <row r="46" spans="1:28" x14ac:dyDescent="0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</row>
    <row r="47" spans="1:28" x14ac:dyDescent="0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</row>
    <row r="48" spans="1:28" x14ac:dyDescent="0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</row>
    <row r="49" spans="1:28" x14ac:dyDescent="0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</row>
    <row r="50" spans="1:28" x14ac:dyDescent="0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</row>
    <row r="51" spans="1:28" x14ac:dyDescent="0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</row>
    <row r="52" spans="1:28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</row>
    <row r="53" spans="1:28" x14ac:dyDescent="0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</row>
    <row r="54" spans="1:28" x14ac:dyDescent="0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</row>
    <row r="55" spans="1:28" x14ac:dyDescent="0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</row>
    <row r="56" spans="1:28" x14ac:dyDescent="0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</row>
    <row r="57" spans="1:28" x14ac:dyDescent="0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</row>
    <row r="58" spans="1:28" x14ac:dyDescent="0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</row>
    <row r="59" spans="1:28" x14ac:dyDescent="0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</row>
    <row r="60" spans="1:28" x14ac:dyDescent="0.2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</row>
    <row r="61" spans="1:28" x14ac:dyDescent="0.2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</row>
    <row r="62" spans="1:28" x14ac:dyDescent="0.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</row>
    <row r="63" spans="1:28" x14ac:dyDescent="0.2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</row>
    <row r="64" spans="1:28" x14ac:dyDescent="0.2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</row>
    <row r="65" spans="1:28" x14ac:dyDescent="0.2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</row>
    <row r="66" spans="1:28" x14ac:dyDescent="0.2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</row>
    <row r="67" spans="1:28" x14ac:dyDescent="0.2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</row>
    <row r="68" spans="1:28" x14ac:dyDescent="0.2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</row>
    <row r="69" spans="1:28" x14ac:dyDescent="0.2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</row>
    <row r="70" spans="1:28" x14ac:dyDescent="0.2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</row>
    <row r="71" spans="1:28" x14ac:dyDescent="0.2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</row>
    <row r="72" spans="1:28" x14ac:dyDescent="0.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</row>
    <row r="73" spans="1:28" x14ac:dyDescent="0.2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</row>
    <row r="74" spans="1:28" x14ac:dyDescent="0.2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</row>
    <row r="75" spans="1:28" x14ac:dyDescent="0.2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</row>
    <row r="76" spans="1:28" x14ac:dyDescent="0.2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</row>
    <row r="77" spans="1:28" x14ac:dyDescent="0.2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</row>
    <row r="78" spans="1:28" x14ac:dyDescent="0.2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</row>
    <row r="79" spans="1:28" x14ac:dyDescent="0.2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</row>
    <row r="80" spans="1:28" x14ac:dyDescent="0.2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</row>
    <row r="81" spans="1:28" x14ac:dyDescent="0.2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</row>
    <row r="82" spans="1:28" x14ac:dyDescent="0.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</row>
    <row r="83" spans="1:28" x14ac:dyDescent="0.2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</row>
    <row r="84" spans="1:28" x14ac:dyDescent="0.2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</row>
    <row r="85" spans="1:28" x14ac:dyDescent="0.2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</row>
    <row r="86" spans="1:28" x14ac:dyDescent="0.2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</row>
    <row r="87" spans="1:28" x14ac:dyDescent="0.2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</row>
    <row r="88" spans="1:28" x14ac:dyDescent="0.2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</row>
    <row r="89" spans="1:28" x14ac:dyDescent="0.2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</row>
    <row r="90" spans="1:28" x14ac:dyDescent="0.2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</row>
    <row r="91" spans="1:28" x14ac:dyDescent="0.2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</row>
    <row r="92" spans="1:28" x14ac:dyDescent="0.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</row>
    <row r="93" spans="1:28" x14ac:dyDescent="0.2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</row>
    <row r="94" spans="1:28" x14ac:dyDescent="0.2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</row>
    <row r="95" spans="1:28" x14ac:dyDescent="0.2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</row>
    <row r="96" spans="1:28" x14ac:dyDescent="0.2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</row>
    <row r="97" spans="1:28" x14ac:dyDescent="0.2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</row>
    <row r="98" spans="1:28" x14ac:dyDescent="0.2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</row>
    <row r="99" spans="1:28" x14ac:dyDescent="0.2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</row>
    <row r="100" spans="1:28" x14ac:dyDescent="0.2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</row>
    <row r="101" spans="1:28" x14ac:dyDescent="0.2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</row>
    <row r="102" spans="1:28" x14ac:dyDescent="0.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</row>
    <row r="103" spans="1:28" x14ac:dyDescent="0.2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</row>
    <row r="104" spans="1:28" x14ac:dyDescent="0.2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</row>
    <row r="105" spans="1:28" x14ac:dyDescent="0.2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</row>
    <row r="106" spans="1:28" x14ac:dyDescent="0.2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</row>
    <row r="107" spans="1:28" x14ac:dyDescent="0.2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</row>
    <row r="108" spans="1:28" x14ac:dyDescent="0.2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</row>
    <row r="109" spans="1:28" x14ac:dyDescent="0.2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</row>
    <row r="110" spans="1:28" x14ac:dyDescent="0.2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</row>
    <row r="111" spans="1:28" x14ac:dyDescent="0.2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</row>
    <row r="112" spans="1:28" x14ac:dyDescent="0.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</row>
    <row r="113" spans="1:28" x14ac:dyDescent="0.2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</row>
    <row r="114" spans="1:28" x14ac:dyDescent="0.2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</row>
    <row r="115" spans="1:28" x14ac:dyDescent="0.2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</row>
    <row r="116" spans="1:28" x14ac:dyDescent="0.2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</row>
    <row r="117" spans="1:28" x14ac:dyDescent="0.2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</row>
    <row r="118" spans="1:28" x14ac:dyDescent="0.2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</row>
    <row r="119" spans="1:28" x14ac:dyDescent="0.2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</row>
    <row r="120" spans="1:28" x14ac:dyDescent="0.2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</row>
    <row r="121" spans="1:28" x14ac:dyDescent="0.2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</row>
    <row r="122" spans="1:28" x14ac:dyDescent="0.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</row>
    <row r="123" spans="1:28" x14ac:dyDescent="0.2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</row>
    <row r="124" spans="1:28" x14ac:dyDescent="0.2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</row>
    <row r="125" spans="1:28" x14ac:dyDescent="0.2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</row>
    <row r="126" spans="1:28" x14ac:dyDescent="0.2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</row>
    <row r="127" spans="1:28" x14ac:dyDescent="0.2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</row>
    <row r="128" spans="1:28" x14ac:dyDescent="0.2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</row>
    <row r="129" spans="1:28" x14ac:dyDescent="0.2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</row>
    <row r="130" spans="1:28" x14ac:dyDescent="0.2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</row>
    <row r="131" spans="1:28" x14ac:dyDescent="0.2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</row>
    <row r="132" spans="1:28" x14ac:dyDescent="0.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</row>
    <row r="133" spans="1:28" x14ac:dyDescent="0.2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</row>
    <row r="134" spans="1:28" x14ac:dyDescent="0.2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</row>
    <row r="135" spans="1:28" x14ac:dyDescent="0.2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</row>
    <row r="136" spans="1:28" x14ac:dyDescent="0.2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</row>
    <row r="137" spans="1:28" x14ac:dyDescent="0.2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</row>
    <row r="138" spans="1:28" x14ac:dyDescent="0.2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</row>
    <row r="139" spans="1:28" x14ac:dyDescent="0.2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</row>
    <row r="140" spans="1:28" x14ac:dyDescent="0.2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</row>
    <row r="141" spans="1:28" x14ac:dyDescent="0.2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</row>
    <row r="142" spans="1:28" x14ac:dyDescent="0.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</row>
    <row r="143" spans="1:28" x14ac:dyDescent="0.2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</row>
    <row r="144" spans="1:28" x14ac:dyDescent="0.2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</row>
    <row r="145" spans="1:28" x14ac:dyDescent="0.2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</row>
    <row r="146" spans="1:28" x14ac:dyDescent="0.2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</row>
    <row r="147" spans="1:28" x14ac:dyDescent="0.2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</row>
    <row r="148" spans="1:28" x14ac:dyDescent="0.2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</row>
    <row r="149" spans="1:28" x14ac:dyDescent="0.2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</row>
    <row r="150" spans="1:28" x14ac:dyDescent="0.2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</row>
    <row r="151" spans="1:28" x14ac:dyDescent="0.2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</row>
    <row r="152" spans="1:28" x14ac:dyDescent="0.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</row>
    <row r="153" spans="1:28" x14ac:dyDescent="0.2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</row>
    <row r="154" spans="1:28" x14ac:dyDescent="0.2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</row>
    <row r="155" spans="1:28" x14ac:dyDescent="0.2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</row>
    <row r="156" spans="1:28" x14ac:dyDescent="0.2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</row>
    <row r="157" spans="1:28" x14ac:dyDescent="0.2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</row>
    <row r="158" spans="1:28" x14ac:dyDescent="0.2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</row>
    <row r="159" spans="1:28" x14ac:dyDescent="0.2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</row>
    <row r="160" spans="1:28" x14ac:dyDescent="0.2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</row>
    <row r="161" spans="1:28" x14ac:dyDescent="0.2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</row>
    <row r="162" spans="1:28" x14ac:dyDescent="0.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</row>
    <row r="163" spans="1:28" x14ac:dyDescent="0.2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</row>
    <row r="164" spans="1:28" x14ac:dyDescent="0.2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</row>
    <row r="165" spans="1:28" x14ac:dyDescent="0.2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</row>
    <row r="166" spans="1:28" x14ac:dyDescent="0.2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</row>
    <row r="167" spans="1:28" x14ac:dyDescent="0.2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</row>
    <row r="168" spans="1:28" x14ac:dyDescent="0.2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</row>
    <row r="169" spans="1:28" x14ac:dyDescent="0.2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</row>
    <row r="170" spans="1:28" x14ac:dyDescent="0.2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</row>
    <row r="171" spans="1:28" x14ac:dyDescent="0.2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</row>
    <row r="172" spans="1:28" x14ac:dyDescent="0.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</row>
    <row r="173" spans="1:28" x14ac:dyDescent="0.2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</row>
    <row r="174" spans="1:28" x14ac:dyDescent="0.2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</row>
    <row r="175" spans="1:28" x14ac:dyDescent="0.2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</row>
    <row r="176" spans="1:28" x14ac:dyDescent="0.2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</row>
    <row r="177" spans="1:28" x14ac:dyDescent="0.2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</row>
    <row r="178" spans="1:28" x14ac:dyDescent="0.2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</row>
    <row r="179" spans="1:28" x14ac:dyDescent="0.2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</row>
    <row r="180" spans="1:28" x14ac:dyDescent="0.2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</row>
    <row r="181" spans="1:28" x14ac:dyDescent="0.2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</row>
    <row r="182" spans="1:28" x14ac:dyDescent="0.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</row>
    <row r="183" spans="1:28" x14ac:dyDescent="0.2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</row>
    <row r="184" spans="1:28" x14ac:dyDescent="0.2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</row>
    <row r="185" spans="1:28" x14ac:dyDescent="0.2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</row>
    <row r="186" spans="1:28" x14ac:dyDescent="0.2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</row>
    <row r="187" spans="1:28" x14ac:dyDescent="0.2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</row>
    <row r="188" spans="1:28" x14ac:dyDescent="0.2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</row>
    <row r="189" spans="1:28" x14ac:dyDescent="0.2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</row>
    <row r="190" spans="1:28" x14ac:dyDescent="0.2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</row>
    <row r="191" spans="1:28" x14ac:dyDescent="0.2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</row>
    <row r="192" spans="1:28" x14ac:dyDescent="0.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</row>
    <row r="193" spans="1:28" x14ac:dyDescent="0.2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</row>
    <row r="194" spans="1:28" x14ac:dyDescent="0.2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</row>
    <row r="195" spans="1:28" x14ac:dyDescent="0.2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</row>
    <row r="196" spans="1:28" x14ac:dyDescent="0.2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</row>
    <row r="197" spans="1:28" x14ac:dyDescent="0.2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</row>
    <row r="198" spans="1:28" x14ac:dyDescent="0.2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</row>
    <row r="199" spans="1:28" x14ac:dyDescent="0.2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</row>
    <row r="200" spans="1:28" x14ac:dyDescent="0.2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</row>
    <row r="201" spans="1:28" x14ac:dyDescent="0.2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</row>
    <row r="202" spans="1:28" x14ac:dyDescent="0.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</row>
    <row r="203" spans="1:28" x14ac:dyDescent="0.2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</row>
    <row r="204" spans="1:28" x14ac:dyDescent="0.2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</row>
    <row r="205" spans="1:28" x14ac:dyDescent="0.2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</row>
    <row r="206" spans="1:28" x14ac:dyDescent="0.2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</row>
    <row r="207" spans="1:28" x14ac:dyDescent="0.2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</row>
    <row r="208" spans="1:28" x14ac:dyDescent="0.2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</row>
    <row r="209" spans="1:28" x14ac:dyDescent="0.2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</row>
    <row r="210" spans="1:28" x14ac:dyDescent="0.2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</row>
    <row r="211" spans="1:28" x14ac:dyDescent="0.2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</row>
    <row r="212" spans="1:28" x14ac:dyDescent="0.2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</row>
    <row r="213" spans="1:28" x14ac:dyDescent="0.2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</row>
    <row r="214" spans="1:28" x14ac:dyDescent="0.2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</row>
    <row r="215" spans="1:28" x14ac:dyDescent="0.2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</row>
    <row r="216" spans="1:28" x14ac:dyDescent="0.2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</row>
    <row r="217" spans="1:28" x14ac:dyDescent="0.2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</row>
    <row r="218" spans="1:28" x14ac:dyDescent="0.2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</row>
    <row r="219" spans="1:28" x14ac:dyDescent="0.2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</row>
    <row r="220" spans="1:28" x14ac:dyDescent="0.2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</row>
    <row r="221" spans="1:28" x14ac:dyDescent="0.2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</row>
    <row r="222" spans="1:28" x14ac:dyDescent="0.2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</row>
    <row r="223" spans="1:28" x14ac:dyDescent="0.2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</row>
    <row r="224" spans="1:28" x14ac:dyDescent="0.2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</row>
    <row r="225" spans="1:28" x14ac:dyDescent="0.2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</row>
    <row r="226" spans="1:28" x14ac:dyDescent="0.2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</row>
    <row r="227" spans="1:28" x14ac:dyDescent="0.2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</row>
    <row r="228" spans="1:28" x14ac:dyDescent="0.2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</row>
    <row r="229" spans="1:28" x14ac:dyDescent="0.2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</row>
    <row r="230" spans="1:28" x14ac:dyDescent="0.2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</row>
    <row r="231" spans="1:28" x14ac:dyDescent="0.2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</row>
    <row r="232" spans="1:28" x14ac:dyDescent="0.2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</row>
    <row r="233" spans="1:28" x14ac:dyDescent="0.2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</row>
    <row r="234" spans="1:28" x14ac:dyDescent="0.2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</row>
    <row r="235" spans="1:28" x14ac:dyDescent="0.2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</row>
    <row r="236" spans="1:28" x14ac:dyDescent="0.2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</row>
    <row r="237" spans="1:28" x14ac:dyDescent="0.2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</row>
    <row r="238" spans="1:28" x14ac:dyDescent="0.2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</row>
    <row r="239" spans="1:28" x14ac:dyDescent="0.2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</row>
    <row r="240" spans="1:28" x14ac:dyDescent="0.2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</row>
    <row r="241" spans="1:28" x14ac:dyDescent="0.2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</row>
    <row r="242" spans="1:28" x14ac:dyDescent="0.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</row>
    <row r="243" spans="1:28" x14ac:dyDescent="0.2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</row>
    <row r="244" spans="1:28" x14ac:dyDescent="0.2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</row>
    <row r="245" spans="1:28" x14ac:dyDescent="0.2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</row>
    <row r="246" spans="1:28" x14ac:dyDescent="0.2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</row>
    <row r="247" spans="1:28" x14ac:dyDescent="0.2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</row>
    <row r="248" spans="1:28" x14ac:dyDescent="0.2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</row>
    <row r="249" spans="1:28" x14ac:dyDescent="0.2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</row>
    <row r="250" spans="1:28" x14ac:dyDescent="0.2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</row>
    <row r="251" spans="1:28" x14ac:dyDescent="0.2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</row>
    <row r="252" spans="1:28" x14ac:dyDescent="0.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</row>
    <row r="253" spans="1:28" x14ac:dyDescent="0.2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</row>
    <row r="254" spans="1:28" x14ac:dyDescent="0.2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</row>
    <row r="255" spans="1:28" x14ac:dyDescent="0.2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</row>
    <row r="256" spans="1:28" x14ac:dyDescent="0.2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</row>
    <row r="257" spans="1:28" x14ac:dyDescent="0.2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</row>
    <row r="258" spans="1:28" x14ac:dyDescent="0.2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</row>
    <row r="259" spans="1:28" x14ac:dyDescent="0.2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</row>
    <row r="260" spans="1:28" x14ac:dyDescent="0.2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</row>
    <row r="261" spans="1:28" x14ac:dyDescent="0.2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</row>
    <row r="262" spans="1:28" x14ac:dyDescent="0.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</row>
    <row r="263" spans="1:28" x14ac:dyDescent="0.2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</row>
    <row r="264" spans="1:28" x14ac:dyDescent="0.2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</row>
    <row r="265" spans="1:28" x14ac:dyDescent="0.2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</row>
    <row r="266" spans="1:28" x14ac:dyDescent="0.2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</row>
    <row r="267" spans="1:28" x14ac:dyDescent="0.2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</row>
    <row r="268" spans="1:28" x14ac:dyDescent="0.2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</row>
    <row r="269" spans="1:28" x14ac:dyDescent="0.2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</row>
    <row r="270" spans="1:28" x14ac:dyDescent="0.2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</row>
    <row r="271" spans="1:28" x14ac:dyDescent="0.2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</row>
    <row r="272" spans="1:28" x14ac:dyDescent="0.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</row>
    <row r="273" spans="1:28" x14ac:dyDescent="0.2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</row>
    <row r="274" spans="1:28" x14ac:dyDescent="0.2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</row>
    <row r="275" spans="1:28" x14ac:dyDescent="0.2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</row>
    <row r="276" spans="1:28" x14ac:dyDescent="0.2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</row>
    <row r="277" spans="1:28" x14ac:dyDescent="0.2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</row>
    <row r="278" spans="1:28" x14ac:dyDescent="0.2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</row>
    <row r="279" spans="1:28" x14ac:dyDescent="0.2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</row>
    <row r="280" spans="1:28" x14ac:dyDescent="0.2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</row>
    <row r="281" spans="1:28" x14ac:dyDescent="0.2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</row>
    <row r="282" spans="1:28" x14ac:dyDescent="0.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</row>
    <row r="283" spans="1:28" x14ac:dyDescent="0.2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</row>
    <row r="284" spans="1:28" x14ac:dyDescent="0.2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</row>
    <row r="285" spans="1:28" x14ac:dyDescent="0.2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</row>
    <row r="286" spans="1:28" x14ac:dyDescent="0.2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</row>
    <row r="287" spans="1:28" x14ac:dyDescent="0.2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</row>
    <row r="288" spans="1:28" x14ac:dyDescent="0.2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</row>
    <row r="289" spans="1:28" x14ac:dyDescent="0.2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</row>
    <row r="290" spans="1:28" x14ac:dyDescent="0.2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</row>
    <row r="291" spans="1:28" x14ac:dyDescent="0.2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</row>
    <row r="292" spans="1:28" x14ac:dyDescent="0.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</row>
    <row r="293" spans="1:28" x14ac:dyDescent="0.2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</row>
    <row r="294" spans="1:28" x14ac:dyDescent="0.2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</row>
    <row r="295" spans="1:28" x14ac:dyDescent="0.2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</row>
    <row r="296" spans="1:28" x14ac:dyDescent="0.2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</row>
    <row r="297" spans="1:28" x14ac:dyDescent="0.2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</row>
    <row r="298" spans="1:28" x14ac:dyDescent="0.2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</row>
    <row r="299" spans="1:28" x14ac:dyDescent="0.2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</row>
    <row r="300" spans="1:28" x14ac:dyDescent="0.2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</row>
    <row r="301" spans="1:28" x14ac:dyDescent="0.2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</row>
    <row r="302" spans="1:28" x14ac:dyDescent="0.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</row>
    <row r="303" spans="1:28" x14ac:dyDescent="0.2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</row>
    <row r="304" spans="1:28" x14ac:dyDescent="0.2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</row>
    <row r="305" spans="1:28" x14ac:dyDescent="0.2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</row>
    <row r="306" spans="1:28" x14ac:dyDescent="0.2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</row>
    <row r="307" spans="1:28" x14ac:dyDescent="0.2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</row>
    <row r="308" spans="1:28" x14ac:dyDescent="0.2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</row>
    <row r="309" spans="1:28" x14ac:dyDescent="0.2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</row>
    <row r="310" spans="1:28" x14ac:dyDescent="0.2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</row>
    <row r="311" spans="1:28" x14ac:dyDescent="0.2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</row>
    <row r="312" spans="1:28" x14ac:dyDescent="0.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</row>
    <row r="313" spans="1:28" x14ac:dyDescent="0.2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</row>
    <row r="314" spans="1:28" x14ac:dyDescent="0.2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</row>
    <row r="315" spans="1:28" x14ac:dyDescent="0.2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</row>
    <row r="316" spans="1:28" x14ac:dyDescent="0.2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</row>
    <row r="317" spans="1:28" x14ac:dyDescent="0.2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</row>
    <row r="318" spans="1:28" x14ac:dyDescent="0.2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</row>
    <row r="319" spans="1:28" x14ac:dyDescent="0.2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</row>
    <row r="320" spans="1:28" x14ac:dyDescent="0.2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</row>
    <row r="321" spans="1:28" x14ac:dyDescent="0.2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</row>
    <row r="322" spans="1:28" x14ac:dyDescent="0.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</row>
    <row r="323" spans="1:28" x14ac:dyDescent="0.2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</row>
    <row r="324" spans="1:28" x14ac:dyDescent="0.2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</row>
    <row r="325" spans="1:28" x14ac:dyDescent="0.2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</row>
    <row r="326" spans="1:28" x14ac:dyDescent="0.2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</row>
    <row r="327" spans="1:28" x14ac:dyDescent="0.2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</row>
    <row r="328" spans="1:28" x14ac:dyDescent="0.2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</row>
    <row r="329" spans="1:28" x14ac:dyDescent="0.2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</row>
    <row r="330" spans="1:28" x14ac:dyDescent="0.2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</row>
    <row r="331" spans="1:28" x14ac:dyDescent="0.2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</row>
    <row r="332" spans="1:28" x14ac:dyDescent="0.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</row>
    <row r="333" spans="1:28" x14ac:dyDescent="0.2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</row>
    <row r="334" spans="1:28" x14ac:dyDescent="0.2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</row>
    <row r="335" spans="1:28" x14ac:dyDescent="0.2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</row>
    <row r="336" spans="1:28" x14ac:dyDescent="0.2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</row>
    <row r="337" spans="1:28" x14ac:dyDescent="0.2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</row>
    <row r="338" spans="1:28" x14ac:dyDescent="0.2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</row>
    <row r="339" spans="1:28" x14ac:dyDescent="0.2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</row>
    <row r="340" spans="1:28" x14ac:dyDescent="0.2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</row>
    <row r="341" spans="1:28" x14ac:dyDescent="0.2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</row>
    <row r="342" spans="1:28" x14ac:dyDescent="0.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</row>
    <row r="343" spans="1:28" x14ac:dyDescent="0.2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</row>
    <row r="344" spans="1:28" x14ac:dyDescent="0.2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</row>
    <row r="345" spans="1:28" x14ac:dyDescent="0.2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</row>
    <row r="346" spans="1:28" x14ac:dyDescent="0.2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</row>
    <row r="347" spans="1:28" x14ac:dyDescent="0.2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</row>
    <row r="348" spans="1:28" x14ac:dyDescent="0.2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</row>
    <row r="349" spans="1:28" x14ac:dyDescent="0.2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</row>
    <row r="350" spans="1:28" x14ac:dyDescent="0.2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</row>
    <row r="351" spans="1:28" x14ac:dyDescent="0.2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</row>
    <row r="352" spans="1:28" x14ac:dyDescent="0.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</row>
    <row r="353" spans="1:28" x14ac:dyDescent="0.2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</row>
    <row r="354" spans="1:28" x14ac:dyDescent="0.2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</row>
    <row r="355" spans="1:28" x14ac:dyDescent="0.2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</row>
    <row r="356" spans="1:28" x14ac:dyDescent="0.2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</row>
    <row r="357" spans="1:28" x14ac:dyDescent="0.2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</row>
    <row r="358" spans="1:28" x14ac:dyDescent="0.2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</row>
    <row r="359" spans="1:28" x14ac:dyDescent="0.2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</row>
    <row r="360" spans="1:28" x14ac:dyDescent="0.2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</row>
    <row r="361" spans="1:28" x14ac:dyDescent="0.2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</row>
    <row r="362" spans="1:28" x14ac:dyDescent="0.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</row>
    <row r="363" spans="1:28" x14ac:dyDescent="0.2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</row>
    <row r="364" spans="1:28" x14ac:dyDescent="0.2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</row>
    <row r="365" spans="1:28" x14ac:dyDescent="0.2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</row>
    <row r="366" spans="1:28" x14ac:dyDescent="0.2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</row>
    <row r="367" spans="1:28" x14ac:dyDescent="0.2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</row>
    <row r="368" spans="1:28" x14ac:dyDescent="0.2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</row>
    <row r="369" spans="1:28" x14ac:dyDescent="0.2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</row>
    <row r="370" spans="1:28" x14ac:dyDescent="0.2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</row>
    <row r="371" spans="1:28" x14ac:dyDescent="0.2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</row>
    <row r="372" spans="1:28" x14ac:dyDescent="0.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</row>
    <row r="373" spans="1:28" x14ac:dyDescent="0.2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</row>
    <row r="374" spans="1:28" x14ac:dyDescent="0.2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</row>
    <row r="375" spans="1:28" x14ac:dyDescent="0.2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</row>
    <row r="376" spans="1:28" x14ac:dyDescent="0.2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</row>
    <row r="377" spans="1:28" x14ac:dyDescent="0.2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</row>
    <row r="378" spans="1:28" x14ac:dyDescent="0.2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</row>
    <row r="379" spans="1:28" x14ac:dyDescent="0.2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</row>
    <row r="380" spans="1:28" x14ac:dyDescent="0.2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</row>
    <row r="381" spans="1:28" x14ac:dyDescent="0.2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</row>
    <row r="382" spans="1:28" x14ac:dyDescent="0.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</row>
    <row r="383" spans="1:28" x14ac:dyDescent="0.2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</row>
    <row r="384" spans="1:28" x14ac:dyDescent="0.2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</row>
    <row r="385" spans="1:28" x14ac:dyDescent="0.2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</row>
    <row r="386" spans="1:28" x14ac:dyDescent="0.2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</row>
    <row r="387" spans="1:28" x14ac:dyDescent="0.2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</row>
    <row r="388" spans="1:28" x14ac:dyDescent="0.2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</row>
    <row r="389" spans="1:28" x14ac:dyDescent="0.2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</row>
    <row r="390" spans="1:28" x14ac:dyDescent="0.2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</row>
    <row r="391" spans="1:28" x14ac:dyDescent="0.2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</row>
    <row r="392" spans="1:28" x14ac:dyDescent="0.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</row>
    <row r="393" spans="1:28" x14ac:dyDescent="0.2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</row>
    <row r="394" spans="1:28" x14ac:dyDescent="0.2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</row>
    <row r="395" spans="1:28" x14ac:dyDescent="0.2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</row>
    <row r="396" spans="1:28" x14ac:dyDescent="0.2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</row>
    <row r="397" spans="1:28" x14ac:dyDescent="0.2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</row>
    <row r="398" spans="1:28" x14ac:dyDescent="0.2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</row>
    <row r="399" spans="1:28" x14ac:dyDescent="0.2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</row>
    <row r="400" spans="1:28" x14ac:dyDescent="0.2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</row>
    <row r="401" spans="1:28" x14ac:dyDescent="0.2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</row>
    <row r="402" spans="1:28" x14ac:dyDescent="0.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</row>
    <row r="403" spans="1:28" x14ac:dyDescent="0.2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</row>
    <row r="404" spans="1:28" x14ac:dyDescent="0.2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</row>
    <row r="405" spans="1:28" x14ac:dyDescent="0.2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</row>
    <row r="406" spans="1:28" x14ac:dyDescent="0.2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</row>
    <row r="407" spans="1:28" x14ac:dyDescent="0.2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</row>
    <row r="408" spans="1:28" x14ac:dyDescent="0.2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</row>
    <row r="409" spans="1:28" x14ac:dyDescent="0.2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</row>
    <row r="410" spans="1:28" x14ac:dyDescent="0.2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</row>
    <row r="411" spans="1:28" x14ac:dyDescent="0.2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</row>
    <row r="412" spans="1:28" x14ac:dyDescent="0.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</row>
    <row r="413" spans="1:28" x14ac:dyDescent="0.2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</row>
    <row r="414" spans="1:28" x14ac:dyDescent="0.2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</row>
    <row r="415" spans="1:28" x14ac:dyDescent="0.2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</row>
    <row r="416" spans="1:28" x14ac:dyDescent="0.2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</row>
    <row r="417" spans="1:28" x14ac:dyDescent="0.2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</row>
    <row r="418" spans="1:28" x14ac:dyDescent="0.2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</row>
    <row r="419" spans="1:28" x14ac:dyDescent="0.2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</row>
    <row r="420" spans="1:28" x14ac:dyDescent="0.2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</row>
    <row r="421" spans="1:28" x14ac:dyDescent="0.2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</row>
    <row r="422" spans="1:28" x14ac:dyDescent="0.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</row>
    <row r="423" spans="1:28" x14ac:dyDescent="0.2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</row>
    <row r="424" spans="1:28" x14ac:dyDescent="0.2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</row>
    <row r="425" spans="1:28" x14ac:dyDescent="0.2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</row>
    <row r="426" spans="1:28" x14ac:dyDescent="0.2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</row>
    <row r="427" spans="1:28" x14ac:dyDescent="0.2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</row>
    <row r="428" spans="1:28" x14ac:dyDescent="0.2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</row>
    <row r="429" spans="1:28" x14ac:dyDescent="0.2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</row>
    <row r="430" spans="1:28" x14ac:dyDescent="0.2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</row>
    <row r="431" spans="1:28" x14ac:dyDescent="0.2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</row>
    <row r="432" spans="1:28" x14ac:dyDescent="0.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</row>
    <row r="433" spans="1:28" x14ac:dyDescent="0.2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</row>
    <row r="434" spans="1:28" x14ac:dyDescent="0.2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</row>
    <row r="435" spans="1:28" x14ac:dyDescent="0.2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</row>
    <row r="436" spans="1:28" x14ac:dyDescent="0.2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</row>
    <row r="437" spans="1:28" x14ac:dyDescent="0.2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</row>
    <row r="438" spans="1:28" x14ac:dyDescent="0.2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</row>
    <row r="439" spans="1:28" x14ac:dyDescent="0.2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</row>
    <row r="440" spans="1:28" x14ac:dyDescent="0.2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</row>
    <row r="441" spans="1:28" x14ac:dyDescent="0.2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</row>
    <row r="442" spans="1:28" x14ac:dyDescent="0.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</row>
    <row r="443" spans="1:28" x14ac:dyDescent="0.2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</row>
    <row r="444" spans="1:28" x14ac:dyDescent="0.2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</row>
    <row r="445" spans="1:28" x14ac:dyDescent="0.2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</row>
    <row r="446" spans="1:28" x14ac:dyDescent="0.2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</row>
    <row r="447" spans="1:28" x14ac:dyDescent="0.2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</row>
    <row r="448" spans="1:28" x14ac:dyDescent="0.2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</row>
    <row r="449" spans="1:28" x14ac:dyDescent="0.2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</row>
    <row r="450" spans="1:28" x14ac:dyDescent="0.2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</row>
    <row r="451" spans="1:28" x14ac:dyDescent="0.2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</row>
    <row r="452" spans="1:28" x14ac:dyDescent="0.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</row>
    <row r="453" spans="1:28" x14ac:dyDescent="0.2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</row>
    <row r="454" spans="1:28" x14ac:dyDescent="0.2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</row>
    <row r="455" spans="1:28" x14ac:dyDescent="0.2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</row>
    <row r="456" spans="1:28" x14ac:dyDescent="0.2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</row>
    <row r="457" spans="1:28" x14ac:dyDescent="0.2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</row>
    <row r="458" spans="1:28" x14ac:dyDescent="0.2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</row>
    <row r="459" spans="1:28" x14ac:dyDescent="0.2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</row>
    <row r="460" spans="1:28" x14ac:dyDescent="0.2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</row>
    <row r="461" spans="1:28" x14ac:dyDescent="0.2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</row>
    <row r="462" spans="1:28" x14ac:dyDescent="0.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</row>
    <row r="463" spans="1:28" x14ac:dyDescent="0.2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</row>
    <row r="464" spans="1:28" x14ac:dyDescent="0.2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</row>
    <row r="465" spans="1:28" x14ac:dyDescent="0.2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</row>
    <row r="466" spans="1:28" x14ac:dyDescent="0.2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</row>
    <row r="467" spans="1:28" x14ac:dyDescent="0.2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</row>
    <row r="468" spans="1:28" x14ac:dyDescent="0.2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</row>
    <row r="469" spans="1:28" x14ac:dyDescent="0.2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</row>
    <row r="470" spans="1:28" x14ac:dyDescent="0.2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</row>
    <row r="471" spans="1:28" x14ac:dyDescent="0.2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</row>
    <row r="472" spans="1:28" x14ac:dyDescent="0.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</row>
    <row r="473" spans="1:28" x14ac:dyDescent="0.2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</row>
    <row r="474" spans="1:28" x14ac:dyDescent="0.2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</row>
    <row r="475" spans="1:28" x14ac:dyDescent="0.2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</row>
    <row r="476" spans="1:28" x14ac:dyDescent="0.2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</row>
    <row r="477" spans="1:28" x14ac:dyDescent="0.2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</row>
    <row r="478" spans="1:28" x14ac:dyDescent="0.2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</row>
    <row r="479" spans="1:28" x14ac:dyDescent="0.2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</row>
    <row r="480" spans="1:28" x14ac:dyDescent="0.2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</row>
    <row r="481" spans="1:28" x14ac:dyDescent="0.2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</row>
    <row r="482" spans="1:28" x14ac:dyDescent="0.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</row>
    <row r="483" spans="1:28" x14ac:dyDescent="0.2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</row>
    <row r="484" spans="1:28" x14ac:dyDescent="0.2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</row>
    <row r="485" spans="1:28" x14ac:dyDescent="0.2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</row>
    <row r="486" spans="1:28" x14ac:dyDescent="0.2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</row>
    <row r="487" spans="1:28" x14ac:dyDescent="0.2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</row>
    <row r="488" spans="1:28" x14ac:dyDescent="0.2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</row>
    <row r="489" spans="1:28" x14ac:dyDescent="0.2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</row>
    <row r="490" spans="1:28" x14ac:dyDescent="0.2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</row>
    <row r="491" spans="1:28" x14ac:dyDescent="0.2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</row>
    <row r="492" spans="1:28" x14ac:dyDescent="0.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</row>
    <row r="493" spans="1:28" x14ac:dyDescent="0.2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</row>
    <row r="494" spans="1:28" x14ac:dyDescent="0.2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</row>
    <row r="495" spans="1:28" x14ac:dyDescent="0.2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</row>
    <row r="496" spans="1:28" x14ac:dyDescent="0.2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</row>
    <row r="497" spans="1:28" x14ac:dyDescent="0.2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</row>
    <row r="498" spans="1:28" x14ac:dyDescent="0.2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</row>
    <row r="499" spans="1:28" x14ac:dyDescent="0.2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</row>
    <row r="500" spans="1:28" x14ac:dyDescent="0.2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</row>
    <row r="501" spans="1:28" x14ac:dyDescent="0.2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</row>
    <row r="502" spans="1:28" x14ac:dyDescent="0.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</row>
    <row r="503" spans="1:28" x14ac:dyDescent="0.2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</row>
    <row r="504" spans="1:28" x14ac:dyDescent="0.2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</row>
    <row r="505" spans="1:28" x14ac:dyDescent="0.2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</row>
    <row r="506" spans="1:28" x14ac:dyDescent="0.2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</row>
    <row r="507" spans="1:28" x14ac:dyDescent="0.2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</row>
    <row r="508" spans="1:28" x14ac:dyDescent="0.2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</row>
    <row r="509" spans="1:28" x14ac:dyDescent="0.2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</row>
    <row r="510" spans="1:28" x14ac:dyDescent="0.2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</row>
    <row r="511" spans="1:28" x14ac:dyDescent="0.2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</row>
    <row r="512" spans="1:28" x14ac:dyDescent="0.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</row>
    <row r="513" spans="1:28" x14ac:dyDescent="0.2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</row>
    <row r="514" spans="1:28" x14ac:dyDescent="0.2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</row>
    <row r="515" spans="1:28" x14ac:dyDescent="0.2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</row>
    <row r="516" spans="1:28" x14ac:dyDescent="0.2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</row>
    <row r="517" spans="1:28" x14ac:dyDescent="0.2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</row>
    <row r="518" spans="1:28" x14ac:dyDescent="0.2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</row>
    <row r="519" spans="1:28" x14ac:dyDescent="0.2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</row>
    <row r="520" spans="1:28" x14ac:dyDescent="0.2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</row>
    <row r="521" spans="1:28" x14ac:dyDescent="0.2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</row>
    <row r="522" spans="1:28" x14ac:dyDescent="0.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</row>
    <row r="523" spans="1:28" x14ac:dyDescent="0.2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</row>
    <row r="524" spans="1:28" x14ac:dyDescent="0.2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</row>
    <row r="525" spans="1:28" x14ac:dyDescent="0.2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</row>
    <row r="526" spans="1:28" x14ac:dyDescent="0.2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</row>
    <row r="527" spans="1:28" x14ac:dyDescent="0.2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</row>
    <row r="528" spans="1:28" x14ac:dyDescent="0.2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</row>
    <row r="529" spans="1:28" x14ac:dyDescent="0.2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</row>
    <row r="530" spans="1:28" x14ac:dyDescent="0.2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</row>
    <row r="531" spans="1:28" x14ac:dyDescent="0.2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</row>
    <row r="532" spans="1:28" x14ac:dyDescent="0.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</row>
    <row r="533" spans="1:28" x14ac:dyDescent="0.2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</row>
    <row r="534" spans="1:28" x14ac:dyDescent="0.2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</row>
    <row r="535" spans="1:28" x14ac:dyDescent="0.2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</row>
    <row r="536" spans="1:28" x14ac:dyDescent="0.2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</row>
    <row r="537" spans="1:28" x14ac:dyDescent="0.2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</row>
    <row r="538" spans="1:28" x14ac:dyDescent="0.2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</row>
    <row r="539" spans="1:28" x14ac:dyDescent="0.2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</row>
    <row r="540" spans="1:28" x14ac:dyDescent="0.2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</row>
    <row r="541" spans="1:28" x14ac:dyDescent="0.2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</row>
    <row r="542" spans="1:28" x14ac:dyDescent="0.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</row>
    <row r="543" spans="1:28" x14ac:dyDescent="0.2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</row>
    <row r="544" spans="1:28" x14ac:dyDescent="0.2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</row>
    <row r="545" spans="1:28" x14ac:dyDescent="0.2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</row>
    <row r="546" spans="1:28" x14ac:dyDescent="0.2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</row>
    <row r="547" spans="1:28" x14ac:dyDescent="0.2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</row>
    <row r="548" spans="1:28" x14ac:dyDescent="0.2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</row>
    <row r="549" spans="1:28" x14ac:dyDescent="0.2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</row>
    <row r="550" spans="1:28" x14ac:dyDescent="0.2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</row>
    <row r="551" spans="1:28" x14ac:dyDescent="0.2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</row>
    <row r="552" spans="1:28" x14ac:dyDescent="0.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</row>
    <row r="553" spans="1:28" x14ac:dyDescent="0.2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</row>
    <row r="554" spans="1:28" x14ac:dyDescent="0.2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</row>
    <row r="555" spans="1:28" x14ac:dyDescent="0.2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</row>
    <row r="556" spans="1:28" x14ac:dyDescent="0.2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</row>
    <row r="557" spans="1:28" x14ac:dyDescent="0.2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</row>
    <row r="558" spans="1:28" x14ac:dyDescent="0.2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</row>
    <row r="559" spans="1:28" x14ac:dyDescent="0.2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</row>
    <row r="560" spans="1:28" x14ac:dyDescent="0.2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</row>
    <row r="561" spans="1:28" x14ac:dyDescent="0.2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</row>
    <row r="562" spans="1:28" x14ac:dyDescent="0.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</row>
    <row r="563" spans="1:28" x14ac:dyDescent="0.2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</row>
    <row r="564" spans="1:28" x14ac:dyDescent="0.2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</row>
    <row r="565" spans="1:28" x14ac:dyDescent="0.2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</row>
    <row r="566" spans="1:28" x14ac:dyDescent="0.2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</row>
    <row r="567" spans="1:28" x14ac:dyDescent="0.2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</row>
    <row r="568" spans="1:28" x14ac:dyDescent="0.2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</row>
    <row r="569" spans="1:28" x14ac:dyDescent="0.2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</row>
    <row r="570" spans="1:28" x14ac:dyDescent="0.2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</row>
    <row r="571" spans="1:28" x14ac:dyDescent="0.2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</row>
    <row r="572" spans="1:28" x14ac:dyDescent="0.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</row>
    <row r="573" spans="1:28" x14ac:dyDescent="0.2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</row>
    <row r="574" spans="1:28" x14ac:dyDescent="0.2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</row>
    <row r="575" spans="1:28" x14ac:dyDescent="0.2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</row>
    <row r="576" spans="1:28" x14ac:dyDescent="0.2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</row>
    <row r="577" spans="1:28" x14ac:dyDescent="0.2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</row>
    <row r="578" spans="1:28" x14ac:dyDescent="0.2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</row>
    <row r="579" spans="1:28" x14ac:dyDescent="0.2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</row>
    <row r="580" spans="1:28" x14ac:dyDescent="0.2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</row>
    <row r="581" spans="1:28" x14ac:dyDescent="0.2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</row>
    <row r="582" spans="1:28" x14ac:dyDescent="0.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</row>
    <row r="583" spans="1:28" x14ac:dyDescent="0.2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</row>
    <row r="584" spans="1:28" x14ac:dyDescent="0.2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</row>
    <row r="585" spans="1:28" x14ac:dyDescent="0.2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</row>
    <row r="586" spans="1:28" x14ac:dyDescent="0.2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</row>
    <row r="587" spans="1:28" x14ac:dyDescent="0.2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</row>
    <row r="588" spans="1:28" x14ac:dyDescent="0.2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</row>
    <row r="589" spans="1:28" x14ac:dyDescent="0.2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</row>
    <row r="590" spans="1:28" x14ac:dyDescent="0.2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</row>
    <row r="591" spans="1:28" x14ac:dyDescent="0.2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</row>
    <row r="592" spans="1:28" x14ac:dyDescent="0.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</row>
    <row r="593" spans="1:28" x14ac:dyDescent="0.2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</row>
    <row r="594" spans="1:28" x14ac:dyDescent="0.2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</row>
    <row r="595" spans="1:28" x14ac:dyDescent="0.2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</row>
    <row r="596" spans="1:28" x14ac:dyDescent="0.2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</row>
    <row r="597" spans="1:28" x14ac:dyDescent="0.2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</row>
    <row r="598" spans="1:28" x14ac:dyDescent="0.2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</row>
    <row r="599" spans="1:28" x14ac:dyDescent="0.2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</row>
    <row r="600" spans="1:28" x14ac:dyDescent="0.2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</row>
    <row r="601" spans="1:28" x14ac:dyDescent="0.2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</row>
    <row r="602" spans="1:28" x14ac:dyDescent="0.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</row>
    <row r="603" spans="1:28" x14ac:dyDescent="0.2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</row>
    <row r="604" spans="1:28" x14ac:dyDescent="0.2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</row>
    <row r="605" spans="1:28" x14ac:dyDescent="0.2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</row>
    <row r="606" spans="1:28" x14ac:dyDescent="0.2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</row>
    <row r="607" spans="1:28" x14ac:dyDescent="0.2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</row>
    <row r="608" spans="1:28" x14ac:dyDescent="0.2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</row>
    <row r="609" spans="1:28" x14ac:dyDescent="0.2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</row>
    <row r="610" spans="1:28" x14ac:dyDescent="0.2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</row>
    <row r="611" spans="1:28" x14ac:dyDescent="0.2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</row>
    <row r="612" spans="1:28" x14ac:dyDescent="0.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</row>
    <row r="613" spans="1:28" x14ac:dyDescent="0.2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</row>
    <row r="614" spans="1:28" x14ac:dyDescent="0.2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</row>
    <row r="615" spans="1:28" x14ac:dyDescent="0.2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</row>
    <row r="616" spans="1:28" x14ac:dyDescent="0.2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</row>
    <row r="617" spans="1:28" x14ac:dyDescent="0.2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</row>
    <row r="618" spans="1:28" x14ac:dyDescent="0.2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</row>
    <row r="619" spans="1:28" x14ac:dyDescent="0.2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</row>
    <row r="620" spans="1:28" x14ac:dyDescent="0.2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</row>
    <row r="621" spans="1:28" x14ac:dyDescent="0.2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</row>
    <row r="622" spans="1:28" x14ac:dyDescent="0.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</row>
    <row r="623" spans="1:28" x14ac:dyDescent="0.2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</row>
    <row r="624" spans="1:28" x14ac:dyDescent="0.2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</row>
    <row r="625" spans="1:28" x14ac:dyDescent="0.2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</row>
    <row r="626" spans="1:28" x14ac:dyDescent="0.2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</row>
    <row r="627" spans="1:28" x14ac:dyDescent="0.2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</row>
    <row r="628" spans="1:28" x14ac:dyDescent="0.2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</row>
    <row r="629" spans="1:28" x14ac:dyDescent="0.2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</row>
    <row r="630" spans="1:28" x14ac:dyDescent="0.2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</row>
    <row r="631" spans="1:28" x14ac:dyDescent="0.2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</row>
    <row r="632" spans="1:28" x14ac:dyDescent="0.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</row>
    <row r="633" spans="1:28" x14ac:dyDescent="0.2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</row>
    <row r="634" spans="1:28" x14ac:dyDescent="0.2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</row>
    <row r="635" spans="1:28" x14ac:dyDescent="0.2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</row>
    <row r="636" spans="1:28" x14ac:dyDescent="0.2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</row>
    <row r="637" spans="1:28" x14ac:dyDescent="0.2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</row>
    <row r="638" spans="1:28" x14ac:dyDescent="0.2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</row>
    <row r="639" spans="1:28" x14ac:dyDescent="0.2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</row>
    <row r="640" spans="1:28" x14ac:dyDescent="0.2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</row>
    <row r="641" spans="1:28" x14ac:dyDescent="0.2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</row>
    <row r="642" spans="1:28" x14ac:dyDescent="0.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</row>
    <row r="643" spans="1:28" x14ac:dyDescent="0.2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</row>
    <row r="644" spans="1:28" x14ac:dyDescent="0.2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</row>
    <row r="645" spans="1:28" x14ac:dyDescent="0.2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</row>
    <row r="646" spans="1:28" x14ac:dyDescent="0.2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</row>
    <row r="647" spans="1:28" x14ac:dyDescent="0.2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</row>
    <row r="648" spans="1:28" x14ac:dyDescent="0.2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</row>
    <row r="649" spans="1:28" x14ac:dyDescent="0.2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</row>
    <row r="650" spans="1:28" x14ac:dyDescent="0.2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</row>
    <row r="651" spans="1:28" x14ac:dyDescent="0.2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</row>
    <row r="652" spans="1:28" x14ac:dyDescent="0.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</row>
    <row r="653" spans="1:28" x14ac:dyDescent="0.2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</row>
    <row r="654" spans="1:28" x14ac:dyDescent="0.2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</row>
    <row r="655" spans="1:28" x14ac:dyDescent="0.2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</row>
    <row r="656" spans="1:28" x14ac:dyDescent="0.2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</row>
    <row r="657" spans="1:28" x14ac:dyDescent="0.2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</row>
    <row r="658" spans="1:28" x14ac:dyDescent="0.2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</row>
    <row r="659" spans="1:28" x14ac:dyDescent="0.2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</row>
    <row r="660" spans="1:28" x14ac:dyDescent="0.2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</row>
    <row r="661" spans="1:28" x14ac:dyDescent="0.2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</row>
    <row r="662" spans="1:28" x14ac:dyDescent="0.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</row>
    <row r="663" spans="1:28" x14ac:dyDescent="0.2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</row>
    <row r="664" spans="1:28" x14ac:dyDescent="0.2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</row>
    <row r="665" spans="1:28" x14ac:dyDescent="0.2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</row>
    <row r="666" spans="1:28" x14ac:dyDescent="0.2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</row>
    <row r="667" spans="1:28" x14ac:dyDescent="0.2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</row>
    <row r="668" spans="1:28" x14ac:dyDescent="0.2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</row>
    <row r="669" spans="1:28" x14ac:dyDescent="0.2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</row>
    <row r="670" spans="1:28" x14ac:dyDescent="0.2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</row>
    <row r="671" spans="1:28" x14ac:dyDescent="0.2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</row>
    <row r="672" spans="1:28" x14ac:dyDescent="0.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</row>
    <row r="673" spans="1:28" x14ac:dyDescent="0.2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</row>
    <row r="674" spans="1:28" x14ac:dyDescent="0.2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</row>
    <row r="675" spans="1:28" x14ac:dyDescent="0.2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</row>
    <row r="676" spans="1:28" x14ac:dyDescent="0.2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</row>
    <row r="677" spans="1:28" x14ac:dyDescent="0.2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</row>
    <row r="678" spans="1:28" x14ac:dyDescent="0.2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</row>
    <row r="679" spans="1:28" x14ac:dyDescent="0.2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</row>
    <row r="680" spans="1:28" x14ac:dyDescent="0.2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</row>
    <row r="681" spans="1:28" x14ac:dyDescent="0.2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</row>
    <row r="682" spans="1:28" x14ac:dyDescent="0.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</row>
    <row r="683" spans="1:28" x14ac:dyDescent="0.2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</row>
    <row r="684" spans="1:28" x14ac:dyDescent="0.2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</row>
    <row r="685" spans="1:28" x14ac:dyDescent="0.2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</row>
    <row r="686" spans="1:28" x14ac:dyDescent="0.2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</row>
    <row r="687" spans="1:28" x14ac:dyDescent="0.2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</row>
    <row r="688" spans="1:28" x14ac:dyDescent="0.2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</row>
    <row r="689" spans="1:28" x14ac:dyDescent="0.2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</row>
    <row r="690" spans="1:28" x14ac:dyDescent="0.2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</row>
    <row r="691" spans="1:28" x14ac:dyDescent="0.2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</row>
    <row r="692" spans="1:28" x14ac:dyDescent="0.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</row>
    <row r="693" spans="1:28" x14ac:dyDescent="0.2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</row>
    <row r="694" spans="1:28" x14ac:dyDescent="0.2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</row>
    <row r="695" spans="1:28" x14ac:dyDescent="0.2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</row>
    <row r="696" spans="1:28" x14ac:dyDescent="0.2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</row>
    <row r="697" spans="1:28" x14ac:dyDescent="0.2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</row>
    <row r="698" spans="1:28" x14ac:dyDescent="0.2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</row>
    <row r="699" spans="1:28" x14ac:dyDescent="0.2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</row>
    <row r="700" spans="1:28" x14ac:dyDescent="0.2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</row>
    <row r="701" spans="1:28" x14ac:dyDescent="0.2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</row>
    <row r="702" spans="1:28" x14ac:dyDescent="0.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</row>
    <row r="703" spans="1:28" x14ac:dyDescent="0.2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</row>
    <row r="704" spans="1:28" x14ac:dyDescent="0.2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</row>
    <row r="705" spans="1:28" x14ac:dyDescent="0.2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</row>
    <row r="706" spans="1:28" x14ac:dyDescent="0.2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</row>
    <row r="707" spans="1:28" x14ac:dyDescent="0.2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</row>
    <row r="708" spans="1:28" x14ac:dyDescent="0.2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</row>
    <row r="709" spans="1:28" x14ac:dyDescent="0.2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</row>
    <row r="710" spans="1:28" x14ac:dyDescent="0.2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</row>
    <row r="711" spans="1:28" x14ac:dyDescent="0.2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</row>
    <row r="712" spans="1:28" x14ac:dyDescent="0.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</row>
    <row r="713" spans="1:28" x14ac:dyDescent="0.2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</row>
    <row r="714" spans="1:28" x14ac:dyDescent="0.2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</row>
    <row r="715" spans="1:28" x14ac:dyDescent="0.2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</row>
    <row r="716" spans="1:28" x14ac:dyDescent="0.2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</row>
    <row r="717" spans="1:28" x14ac:dyDescent="0.2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</row>
    <row r="718" spans="1:28" x14ac:dyDescent="0.2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</row>
    <row r="719" spans="1:28" x14ac:dyDescent="0.2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</row>
    <row r="720" spans="1:28" x14ac:dyDescent="0.2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</row>
    <row r="721" spans="1:28" x14ac:dyDescent="0.2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</row>
    <row r="722" spans="1:28" x14ac:dyDescent="0.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</row>
    <row r="723" spans="1:28" x14ac:dyDescent="0.2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</row>
    <row r="724" spans="1:28" x14ac:dyDescent="0.2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</row>
    <row r="725" spans="1:28" x14ac:dyDescent="0.2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</row>
    <row r="726" spans="1:28" x14ac:dyDescent="0.2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</row>
    <row r="727" spans="1:28" x14ac:dyDescent="0.2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</row>
    <row r="728" spans="1:28" x14ac:dyDescent="0.2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</row>
    <row r="729" spans="1:28" x14ac:dyDescent="0.2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</row>
    <row r="730" spans="1:28" x14ac:dyDescent="0.2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</row>
    <row r="731" spans="1:28" x14ac:dyDescent="0.2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</row>
    <row r="732" spans="1:28" x14ac:dyDescent="0.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</row>
    <row r="733" spans="1:28" x14ac:dyDescent="0.2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</row>
    <row r="734" spans="1:28" x14ac:dyDescent="0.2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</row>
    <row r="735" spans="1:28" x14ac:dyDescent="0.2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</row>
    <row r="736" spans="1:28" x14ac:dyDescent="0.2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</row>
    <row r="737" spans="1:28" x14ac:dyDescent="0.2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</row>
    <row r="738" spans="1:28" x14ac:dyDescent="0.2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</row>
    <row r="739" spans="1:28" x14ac:dyDescent="0.2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</row>
    <row r="740" spans="1:28" x14ac:dyDescent="0.2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</row>
    <row r="741" spans="1:28" x14ac:dyDescent="0.2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</row>
    <row r="742" spans="1:28" x14ac:dyDescent="0.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</row>
    <row r="743" spans="1:28" x14ac:dyDescent="0.2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</row>
    <row r="744" spans="1:28" x14ac:dyDescent="0.2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</row>
    <row r="745" spans="1:28" x14ac:dyDescent="0.2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</row>
    <row r="746" spans="1:28" x14ac:dyDescent="0.2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</row>
    <row r="747" spans="1:28" x14ac:dyDescent="0.2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</row>
    <row r="748" spans="1:28" x14ac:dyDescent="0.2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</row>
    <row r="749" spans="1:28" x14ac:dyDescent="0.2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</row>
    <row r="750" spans="1:28" x14ac:dyDescent="0.2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</row>
    <row r="751" spans="1:28" x14ac:dyDescent="0.2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</row>
    <row r="752" spans="1:28" x14ac:dyDescent="0.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</row>
    <row r="753" spans="1:28" x14ac:dyDescent="0.2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</row>
    <row r="754" spans="1:28" x14ac:dyDescent="0.2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</row>
    <row r="755" spans="1:28" x14ac:dyDescent="0.2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</row>
    <row r="756" spans="1:28" x14ac:dyDescent="0.2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</row>
    <row r="757" spans="1:28" x14ac:dyDescent="0.2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</row>
    <row r="758" spans="1:28" x14ac:dyDescent="0.2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</row>
    <row r="759" spans="1:28" x14ac:dyDescent="0.2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</row>
    <row r="760" spans="1:28" x14ac:dyDescent="0.2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</row>
    <row r="761" spans="1:28" x14ac:dyDescent="0.2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</row>
    <row r="762" spans="1:28" x14ac:dyDescent="0.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</row>
    <row r="763" spans="1:28" x14ac:dyDescent="0.2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</row>
    <row r="764" spans="1:28" x14ac:dyDescent="0.2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</row>
    <row r="765" spans="1:28" x14ac:dyDescent="0.2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</row>
    <row r="766" spans="1:28" x14ac:dyDescent="0.2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</row>
    <row r="767" spans="1:28" x14ac:dyDescent="0.2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</row>
    <row r="768" spans="1:28" x14ac:dyDescent="0.2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</row>
    <row r="769" spans="1:28" x14ac:dyDescent="0.2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</row>
    <row r="770" spans="1:28" x14ac:dyDescent="0.2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</row>
    <row r="771" spans="1:28" x14ac:dyDescent="0.2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</row>
    <row r="772" spans="1:28" x14ac:dyDescent="0.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</row>
    <row r="773" spans="1:28" x14ac:dyDescent="0.2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</row>
    <row r="774" spans="1:28" x14ac:dyDescent="0.2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</row>
    <row r="775" spans="1:28" x14ac:dyDescent="0.2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</row>
    <row r="776" spans="1:28" x14ac:dyDescent="0.2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</row>
    <row r="777" spans="1:28" x14ac:dyDescent="0.2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</row>
    <row r="778" spans="1:28" x14ac:dyDescent="0.2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</row>
    <row r="779" spans="1:28" x14ac:dyDescent="0.2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</row>
    <row r="780" spans="1:28" x14ac:dyDescent="0.2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</row>
    <row r="781" spans="1:28" x14ac:dyDescent="0.2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</row>
    <row r="782" spans="1:28" x14ac:dyDescent="0.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</row>
    <row r="783" spans="1:28" x14ac:dyDescent="0.2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</row>
    <row r="784" spans="1:28" x14ac:dyDescent="0.2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</row>
    <row r="785" spans="1:28" x14ac:dyDescent="0.2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</row>
    <row r="786" spans="1:28" x14ac:dyDescent="0.2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</row>
    <row r="787" spans="1:28" x14ac:dyDescent="0.2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</row>
    <row r="788" spans="1:28" x14ac:dyDescent="0.2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</row>
    <row r="789" spans="1:28" x14ac:dyDescent="0.2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</row>
    <row r="790" spans="1:28" x14ac:dyDescent="0.2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</row>
    <row r="791" spans="1:28" x14ac:dyDescent="0.2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</row>
    <row r="792" spans="1:28" x14ac:dyDescent="0.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</row>
    <row r="793" spans="1:28" x14ac:dyDescent="0.2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</row>
    <row r="794" spans="1:28" x14ac:dyDescent="0.2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</row>
    <row r="795" spans="1:28" x14ac:dyDescent="0.2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</row>
    <row r="796" spans="1:28" x14ac:dyDescent="0.2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</row>
    <row r="797" spans="1:28" x14ac:dyDescent="0.2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</row>
    <row r="798" spans="1:28" x14ac:dyDescent="0.2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</row>
    <row r="799" spans="1:28" x14ac:dyDescent="0.2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</row>
    <row r="800" spans="1:28" x14ac:dyDescent="0.2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</row>
    <row r="801" spans="1:28" x14ac:dyDescent="0.2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</row>
    <row r="802" spans="1:28" x14ac:dyDescent="0.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</row>
    <row r="803" spans="1:28" x14ac:dyDescent="0.2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</row>
    <row r="804" spans="1:28" x14ac:dyDescent="0.2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</row>
    <row r="805" spans="1:28" x14ac:dyDescent="0.2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</row>
    <row r="806" spans="1:28" x14ac:dyDescent="0.2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</row>
    <row r="807" spans="1:28" x14ac:dyDescent="0.2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</row>
    <row r="808" spans="1:28" x14ac:dyDescent="0.2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</row>
    <row r="809" spans="1:28" x14ac:dyDescent="0.2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</row>
    <row r="810" spans="1:28" x14ac:dyDescent="0.2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</row>
    <row r="811" spans="1:28" x14ac:dyDescent="0.2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</row>
    <row r="812" spans="1:28" x14ac:dyDescent="0.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</row>
    <row r="813" spans="1:28" x14ac:dyDescent="0.2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</row>
    <row r="814" spans="1:28" x14ac:dyDescent="0.2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</row>
    <row r="815" spans="1:28" x14ac:dyDescent="0.2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</row>
    <row r="816" spans="1:28" x14ac:dyDescent="0.2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</row>
    <row r="817" spans="1:28" x14ac:dyDescent="0.2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</row>
    <row r="818" spans="1:28" x14ac:dyDescent="0.2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</row>
    <row r="819" spans="1:28" x14ac:dyDescent="0.2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</row>
    <row r="820" spans="1:28" x14ac:dyDescent="0.2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</row>
    <row r="821" spans="1:28" x14ac:dyDescent="0.2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</row>
    <row r="822" spans="1:28" x14ac:dyDescent="0.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</row>
    <row r="823" spans="1:28" x14ac:dyDescent="0.2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</row>
    <row r="824" spans="1:28" x14ac:dyDescent="0.2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</row>
    <row r="825" spans="1:28" x14ac:dyDescent="0.2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</row>
    <row r="826" spans="1:28" x14ac:dyDescent="0.2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</row>
    <row r="827" spans="1:28" x14ac:dyDescent="0.2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</row>
    <row r="828" spans="1:28" x14ac:dyDescent="0.2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</row>
    <row r="829" spans="1:28" x14ac:dyDescent="0.2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</row>
    <row r="830" spans="1:28" x14ac:dyDescent="0.2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</row>
    <row r="831" spans="1:28" x14ac:dyDescent="0.2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</row>
    <row r="832" spans="1:28" x14ac:dyDescent="0.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</row>
    <row r="833" spans="1:28" x14ac:dyDescent="0.2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</row>
    <row r="834" spans="1:28" x14ac:dyDescent="0.2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</row>
    <row r="835" spans="1:28" x14ac:dyDescent="0.2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</row>
    <row r="836" spans="1:28" x14ac:dyDescent="0.2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</row>
    <row r="837" spans="1:28" x14ac:dyDescent="0.2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</row>
    <row r="838" spans="1:28" x14ac:dyDescent="0.2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</row>
    <row r="839" spans="1:28" x14ac:dyDescent="0.2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</row>
    <row r="840" spans="1:28" x14ac:dyDescent="0.2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</row>
    <row r="841" spans="1:28" x14ac:dyDescent="0.2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</row>
    <row r="842" spans="1:28" x14ac:dyDescent="0.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</row>
    <row r="843" spans="1:28" x14ac:dyDescent="0.2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</row>
    <row r="844" spans="1:28" x14ac:dyDescent="0.2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</row>
    <row r="845" spans="1:28" x14ac:dyDescent="0.2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</row>
    <row r="846" spans="1:28" x14ac:dyDescent="0.2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</row>
    <row r="847" spans="1:28" x14ac:dyDescent="0.2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</row>
    <row r="848" spans="1:28" x14ac:dyDescent="0.2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</row>
    <row r="849" spans="1:28" x14ac:dyDescent="0.2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</row>
    <row r="850" spans="1:28" x14ac:dyDescent="0.2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</row>
    <row r="851" spans="1:28" x14ac:dyDescent="0.2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</row>
    <row r="852" spans="1:28" x14ac:dyDescent="0.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</row>
    <row r="853" spans="1:28" x14ac:dyDescent="0.2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</row>
    <row r="854" spans="1:28" x14ac:dyDescent="0.2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</row>
    <row r="855" spans="1:28" x14ac:dyDescent="0.2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</row>
    <row r="856" spans="1:28" x14ac:dyDescent="0.2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</row>
    <row r="857" spans="1:28" x14ac:dyDescent="0.2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</row>
    <row r="858" spans="1:28" x14ac:dyDescent="0.2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</row>
    <row r="859" spans="1:28" x14ac:dyDescent="0.2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</row>
    <row r="860" spans="1:28" x14ac:dyDescent="0.2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</row>
    <row r="861" spans="1:28" x14ac:dyDescent="0.2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</row>
    <row r="862" spans="1:28" x14ac:dyDescent="0.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</row>
    <row r="863" spans="1:28" x14ac:dyDescent="0.2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</row>
    <row r="864" spans="1:28" x14ac:dyDescent="0.2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</row>
    <row r="865" spans="1:28" x14ac:dyDescent="0.2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</row>
    <row r="866" spans="1:28" x14ac:dyDescent="0.2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</row>
    <row r="867" spans="1:28" x14ac:dyDescent="0.2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</row>
    <row r="868" spans="1:28" x14ac:dyDescent="0.2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</row>
    <row r="869" spans="1:28" x14ac:dyDescent="0.2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</row>
    <row r="870" spans="1:28" x14ac:dyDescent="0.2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</row>
    <row r="871" spans="1:28" x14ac:dyDescent="0.2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</row>
    <row r="872" spans="1:28" x14ac:dyDescent="0.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</row>
    <row r="873" spans="1:28" x14ac:dyDescent="0.2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</row>
    <row r="874" spans="1:28" x14ac:dyDescent="0.2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</row>
    <row r="875" spans="1:28" x14ac:dyDescent="0.2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</row>
    <row r="876" spans="1:28" x14ac:dyDescent="0.2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</row>
    <row r="877" spans="1:28" x14ac:dyDescent="0.2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</row>
    <row r="878" spans="1:28" x14ac:dyDescent="0.2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</row>
    <row r="879" spans="1:28" x14ac:dyDescent="0.2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</row>
    <row r="880" spans="1:28" x14ac:dyDescent="0.2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</row>
    <row r="881" spans="1:28" x14ac:dyDescent="0.2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</row>
    <row r="882" spans="1:28" x14ac:dyDescent="0.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</row>
    <row r="883" spans="1:28" x14ac:dyDescent="0.2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</row>
    <row r="884" spans="1:28" x14ac:dyDescent="0.2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</row>
    <row r="885" spans="1:28" x14ac:dyDescent="0.2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</row>
    <row r="886" spans="1:28" x14ac:dyDescent="0.2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</row>
    <row r="887" spans="1:28" x14ac:dyDescent="0.2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</row>
    <row r="888" spans="1:28" x14ac:dyDescent="0.2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</row>
    <row r="889" spans="1:28" x14ac:dyDescent="0.2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</row>
    <row r="890" spans="1:28" x14ac:dyDescent="0.2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</row>
    <row r="891" spans="1:28" x14ac:dyDescent="0.2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</row>
    <row r="892" spans="1:28" x14ac:dyDescent="0.2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</row>
    <row r="893" spans="1:28" x14ac:dyDescent="0.2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</row>
    <row r="894" spans="1:28" x14ac:dyDescent="0.2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</row>
    <row r="895" spans="1:28" x14ac:dyDescent="0.2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</row>
    <row r="896" spans="1:28" x14ac:dyDescent="0.2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</row>
    <row r="897" spans="1:28" x14ac:dyDescent="0.2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</row>
    <row r="898" spans="1:28" x14ac:dyDescent="0.2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</row>
    <row r="899" spans="1:28" x14ac:dyDescent="0.2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</row>
    <row r="900" spans="1:28" x14ac:dyDescent="0.2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</row>
    <row r="901" spans="1:28" x14ac:dyDescent="0.2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</row>
    <row r="902" spans="1:28" x14ac:dyDescent="0.2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</row>
    <row r="903" spans="1:28" x14ac:dyDescent="0.2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</row>
    <row r="904" spans="1:28" x14ac:dyDescent="0.2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</row>
    <row r="905" spans="1:28" x14ac:dyDescent="0.2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</row>
    <row r="906" spans="1:28" x14ac:dyDescent="0.2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</row>
    <row r="907" spans="1:28" x14ac:dyDescent="0.2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</row>
    <row r="908" spans="1:28" x14ac:dyDescent="0.2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</row>
    <row r="909" spans="1:28" x14ac:dyDescent="0.2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</row>
    <row r="910" spans="1:28" x14ac:dyDescent="0.2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</row>
    <row r="911" spans="1:28" x14ac:dyDescent="0.2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</row>
    <row r="912" spans="1:28" x14ac:dyDescent="0.2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</row>
    <row r="913" spans="1:28" x14ac:dyDescent="0.2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</row>
    <row r="914" spans="1:28" x14ac:dyDescent="0.2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</row>
    <row r="915" spans="1:28" x14ac:dyDescent="0.2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</row>
    <row r="916" spans="1:28" x14ac:dyDescent="0.2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</row>
    <row r="917" spans="1:28" x14ac:dyDescent="0.2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</row>
    <row r="918" spans="1:28" x14ac:dyDescent="0.2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</row>
    <row r="919" spans="1:28" x14ac:dyDescent="0.2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</row>
    <row r="920" spans="1:28" x14ac:dyDescent="0.2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</row>
    <row r="921" spans="1:28" x14ac:dyDescent="0.2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</row>
    <row r="922" spans="1:28" x14ac:dyDescent="0.2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</row>
    <row r="923" spans="1:28" x14ac:dyDescent="0.2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</row>
    <row r="924" spans="1:28" x14ac:dyDescent="0.2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</row>
    <row r="925" spans="1:28" x14ac:dyDescent="0.2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</row>
    <row r="926" spans="1:28" x14ac:dyDescent="0.2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</row>
    <row r="927" spans="1:28" x14ac:dyDescent="0.2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</row>
    <row r="928" spans="1:28" x14ac:dyDescent="0.2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</row>
    <row r="929" spans="1:28" x14ac:dyDescent="0.2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</row>
    <row r="930" spans="1:28" x14ac:dyDescent="0.2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</row>
    <row r="931" spans="1:28" x14ac:dyDescent="0.2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</row>
    <row r="932" spans="1:28" x14ac:dyDescent="0.2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</row>
    <row r="933" spans="1:28" x14ac:dyDescent="0.2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</row>
    <row r="934" spans="1:28" x14ac:dyDescent="0.2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</row>
    <row r="935" spans="1:28" x14ac:dyDescent="0.2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</row>
    <row r="936" spans="1:28" x14ac:dyDescent="0.2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</row>
    <row r="937" spans="1:28" x14ac:dyDescent="0.2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</row>
    <row r="938" spans="1:28" x14ac:dyDescent="0.2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</row>
    <row r="939" spans="1:28" x14ac:dyDescent="0.2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</row>
    <row r="940" spans="1:28" x14ac:dyDescent="0.2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</row>
    <row r="941" spans="1:28" x14ac:dyDescent="0.2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</row>
    <row r="942" spans="1:28" x14ac:dyDescent="0.2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</row>
    <row r="943" spans="1:28" x14ac:dyDescent="0.2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</row>
    <row r="944" spans="1:28" x14ac:dyDescent="0.2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</row>
    <row r="945" spans="1:28" x14ac:dyDescent="0.2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</row>
    <row r="946" spans="1:28" x14ac:dyDescent="0.2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</row>
    <row r="947" spans="1:28" x14ac:dyDescent="0.2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</row>
    <row r="948" spans="1:28" x14ac:dyDescent="0.2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</row>
    <row r="949" spans="1:28" x14ac:dyDescent="0.2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</row>
    <row r="950" spans="1:28" x14ac:dyDescent="0.2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</row>
    <row r="951" spans="1:28" x14ac:dyDescent="0.2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</row>
    <row r="952" spans="1:28" x14ac:dyDescent="0.2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</row>
    <row r="953" spans="1:28" x14ac:dyDescent="0.2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</row>
    <row r="954" spans="1:28" x14ac:dyDescent="0.2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</row>
    <row r="955" spans="1:28" x14ac:dyDescent="0.2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</row>
    <row r="956" spans="1:28" x14ac:dyDescent="0.2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</row>
    <row r="957" spans="1:28" x14ac:dyDescent="0.2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</row>
    <row r="958" spans="1:28" x14ac:dyDescent="0.2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</row>
    <row r="959" spans="1:28" x14ac:dyDescent="0.2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</row>
    <row r="960" spans="1:28" x14ac:dyDescent="0.2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</row>
    <row r="961" spans="1:28" x14ac:dyDescent="0.2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</row>
    <row r="962" spans="1:28" x14ac:dyDescent="0.2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</row>
    <row r="963" spans="1:28" x14ac:dyDescent="0.2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</row>
    <row r="964" spans="1:28" x14ac:dyDescent="0.2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</row>
    <row r="965" spans="1:28" x14ac:dyDescent="0.2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</row>
    <row r="966" spans="1:28" x14ac:dyDescent="0.2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</row>
    <row r="967" spans="1:28" x14ac:dyDescent="0.2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</row>
    <row r="968" spans="1:28" x14ac:dyDescent="0.2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</row>
    <row r="969" spans="1:28" x14ac:dyDescent="0.2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</row>
    <row r="970" spans="1:28" x14ac:dyDescent="0.2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</row>
    <row r="971" spans="1:28" x14ac:dyDescent="0.2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</row>
    <row r="972" spans="1:28" x14ac:dyDescent="0.2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</row>
    <row r="973" spans="1:28" x14ac:dyDescent="0.2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</row>
    <row r="974" spans="1:28" x14ac:dyDescent="0.2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</row>
    <row r="975" spans="1:28" x14ac:dyDescent="0.2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</row>
    <row r="976" spans="1:28" x14ac:dyDescent="0.2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</row>
    <row r="977" spans="1:28" x14ac:dyDescent="0.2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</row>
    <row r="978" spans="1:28" x14ac:dyDescent="0.2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</row>
    <row r="979" spans="1:28" x14ac:dyDescent="0.2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</row>
    <row r="980" spans="1:28" x14ac:dyDescent="0.2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</row>
    <row r="981" spans="1:28" x14ac:dyDescent="0.2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</row>
    <row r="982" spans="1:28" x14ac:dyDescent="0.2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</row>
    <row r="983" spans="1:28" x14ac:dyDescent="0.2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</row>
    <row r="984" spans="1:28" x14ac:dyDescent="0.2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</row>
    <row r="985" spans="1:28" x14ac:dyDescent="0.2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</row>
    <row r="986" spans="1:28" x14ac:dyDescent="0.2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</row>
    <row r="987" spans="1:28" x14ac:dyDescent="0.2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</row>
    <row r="988" spans="1:28" x14ac:dyDescent="0.2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</row>
    <row r="989" spans="1:28" x14ac:dyDescent="0.2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</row>
    <row r="990" spans="1:28" x14ac:dyDescent="0.2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</row>
    <row r="991" spans="1:28" x14ac:dyDescent="0.2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</row>
    <row r="992" spans="1:28" x14ac:dyDescent="0.2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</row>
    <row r="993" spans="1:28" x14ac:dyDescent="0.2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</row>
    <row r="994" spans="1:28" x14ac:dyDescent="0.2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</row>
    <row r="995" spans="1:28" x14ac:dyDescent="0.2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</row>
    <row r="996" spans="1:28" x14ac:dyDescent="0.2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</row>
    <row r="997" spans="1:28" x14ac:dyDescent="0.2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</row>
    <row r="998" spans="1:28" x14ac:dyDescent="0.2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</row>
    <row r="999" spans="1:28" x14ac:dyDescent="0.2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</row>
    <row r="1000" spans="1:28" x14ac:dyDescent="0.2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</row>
    <row r="1001" spans="1:28" x14ac:dyDescent="0.2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  <c r="AA1001" s="106"/>
      <c r="AB1001" s="106"/>
    </row>
    <row r="1002" spans="1:28" x14ac:dyDescent="0.2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  <c r="AA1002" s="106"/>
      <c r="AB1002" s="106"/>
    </row>
    <row r="1003" spans="1:28" x14ac:dyDescent="0.2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  <c r="AA1003" s="106"/>
      <c r="AB1003" s="106"/>
    </row>
  </sheetData>
  <mergeCells count="21">
    <mergeCell ref="B24:E24"/>
    <mergeCell ref="F24:G24"/>
    <mergeCell ref="B25:F25"/>
    <mergeCell ref="P8:S16"/>
    <mergeCell ref="N12:O12"/>
    <mergeCell ref="E13:F13"/>
    <mergeCell ref="N13:O13"/>
    <mergeCell ref="C15:C17"/>
    <mergeCell ref="D15:D17"/>
    <mergeCell ref="B20:H20"/>
    <mergeCell ref="W5:X5"/>
    <mergeCell ref="B22:E22"/>
    <mergeCell ref="F22:G23"/>
    <mergeCell ref="H22:H23"/>
    <mergeCell ref="B23:E23"/>
    <mergeCell ref="B1:H1"/>
    <mergeCell ref="B3:D4"/>
    <mergeCell ref="F3:H3"/>
    <mergeCell ref="V3:X3"/>
    <mergeCell ref="F4:H4"/>
    <mergeCell ref="W4:X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B1003"/>
  <sheetViews>
    <sheetView topLeftCell="C1" workbookViewId="0">
      <selection activeCell="L13" sqref="L13"/>
    </sheetView>
  </sheetViews>
  <sheetFormatPr baseColWidth="10" defaultColWidth="14.42578125" defaultRowHeight="15.75" customHeight="1" x14ac:dyDescent="0.2"/>
  <cols>
    <col min="1" max="1" width="2.140625" customWidth="1"/>
    <col min="2" max="2" width="38.42578125" customWidth="1"/>
    <col min="4" max="4" width="9.85546875" customWidth="1"/>
    <col min="5" max="5" width="4" customWidth="1"/>
    <col min="6" max="6" width="37.28515625" customWidth="1"/>
    <col min="9" max="9" width="4.42578125" customWidth="1"/>
    <col min="10" max="10" width="5.42578125" customWidth="1"/>
    <col min="11" max="11" width="3.5703125" customWidth="1"/>
    <col min="12" max="12" width="3.7109375" customWidth="1"/>
    <col min="13" max="13" width="4.5703125" customWidth="1"/>
    <col min="14" max="14" width="4.42578125" customWidth="1"/>
    <col min="15" max="15" width="4.28515625" customWidth="1"/>
    <col min="16" max="16" width="3.5703125" customWidth="1"/>
    <col min="17" max="17" width="3.42578125" customWidth="1"/>
    <col min="18" max="18" width="4.7109375" customWidth="1"/>
  </cols>
  <sheetData>
    <row r="1" spans="1:28" x14ac:dyDescent="0.2">
      <c r="A1" s="106"/>
      <c r="B1" s="170" t="s">
        <v>49</v>
      </c>
      <c r="C1" s="144"/>
      <c r="D1" s="144"/>
      <c r="E1" s="144"/>
      <c r="F1" s="144"/>
      <c r="G1" s="144"/>
      <c r="H1" s="145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1:28" x14ac:dyDescent="0.2">
      <c r="A2" s="106"/>
      <c r="B2" s="107"/>
      <c r="C2" s="107"/>
      <c r="D2" s="107"/>
      <c r="E2" s="107"/>
      <c r="F2" s="107"/>
      <c r="G2" s="107"/>
      <c r="H2" s="107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07"/>
      <c r="X2" s="107"/>
      <c r="Y2" s="106"/>
      <c r="Z2" s="106"/>
      <c r="AA2" s="106"/>
      <c r="AB2" s="106"/>
    </row>
    <row r="3" spans="1:28" x14ac:dyDescent="0.2">
      <c r="A3" s="106"/>
      <c r="B3" s="171" t="s">
        <v>50</v>
      </c>
      <c r="C3" s="139"/>
      <c r="D3" s="140"/>
      <c r="E3" s="107"/>
      <c r="F3" s="146"/>
      <c r="G3" s="144"/>
      <c r="H3" s="145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46" t="s">
        <v>52</v>
      </c>
      <c r="W3" s="144"/>
      <c r="X3" s="145"/>
      <c r="Y3" s="106"/>
      <c r="Z3" s="106"/>
      <c r="AA3" s="106"/>
      <c r="AB3" s="106"/>
    </row>
    <row r="4" spans="1:28" x14ac:dyDescent="0.2">
      <c r="A4" s="106"/>
      <c r="B4" s="150"/>
      <c r="C4" s="141"/>
      <c r="D4" s="142"/>
      <c r="E4" s="107"/>
      <c r="F4" s="146" t="s">
        <v>88</v>
      </c>
      <c r="G4" s="144"/>
      <c r="H4" s="145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8" t="s">
        <v>54</v>
      </c>
      <c r="W4" s="147">
        <f>SQRT(3)</f>
        <v>1.7320508075688772</v>
      </c>
      <c r="X4" s="145"/>
      <c r="Y4" s="106"/>
      <c r="Z4" s="106"/>
      <c r="AA4" s="106"/>
      <c r="AB4" s="106"/>
    </row>
    <row r="5" spans="1:28" x14ac:dyDescent="0.2">
      <c r="A5" s="106"/>
      <c r="B5" s="109" t="s">
        <v>89</v>
      </c>
      <c r="C5" s="110">
        <f>ROUND(IF(C13=V4,(C9/(C12*C11*W4)),(C9/(C12*C11))),4)</f>
        <v>0.6522</v>
      </c>
      <c r="D5" s="111">
        <f>ROUND((C12*C11)/C9,4)</f>
        <v>1.5333000000000001</v>
      </c>
      <c r="E5" s="107"/>
      <c r="F5" s="112" t="s">
        <v>56</v>
      </c>
      <c r="G5" s="113">
        <v>0.92</v>
      </c>
      <c r="H5" s="107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8" t="s">
        <v>57</v>
      </c>
      <c r="W5" s="147">
        <v>1</v>
      </c>
      <c r="X5" s="145"/>
      <c r="Y5" s="106"/>
      <c r="Z5" s="106"/>
      <c r="AA5" s="106"/>
      <c r="AB5" s="106"/>
    </row>
    <row r="6" spans="1:28" x14ac:dyDescent="0.2">
      <c r="A6" s="106"/>
      <c r="B6" s="109" t="s">
        <v>58</v>
      </c>
      <c r="C6" s="115">
        <f>ROUND(ACOS(C5)*180/PI(),4)</f>
        <v>49.292299999999997</v>
      </c>
      <c r="D6" s="111" t="s">
        <v>40</v>
      </c>
      <c r="E6" s="107"/>
      <c r="F6" s="112" t="s">
        <v>58</v>
      </c>
      <c r="G6" s="111">
        <f>ROUND(ACOS(G5)*180/PI(),4)</f>
        <v>23.073899999999998</v>
      </c>
      <c r="H6" s="111" t="s">
        <v>40</v>
      </c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</row>
    <row r="7" spans="1:28" ht="12.75" x14ac:dyDescent="0.2">
      <c r="A7" s="106"/>
      <c r="B7" s="109" t="s">
        <v>59</v>
      </c>
      <c r="C7" s="116">
        <f>ROUND(TAN(ACOS(C5)*180/PI()*PI()/180),4)</f>
        <v>1.1623000000000001</v>
      </c>
      <c r="D7" s="111"/>
      <c r="E7" s="107"/>
      <c r="F7" s="174" t="s">
        <v>59</v>
      </c>
      <c r="G7" s="175">
        <f>ROUND(TAN(ACOS(G5)*180/PI()*PI()/180),4)</f>
        <v>0.42599999999999999</v>
      </c>
      <c r="H7" s="175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</row>
    <row r="8" spans="1:28" ht="12.75" x14ac:dyDescent="0.2">
      <c r="A8" s="106"/>
      <c r="B8" s="109" t="s">
        <v>91</v>
      </c>
      <c r="C8" s="117">
        <f>SIN(ACOS(C5)*180/PI()*PI()/180)</f>
        <v>0.75804693786071065</v>
      </c>
      <c r="D8" s="111"/>
      <c r="E8" s="106"/>
      <c r="F8" s="178" t="s">
        <v>98</v>
      </c>
      <c r="G8" s="176">
        <v>42.012500000000003</v>
      </c>
      <c r="H8" s="177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</row>
    <row r="9" spans="1:28" ht="12.75" x14ac:dyDescent="0.2">
      <c r="A9" s="106"/>
      <c r="B9" s="118" t="s">
        <v>92</v>
      </c>
      <c r="C9" s="127">
        <v>1500</v>
      </c>
      <c r="D9" s="111" t="s">
        <v>61</v>
      </c>
      <c r="E9" s="106"/>
      <c r="F9" s="178" t="s">
        <v>99</v>
      </c>
      <c r="G9" s="176">
        <v>0.66929300000000003</v>
      </c>
      <c r="H9" s="177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</row>
    <row r="10" spans="1:28" ht="12.75" x14ac:dyDescent="0.2">
      <c r="A10" s="106"/>
      <c r="B10" s="109" t="s">
        <v>62</v>
      </c>
      <c r="C10" s="113">
        <v>50</v>
      </c>
      <c r="D10" s="111" t="s">
        <v>2</v>
      </c>
      <c r="E10" s="106"/>
      <c r="F10" s="178" t="s">
        <v>56</v>
      </c>
      <c r="G10" s="176">
        <v>0.74299851630000002</v>
      </c>
      <c r="H10" s="177"/>
      <c r="I10" s="106"/>
      <c r="J10" s="114" t="s">
        <v>63</v>
      </c>
      <c r="K10" s="106"/>
      <c r="L10" s="106"/>
      <c r="M10" s="114" t="s">
        <v>90</v>
      </c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</row>
    <row r="11" spans="1:28" ht="12.75" x14ac:dyDescent="0.2">
      <c r="A11" s="106"/>
      <c r="B11" s="109" t="s">
        <v>63</v>
      </c>
      <c r="C11" s="119">
        <v>10</v>
      </c>
      <c r="D11" s="111" t="s">
        <v>35</v>
      </c>
      <c r="E11" s="107"/>
      <c r="G11" s="106"/>
      <c r="H11" s="106"/>
      <c r="I11" s="106"/>
      <c r="J11" s="55"/>
      <c r="K11" s="55"/>
      <c r="L11" s="55"/>
      <c r="M11" s="55"/>
      <c r="N11" s="55"/>
      <c r="O11" s="55"/>
      <c r="P11" s="55"/>
      <c r="Q11" s="55"/>
      <c r="R11" s="55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</row>
    <row r="12" spans="1:28" x14ac:dyDescent="0.2">
      <c r="A12" s="106"/>
      <c r="B12" s="109" t="s">
        <v>64</v>
      </c>
      <c r="C12" s="119">
        <v>230</v>
      </c>
      <c r="D12" s="111" t="s">
        <v>18</v>
      </c>
      <c r="E12" s="107"/>
      <c r="F12" s="107"/>
      <c r="G12" s="106"/>
      <c r="H12" s="106"/>
      <c r="I12" s="106"/>
      <c r="J12" s="66">
        <f>C11</f>
        <v>10</v>
      </c>
      <c r="K12" s="67" t="s">
        <v>35</v>
      </c>
      <c r="L12" s="66"/>
      <c r="M12" s="68">
        <f>G18</f>
        <v>7.0888468809073721</v>
      </c>
      <c r="N12" s="69" t="s">
        <v>35</v>
      </c>
      <c r="O12" s="55"/>
      <c r="P12" s="55"/>
      <c r="Q12" s="55"/>
      <c r="R12" s="55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</row>
    <row r="13" spans="1:28" x14ac:dyDescent="0.2">
      <c r="A13" s="106"/>
      <c r="B13" s="109" t="s">
        <v>65</v>
      </c>
      <c r="C13" s="119" t="s">
        <v>57</v>
      </c>
      <c r="D13" s="111"/>
      <c r="E13" s="147">
        <v>1</v>
      </c>
      <c r="F13" s="145"/>
      <c r="G13" s="106"/>
      <c r="H13" s="106"/>
      <c r="I13" s="106"/>
      <c r="J13" s="66"/>
      <c r="K13" s="66"/>
      <c r="L13" s="66"/>
      <c r="M13" s="70"/>
      <c r="N13" s="70"/>
      <c r="O13" s="155" t="str">
        <f>" CARGA Z = φ "&amp;C6</f>
        <v xml:space="preserve"> CARGA Z = φ 49,2923</v>
      </c>
      <c r="P13" s="156"/>
      <c r="Q13" s="156"/>
      <c r="R13" s="157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</row>
    <row r="14" spans="1:28" x14ac:dyDescent="0.2">
      <c r="A14" s="106"/>
      <c r="B14" s="106"/>
      <c r="C14" s="107"/>
      <c r="D14" s="106"/>
      <c r="E14" s="107"/>
      <c r="F14" s="128" t="s">
        <v>96</v>
      </c>
      <c r="G14" s="121">
        <f>SQRT(C9^2+(C15-F22)^2)</f>
        <v>1630.458546699914</v>
      </c>
      <c r="H14" s="120" t="s">
        <v>48</v>
      </c>
      <c r="I14" s="106"/>
      <c r="J14" s="72"/>
      <c r="K14" s="72"/>
      <c r="L14" s="72"/>
      <c r="M14" s="73"/>
      <c r="N14" s="73"/>
      <c r="O14" s="158"/>
      <c r="P14" s="131"/>
      <c r="Q14" s="131"/>
      <c r="R14" s="159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</row>
    <row r="15" spans="1:28" x14ac:dyDescent="0.2">
      <c r="A15" s="106"/>
      <c r="B15" s="120" t="s">
        <v>93</v>
      </c>
      <c r="C15" s="165">
        <f>IF(C13=V4,C12*C11*SIN(ACOS(C5)*180/PI()*PI()/180)*W4,C12*C11*SIN(ACOS(C5)*180/PI()*PI()/180))</f>
        <v>1743.5079570796345</v>
      </c>
      <c r="D15" s="151" t="s">
        <v>45</v>
      </c>
      <c r="E15" s="107"/>
      <c r="F15" s="120" t="s">
        <v>69</v>
      </c>
      <c r="G15" s="121">
        <f>C9/G5</f>
        <v>1630.4347826086955</v>
      </c>
      <c r="H15" s="120" t="s">
        <v>48</v>
      </c>
      <c r="I15" s="106"/>
      <c r="J15" s="74"/>
      <c r="K15" s="75"/>
      <c r="L15" s="75"/>
      <c r="M15" s="76"/>
      <c r="N15" s="77"/>
      <c r="O15" s="158"/>
      <c r="P15" s="131"/>
      <c r="Q15" s="131"/>
      <c r="R15" s="159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</row>
    <row r="16" spans="1:28" x14ac:dyDescent="0.2">
      <c r="A16" s="106"/>
      <c r="B16" s="122" t="s">
        <v>94</v>
      </c>
      <c r="C16" s="166"/>
      <c r="D16" s="166"/>
      <c r="E16" s="107"/>
      <c r="F16" s="123" t="s">
        <v>70</v>
      </c>
      <c r="G16" s="124">
        <f>SQRT(G15^2-C9^2)</f>
        <v>638.99732420430712</v>
      </c>
      <c r="H16" s="123" t="s">
        <v>45</v>
      </c>
      <c r="I16" s="106"/>
      <c r="J16" s="66"/>
      <c r="K16" s="66"/>
      <c r="L16" s="78"/>
      <c r="M16" s="79"/>
      <c r="N16" s="80"/>
      <c r="O16" s="158"/>
      <c r="P16" s="131"/>
      <c r="Q16" s="131"/>
      <c r="R16" s="159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</row>
    <row r="17" spans="1:28" x14ac:dyDescent="0.2">
      <c r="A17" s="106"/>
      <c r="B17" s="122" t="s">
        <v>71</v>
      </c>
      <c r="C17" s="152"/>
      <c r="D17" s="152"/>
      <c r="E17" s="107"/>
      <c r="F17" s="129" t="s">
        <v>97</v>
      </c>
      <c r="G17" s="124">
        <f>C15-F22</f>
        <v>639.05795707963421</v>
      </c>
      <c r="H17" s="123" t="s">
        <v>45</v>
      </c>
      <c r="I17" s="106"/>
      <c r="J17" s="66"/>
      <c r="K17" s="66"/>
      <c r="L17" s="66"/>
      <c r="M17" s="163">
        <f>D26</f>
        <v>0</v>
      </c>
      <c r="N17" s="159"/>
      <c r="O17" s="158"/>
      <c r="P17" s="131"/>
      <c r="Q17" s="131"/>
      <c r="R17" s="159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</row>
    <row r="18" spans="1:28" x14ac:dyDescent="0.2">
      <c r="A18" s="106"/>
      <c r="B18" s="106"/>
      <c r="C18" s="106"/>
      <c r="D18" s="106"/>
      <c r="E18" s="106"/>
      <c r="F18" s="120" t="s">
        <v>72</v>
      </c>
      <c r="G18" s="125">
        <f>IF(C13=V4,G15/C12,G15/C12)</f>
        <v>7.0888468809073721</v>
      </c>
      <c r="H18" s="120" t="s">
        <v>35</v>
      </c>
      <c r="I18" s="106"/>
      <c r="J18" s="82"/>
      <c r="K18" s="83"/>
      <c r="L18" s="83"/>
      <c r="M18" s="164" t="s">
        <v>66</v>
      </c>
      <c r="N18" s="162"/>
      <c r="O18" s="158"/>
      <c r="P18" s="131"/>
      <c r="Q18" s="131"/>
      <c r="R18" s="159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</row>
    <row r="19" spans="1:28" x14ac:dyDescent="0.2">
      <c r="A19" s="106"/>
      <c r="B19" s="106"/>
      <c r="C19" s="106"/>
      <c r="D19" s="106"/>
      <c r="E19" s="106"/>
      <c r="F19" s="106"/>
      <c r="G19" s="106"/>
      <c r="H19" s="106"/>
      <c r="I19" s="106"/>
      <c r="J19" s="55"/>
      <c r="K19" s="55"/>
      <c r="L19" s="55"/>
      <c r="M19" s="55"/>
      <c r="N19" s="55"/>
      <c r="O19" s="158"/>
      <c r="P19" s="131"/>
      <c r="Q19" s="131"/>
      <c r="R19" s="159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</row>
    <row r="20" spans="1:28" x14ac:dyDescent="0.2">
      <c r="A20" s="106"/>
      <c r="B20" s="146" t="s">
        <v>73</v>
      </c>
      <c r="C20" s="144"/>
      <c r="D20" s="144"/>
      <c r="E20" s="144"/>
      <c r="F20" s="144"/>
      <c r="G20" s="144"/>
      <c r="H20" s="145"/>
      <c r="I20" s="106"/>
      <c r="J20" s="55"/>
      <c r="K20" s="55"/>
      <c r="L20" s="55"/>
      <c r="M20" s="55"/>
      <c r="N20" s="55"/>
      <c r="O20" s="158"/>
      <c r="P20" s="131"/>
      <c r="Q20" s="131"/>
      <c r="R20" s="159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</row>
    <row r="21" spans="1:28" x14ac:dyDescent="0.2">
      <c r="A21" s="106"/>
      <c r="B21" s="107"/>
      <c r="C21" s="107"/>
      <c r="D21" s="107"/>
      <c r="E21" s="107"/>
      <c r="F21" s="107"/>
      <c r="G21" s="107"/>
      <c r="H21" s="107"/>
      <c r="I21" s="106"/>
      <c r="J21" s="55"/>
      <c r="K21" s="55"/>
      <c r="L21" s="55"/>
      <c r="M21" s="55"/>
      <c r="N21" s="55"/>
      <c r="O21" s="160"/>
      <c r="P21" s="161"/>
      <c r="Q21" s="161"/>
      <c r="R21" s="162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</row>
    <row r="22" spans="1:28" x14ac:dyDescent="0.2">
      <c r="A22" s="106"/>
      <c r="B22" s="172" t="s">
        <v>74</v>
      </c>
      <c r="C22" s="144"/>
      <c r="D22" s="144"/>
      <c r="E22" s="145"/>
      <c r="F22" s="173">
        <f>C9*(C7-G7)</f>
        <v>1104.4500000000003</v>
      </c>
      <c r="G22" s="140"/>
      <c r="H22" s="151" t="s">
        <v>66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</row>
    <row r="23" spans="1:28" x14ac:dyDescent="0.2">
      <c r="A23" s="106"/>
      <c r="B23" s="172" t="str">
        <f>F9&amp; " * " &amp;"( "&amp;F7&amp; " - "&amp;J7&amp;" )"</f>
        <v>Senoφ * ( Tgφ -  )</v>
      </c>
      <c r="C23" s="144"/>
      <c r="D23" s="144"/>
      <c r="E23" s="145"/>
      <c r="F23" s="150"/>
      <c r="G23" s="142"/>
      <c r="H23" s="152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</row>
    <row r="24" spans="1:28" x14ac:dyDescent="0.2">
      <c r="A24" s="106"/>
      <c r="B24" s="154" t="s">
        <v>75</v>
      </c>
      <c r="C24" s="144"/>
      <c r="D24" s="144"/>
      <c r="E24" s="145"/>
      <c r="F24" s="154">
        <f>ROUND((F22*10^9)/(2*PI()*C10*C12^2),2)</f>
        <v>66456.97</v>
      </c>
      <c r="G24" s="145"/>
      <c r="H24" s="126" t="s">
        <v>76</v>
      </c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</row>
    <row r="25" spans="1:28" x14ac:dyDescent="0.2">
      <c r="A25" s="107"/>
      <c r="B25" s="172" t="s">
        <v>95</v>
      </c>
      <c r="C25" s="144"/>
      <c r="D25" s="144"/>
      <c r="E25" s="144"/>
      <c r="F25" s="145"/>
      <c r="G25" s="125">
        <f>F22/C12</f>
        <v>4.8019565217391316</v>
      </c>
      <c r="H25" s="120" t="s">
        <v>35</v>
      </c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</row>
    <row r="26" spans="1:28" x14ac:dyDescent="0.2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</row>
    <row r="27" spans="1:28" x14ac:dyDescent="0.2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</row>
    <row r="28" spans="1:28" x14ac:dyDescent="0.2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</row>
    <row r="29" spans="1:28" x14ac:dyDescent="0.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</row>
    <row r="30" spans="1:28" x14ac:dyDescent="0.2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</row>
    <row r="31" spans="1:28" x14ac:dyDescent="0.2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</row>
    <row r="32" spans="1:28" x14ac:dyDescent="0.2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</row>
    <row r="33" spans="1:28" x14ac:dyDescent="0.2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</row>
    <row r="34" spans="1:28" x14ac:dyDescent="0.2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</row>
    <row r="35" spans="1:28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</row>
    <row r="36" spans="1:28" x14ac:dyDescent="0.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</row>
    <row r="37" spans="1:28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</row>
    <row r="38" spans="1:28" x14ac:dyDescent="0.2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</row>
    <row r="39" spans="1:28" x14ac:dyDescent="0.2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</row>
    <row r="40" spans="1:28" x14ac:dyDescent="0.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</row>
    <row r="41" spans="1:28" x14ac:dyDescent="0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</row>
    <row r="42" spans="1:28" x14ac:dyDescent="0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</row>
    <row r="43" spans="1:28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</row>
    <row r="44" spans="1:28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</row>
    <row r="45" spans="1:28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</row>
    <row r="46" spans="1:28" x14ac:dyDescent="0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</row>
    <row r="47" spans="1:28" x14ac:dyDescent="0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</row>
    <row r="48" spans="1:28" x14ac:dyDescent="0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</row>
    <row r="49" spans="1:28" x14ac:dyDescent="0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</row>
    <row r="50" spans="1:28" x14ac:dyDescent="0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</row>
    <row r="51" spans="1:28" x14ac:dyDescent="0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</row>
    <row r="52" spans="1:28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</row>
    <row r="53" spans="1:28" x14ac:dyDescent="0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</row>
    <row r="54" spans="1:28" x14ac:dyDescent="0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</row>
    <row r="55" spans="1:28" x14ac:dyDescent="0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</row>
    <row r="56" spans="1:28" x14ac:dyDescent="0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</row>
    <row r="57" spans="1:28" x14ac:dyDescent="0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</row>
    <row r="58" spans="1:28" x14ac:dyDescent="0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</row>
    <row r="59" spans="1:28" x14ac:dyDescent="0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</row>
    <row r="60" spans="1:28" x14ac:dyDescent="0.2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</row>
    <row r="61" spans="1:28" x14ac:dyDescent="0.2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</row>
    <row r="62" spans="1:28" x14ac:dyDescent="0.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</row>
    <row r="63" spans="1:28" x14ac:dyDescent="0.2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</row>
    <row r="64" spans="1:28" x14ac:dyDescent="0.2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</row>
    <row r="65" spans="1:28" x14ac:dyDescent="0.2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</row>
    <row r="66" spans="1:28" x14ac:dyDescent="0.2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</row>
    <row r="67" spans="1:28" x14ac:dyDescent="0.2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</row>
    <row r="68" spans="1:28" x14ac:dyDescent="0.2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</row>
    <row r="69" spans="1:28" x14ac:dyDescent="0.2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</row>
    <row r="70" spans="1:28" x14ac:dyDescent="0.2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</row>
    <row r="71" spans="1:28" x14ac:dyDescent="0.2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</row>
    <row r="72" spans="1:28" x14ac:dyDescent="0.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</row>
    <row r="73" spans="1:28" x14ac:dyDescent="0.2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</row>
    <row r="74" spans="1:28" x14ac:dyDescent="0.2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</row>
    <row r="75" spans="1:28" x14ac:dyDescent="0.2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</row>
    <row r="76" spans="1:28" x14ac:dyDescent="0.2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</row>
    <row r="77" spans="1:28" x14ac:dyDescent="0.2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</row>
    <row r="78" spans="1:28" x14ac:dyDescent="0.2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</row>
    <row r="79" spans="1:28" x14ac:dyDescent="0.2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</row>
    <row r="80" spans="1:28" x14ac:dyDescent="0.2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</row>
    <row r="81" spans="1:28" x14ac:dyDescent="0.2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</row>
    <row r="82" spans="1:28" x14ac:dyDescent="0.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</row>
    <row r="83" spans="1:28" x14ac:dyDescent="0.2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</row>
    <row r="84" spans="1:28" x14ac:dyDescent="0.2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</row>
    <row r="85" spans="1:28" x14ac:dyDescent="0.2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</row>
    <row r="86" spans="1:28" x14ac:dyDescent="0.2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</row>
    <row r="87" spans="1:28" x14ac:dyDescent="0.2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</row>
    <row r="88" spans="1:28" x14ac:dyDescent="0.2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</row>
    <row r="89" spans="1:28" x14ac:dyDescent="0.2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</row>
    <row r="90" spans="1:28" x14ac:dyDescent="0.2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</row>
    <row r="91" spans="1:28" x14ac:dyDescent="0.2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</row>
    <row r="92" spans="1:28" x14ac:dyDescent="0.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</row>
    <row r="93" spans="1:28" x14ac:dyDescent="0.2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</row>
    <row r="94" spans="1:28" x14ac:dyDescent="0.2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</row>
    <row r="95" spans="1:28" x14ac:dyDescent="0.2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</row>
    <row r="96" spans="1:28" x14ac:dyDescent="0.2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</row>
    <row r="97" spans="1:28" x14ac:dyDescent="0.2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</row>
    <row r="98" spans="1:28" x14ac:dyDescent="0.2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</row>
    <row r="99" spans="1:28" x14ac:dyDescent="0.2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</row>
    <row r="100" spans="1:28" x14ac:dyDescent="0.2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</row>
    <row r="101" spans="1:28" x14ac:dyDescent="0.2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</row>
    <row r="102" spans="1:28" x14ac:dyDescent="0.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</row>
    <row r="103" spans="1:28" x14ac:dyDescent="0.2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</row>
    <row r="104" spans="1:28" x14ac:dyDescent="0.2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</row>
    <row r="105" spans="1:28" x14ac:dyDescent="0.2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</row>
    <row r="106" spans="1:28" x14ac:dyDescent="0.2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</row>
    <row r="107" spans="1:28" x14ac:dyDescent="0.2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</row>
    <row r="108" spans="1:28" x14ac:dyDescent="0.2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</row>
    <row r="109" spans="1:28" x14ac:dyDescent="0.2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</row>
    <row r="110" spans="1:28" x14ac:dyDescent="0.2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</row>
    <row r="111" spans="1:28" x14ac:dyDescent="0.2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</row>
    <row r="112" spans="1:28" x14ac:dyDescent="0.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</row>
    <row r="113" spans="1:28" x14ac:dyDescent="0.2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</row>
    <row r="114" spans="1:28" x14ac:dyDescent="0.2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</row>
    <row r="115" spans="1:28" x14ac:dyDescent="0.2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</row>
    <row r="116" spans="1:28" x14ac:dyDescent="0.2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</row>
    <row r="117" spans="1:28" x14ac:dyDescent="0.2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</row>
    <row r="118" spans="1:28" x14ac:dyDescent="0.2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</row>
    <row r="119" spans="1:28" x14ac:dyDescent="0.2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</row>
    <row r="120" spans="1:28" x14ac:dyDescent="0.2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</row>
    <row r="121" spans="1:28" x14ac:dyDescent="0.2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</row>
    <row r="122" spans="1:28" x14ac:dyDescent="0.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</row>
    <row r="123" spans="1:28" x14ac:dyDescent="0.2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</row>
    <row r="124" spans="1:28" x14ac:dyDescent="0.2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</row>
    <row r="125" spans="1:28" x14ac:dyDescent="0.2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</row>
    <row r="126" spans="1:28" x14ac:dyDescent="0.2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</row>
    <row r="127" spans="1:28" x14ac:dyDescent="0.2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</row>
    <row r="128" spans="1:28" x14ac:dyDescent="0.2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</row>
    <row r="129" spans="1:28" x14ac:dyDescent="0.2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</row>
    <row r="130" spans="1:28" x14ac:dyDescent="0.2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</row>
    <row r="131" spans="1:28" x14ac:dyDescent="0.2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</row>
    <row r="132" spans="1:28" x14ac:dyDescent="0.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</row>
    <row r="133" spans="1:28" x14ac:dyDescent="0.2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</row>
    <row r="134" spans="1:28" x14ac:dyDescent="0.2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</row>
    <row r="135" spans="1:28" x14ac:dyDescent="0.2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</row>
    <row r="136" spans="1:28" x14ac:dyDescent="0.2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</row>
    <row r="137" spans="1:28" x14ac:dyDescent="0.2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</row>
    <row r="138" spans="1:28" x14ac:dyDescent="0.2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</row>
    <row r="139" spans="1:28" x14ac:dyDescent="0.2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</row>
    <row r="140" spans="1:28" x14ac:dyDescent="0.2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</row>
    <row r="141" spans="1:28" x14ac:dyDescent="0.2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</row>
    <row r="142" spans="1:28" x14ac:dyDescent="0.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</row>
    <row r="143" spans="1:28" x14ac:dyDescent="0.2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</row>
    <row r="144" spans="1:28" x14ac:dyDescent="0.2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</row>
    <row r="145" spans="1:28" x14ac:dyDescent="0.2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</row>
    <row r="146" spans="1:28" x14ac:dyDescent="0.2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</row>
    <row r="147" spans="1:28" x14ac:dyDescent="0.2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</row>
    <row r="148" spans="1:28" x14ac:dyDescent="0.2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</row>
    <row r="149" spans="1:28" x14ac:dyDescent="0.2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</row>
    <row r="150" spans="1:28" x14ac:dyDescent="0.2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</row>
    <row r="151" spans="1:28" x14ac:dyDescent="0.2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</row>
    <row r="152" spans="1:28" x14ac:dyDescent="0.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</row>
    <row r="153" spans="1:28" x14ac:dyDescent="0.2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</row>
    <row r="154" spans="1:28" x14ac:dyDescent="0.2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</row>
    <row r="155" spans="1:28" x14ac:dyDescent="0.2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</row>
    <row r="156" spans="1:28" x14ac:dyDescent="0.2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</row>
    <row r="157" spans="1:28" x14ac:dyDescent="0.2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</row>
    <row r="158" spans="1:28" x14ac:dyDescent="0.2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</row>
    <row r="159" spans="1:28" x14ac:dyDescent="0.2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</row>
    <row r="160" spans="1:28" x14ac:dyDescent="0.2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</row>
    <row r="161" spans="1:28" x14ac:dyDescent="0.2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</row>
    <row r="162" spans="1:28" x14ac:dyDescent="0.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</row>
    <row r="163" spans="1:28" x14ac:dyDescent="0.2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</row>
    <row r="164" spans="1:28" x14ac:dyDescent="0.2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</row>
    <row r="165" spans="1:28" x14ac:dyDescent="0.2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</row>
    <row r="166" spans="1:28" x14ac:dyDescent="0.2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</row>
    <row r="167" spans="1:28" x14ac:dyDescent="0.2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</row>
    <row r="168" spans="1:28" x14ac:dyDescent="0.2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</row>
    <row r="169" spans="1:28" x14ac:dyDescent="0.2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</row>
    <row r="170" spans="1:28" x14ac:dyDescent="0.2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</row>
    <row r="171" spans="1:28" x14ac:dyDescent="0.2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</row>
    <row r="172" spans="1:28" x14ac:dyDescent="0.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</row>
    <row r="173" spans="1:28" x14ac:dyDescent="0.2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</row>
    <row r="174" spans="1:28" x14ac:dyDescent="0.2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</row>
    <row r="175" spans="1:28" x14ac:dyDescent="0.2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</row>
    <row r="176" spans="1:28" x14ac:dyDescent="0.2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</row>
    <row r="177" spans="1:28" x14ac:dyDescent="0.2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</row>
    <row r="178" spans="1:28" x14ac:dyDescent="0.2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</row>
    <row r="179" spans="1:28" x14ac:dyDescent="0.2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</row>
    <row r="180" spans="1:28" x14ac:dyDescent="0.2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</row>
    <row r="181" spans="1:28" x14ac:dyDescent="0.2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</row>
    <row r="182" spans="1:28" x14ac:dyDescent="0.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</row>
    <row r="183" spans="1:28" x14ac:dyDescent="0.2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</row>
    <row r="184" spans="1:28" x14ac:dyDescent="0.2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</row>
    <row r="185" spans="1:28" x14ac:dyDescent="0.2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</row>
    <row r="186" spans="1:28" x14ac:dyDescent="0.2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</row>
    <row r="187" spans="1:28" x14ac:dyDescent="0.2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</row>
    <row r="188" spans="1:28" x14ac:dyDescent="0.2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</row>
    <row r="189" spans="1:28" x14ac:dyDescent="0.2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</row>
    <row r="190" spans="1:28" x14ac:dyDescent="0.2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</row>
    <row r="191" spans="1:28" x14ac:dyDescent="0.2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</row>
    <row r="192" spans="1:28" x14ac:dyDescent="0.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</row>
    <row r="193" spans="1:28" x14ac:dyDescent="0.2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</row>
    <row r="194" spans="1:28" x14ac:dyDescent="0.2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</row>
    <row r="195" spans="1:28" x14ac:dyDescent="0.2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</row>
    <row r="196" spans="1:28" x14ac:dyDescent="0.2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</row>
    <row r="197" spans="1:28" x14ac:dyDescent="0.2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</row>
    <row r="198" spans="1:28" x14ac:dyDescent="0.2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</row>
    <row r="199" spans="1:28" x14ac:dyDescent="0.2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</row>
    <row r="200" spans="1:28" x14ac:dyDescent="0.2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</row>
    <row r="201" spans="1:28" x14ac:dyDescent="0.2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</row>
    <row r="202" spans="1:28" x14ac:dyDescent="0.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</row>
    <row r="203" spans="1:28" x14ac:dyDescent="0.2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</row>
    <row r="204" spans="1:28" x14ac:dyDescent="0.2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</row>
    <row r="205" spans="1:28" x14ac:dyDescent="0.2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</row>
    <row r="206" spans="1:28" x14ac:dyDescent="0.2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</row>
    <row r="207" spans="1:28" x14ac:dyDescent="0.2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</row>
    <row r="208" spans="1:28" x14ac:dyDescent="0.2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</row>
    <row r="209" spans="1:28" x14ac:dyDescent="0.2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</row>
    <row r="210" spans="1:28" x14ac:dyDescent="0.2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</row>
    <row r="211" spans="1:28" x14ac:dyDescent="0.2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</row>
    <row r="212" spans="1:28" x14ac:dyDescent="0.2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</row>
    <row r="213" spans="1:28" x14ac:dyDescent="0.2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</row>
    <row r="214" spans="1:28" x14ac:dyDescent="0.2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</row>
    <row r="215" spans="1:28" x14ac:dyDescent="0.2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</row>
    <row r="216" spans="1:28" x14ac:dyDescent="0.2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</row>
    <row r="217" spans="1:28" x14ac:dyDescent="0.2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</row>
    <row r="218" spans="1:28" x14ac:dyDescent="0.2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</row>
    <row r="219" spans="1:28" x14ac:dyDescent="0.2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</row>
    <row r="220" spans="1:28" x14ac:dyDescent="0.2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</row>
    <row r="221" spans="1:28" x14ac:dyDescent="0.2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</row>
    <row r="222" spans="1:28" x14ac:dyDescent="0.2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</row>
    <row r="223" spans="1:28" x14ac:dyDescent="0.2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</row>
    <row r="224" spans="1:28" x14ac:dyDescent="0.2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</row>
    <row r="225" spans="1:28" x14ac:dyDescent="0.2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</row>
    <row r="226" spans="1:28" x14ac:dyDescent="0.2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</row>
    <row r="227" spans="1:28" x14ac:dyDescent="0.2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</row>
    <row r="228" spans="1:28" x14ac:dyDescent="0.2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</row>
    <row r="229" spans="1:28" x14ac:dyDescent="0.2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</row>
    <row r="230" spans="1:28" x14ac:dyDescent="0.2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</row>
    <row r="231" spans="1:28" x14ac:dyDescent="0.2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</row>
    <row r="232" spans="1:28" x14ac:dyDescent="0.2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</row>
    <row r="233" spans="1:28" x14ac:dyDescent="0.2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</row>
    <row r="234" spans="1:28" x14ac:dyDescent="0.2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</row>
    <row r="235" spans="1:28" x14ac:dyDescent="0.2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</row>
    <row r="236" spans="1:28" x14ac:dyDescent="0.2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</row>
    <row r="237" spans="1:28" x14ac:dyDescent="0.2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</row>
    <row r="238" spans="1:28" x14ac:dyDescent="0.2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</row>
    <row r="239" spans="1:28" x14ac:dyDescent="0.2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</row>
    <row r="240" spans="1:28" x14ac:dyDescent="0.2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</row>
    <row r="241" spans="1:28" x14ac:dyDescent="0.2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</row>
    <row r="242" spans="1:28" x14ac:dyDescent="0.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</row>
    <row r="243" spans="1:28" x14ac:dyDescent="0.2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</row>
    <row r="244" spans="1:28" x14ac:dyDescent="0.2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</row>
    <row r="245" spans="1:28" x14ac:dyDescent="0.2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</row>
    <row r="246" spans="1:28" x14ac:dyDescent="0.2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</row>
    <row r="247" spans="1:28" x14ac:dyDescent="0.2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</row>
    <row r="248" spans="1:28" x14ac:dyDescent="0.2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</row>
    <row r="249" spans="1:28" x14ac:dyDescent="0.2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</row>
    <row r="250" spans="1:28" x14ac:dyDescent="0.2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</row>
    <row r="251" spans="1:28" x14ac:dyDescent="0.2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</row>
    <row r="252" spans="1:28" x14ac:dyDescent="0.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</row>
    <row r="253" spans="1:28" x14ac:dyDescent="0.2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</row>
    <row r="254" spans="1:28" x14ac:dyDescent="0.2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</row>
    <row r="255" spans="1:28" x14ac:dyDescent="0.2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</row>
    <row r="256" spans="1:28" x14ac:dyDescent="0.2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</row>
    <row r="257" spans="1:28" x14ac:dyDescent="0.2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</row>
    <row r="258" spans="1:28" x14ac:dyDescent="0.2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</row>
    <row r="259" spans="1:28" x14ac:dyDescent="0.2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</row>
    <row r="260" spans="1:28" x14ac:dyDescent="0.2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</row>
    <row r="261" spans="1:28" x14ac:dyDescent="0.2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</row>
    <row r="262" spans="1:28" x14ac:dyDescent="0.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</row>
    <row r="263" spans="1:28" x14ac:dyDescent="0.2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</row>
    <row r="264" spans="1:28" x14ac:dyDescent="0.2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</row>
    <row r="265" spans="1:28" x14ac:dyDescent="0.2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</row>
    <row r="266" spans="1:28" x14ac:dyDescent="0.2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</row>
    <row r="267" spans="1:28" x14ac:dyDescent="0.2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</row>
    <row r="268" spans="1:28" x14ac:dyDescent="0.2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</row>
    <row r="269" spans="1:28" x14ac:dyDescent="0.2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</row>
    <row r="270" spans="1:28" x14ac:dyDescent="0.2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</row>
    <row r="271" spans="1:28" x14ac:dyDescent="0.2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</row>
    <row r="272" spans="1:28" x14ac:dyDescent="0.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</row>
    <row r="273" spans="1:28" x14ac:dyDescent="0.2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</row>
    <row r="274" spans="1:28" x14ac:dyDescent="0.2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</row>
    <row r="275" spans="1:28" x14ac:dyDescent="0.2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</row>
    <row r="276" spans="1:28" x14ac:dyDescent="0.2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</row>
    <row r="277" spans="1:28" x14ac:dyDescent="0.2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</row>
    <row r="278" spans="1:28" x14ac:dyDescent="0.2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</row>
    <row r="279" spans="1:28" x14ac:dyDescent="0.2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</row>
    <row r="280" spans="1:28" x14ac:dyDescent="0.2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</row>
    <row r="281" spans="1:28" x14ac:dyDescent="0.2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</row>
    <row r="282" spans="1:28" x14ac:dyDescent="0.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</row>
    <row r="283" spans="1:28" x14ac:dyDescent="0.2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</row>
    <row r="284" spans="1:28" x14ac:dyDescent="0.2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</row>
    <row r="285" spans="1:28" x14ac:dyDescent="0.2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</row>
    <row r="286" spans="1:28" x14ac:dyDescent="0.2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</row>
    <row r="287" spans="1:28" x14ac:dyDescent="0.2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</row>
    <row r="288" spans="1:28" x14ac:dyDescent="0.2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</row>
    <row r="289" spans="1:28" x14ac:dyDescent="0.2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</row>
    <row r="290" spans="1:28" x14ac:dyDescent="0.2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</row>
    <row r="291" spans="1:28" x14ac:dyDescent="0.2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</row>
    <row r="292" spans="1:28" x14ac:dyDescent="0.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</row>
    <row r="293" spans="1:28" x14ac:dyDescent="0.2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</row>
    <row r="294" spans="1:28" x14ac:dyDescent="0.2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</row>
    <row r="295" spans="1:28" x14ac:dyDescent="0.2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</row>
    <row r="296" spans="1:28" x14ac:dyDescent="0.2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</row>
    <row r="297" spans="1:28" x14ac:dyDescent="0.2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</row>
    <row r="298" spans="1:28" x14ac:dyDescent="0.2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</row>
    <row r="299" spans="1:28" x14ac:dyDescent="0.2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</row>
    <row r="300" spans="1:28" x14ac:dyDescent="0.2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</row>
    <row r="301" spans="1:28" x14ac:dyDescent="0.2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</row>
    <row r="302" spans="1:28" x14ac:dyDescent="0.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</row>
    <row r="303" spans="1:28" x14ac:dyDescent="0.2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</row>
    <row r="304" spans="1:28" x14ac:dyDescent="0.2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</row>
    <row r="305" spans="1:28" x14ac:dyDescent="0.2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</row>
    <row r="306" spans="1:28" x14ac:dyDescent="0.2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</row>
    <row r="307" spans="1:28" x14ac:dyDescent="0.2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</row>
    <row r="308" spans="1:28" x14ac:dyDescent="0.2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</row>
    <row r="309" spans="1:28" x14ac:dyDescent="0.2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</row>
    <row r="310" spans="1:28" x14ac:dyDescent="0.2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</row>
    <row r="311" spans="1:28" x14ac:dyDescent="0.2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</row>
    <row r="312" spans="1:28" x14ac:dyDescent="0.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</row>
    <row r="313" spans="1:28" x14ac:dyDescent="0.2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</row>
    <row r="314" spans="1:28" x14ac:dyDescent="0.2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</row>
    <row r="315" spans="1:28" x14ac:dyDescent="0.2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</row>
    <row r="316" spans="1:28" x14ac:dyDescent="0.2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</row>
    <row r="317" spans="1:28" x14ac:dyDescent="0.2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</row>
    <row r="318" spans="1:28" x14ac:dyDescent="0.2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</row>
    <row r="319" spans="1:28" x14ac:dyDescent="0.2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</row>
    <row r="320" spans="1:28" x14ac:dyDescent="0.2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</row>
    <row r="321" spans="1:28" x14ac:dyDescent="0.2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</row>
    <row r="322" spans="1:28" x14ac:dyDescent="0.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</row>
    <row r="323" spans="1:28" x14ac:dyDescent="0.2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</row>
    <row r="324" spans="1:28" x14ac:dyDescent="0.2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</row>
    <row r="325" spans="1:28" x14ac:dyDescent="0.2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</row>
    <row r="326" spans="1:28" x14ac:dyDescent="0.2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</row>
    <row r="327" spans="1:28" x14ac:dyDescent="0.2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</row>
    <row r="328" spans="1:28" x14ac:dyDescent="0.2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</row>
    <row r="329" spans="1:28" x14ac:dyDescent="0.2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</row>
    <row r="330" spans="1:28" x14ac:dyDescent="0.2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</row>
    <row r="331" spans="1:28" x14ac:dyDescent="0.2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</row>
    <row r="332" spans="1:28" x14ac:dyDescent="0.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</row>
    <row r="333" spans="1:28" x14ac:dyDescent="0.2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</row>
    <row r="334" spans="1:28" x14ac:dyDescent="0.2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</row>
    <row r="335" spans="1:28" x14ac:dyDescent="0.2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</row>
    <row r="336" spans="1:28" x14ac:dyDescent="0.2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</row>
    <row r="337" spans="1:28" x14ac:dyDescent="0.2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</row>
    <row r="338" spans="1:28" x14ac:dyDescent="0.2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</row>
    <row r="339" spans="1:28" x14ac:dyDescent="0.2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</row>
    <row r="340" spans="1:28" x14ac:dyDescent="0.2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</row>
    <row r="341" spans="1:28" x14ac:dyDescent="0.2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</row>
    <row r="342" spans="1:28" x14ac:dyDescent="0.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</row>
    <row r="343" spans="1:28" x14ac:dyDescent="0.2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</row>
    <row r="344" spans="1:28" x14ac:dyDescent="0.2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</row>
    <row r="345" spans="1:28" x14ac:dyDescent="0.2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</row>
    <row r="346" spans="1:28" x14ac:dyDescent="0.2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</row>
    <row r="347" spans="1:28" x14ac:dyDescent="0.2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</row>
    <row r="348" spans="1:28" x14ac:dyDescent="0.2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</row>
    <row r="349" spans="1:28" x14ac:dyDescent="0.2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</row>
    <row r="350" spans="1:28" x14ac:dyDescent="0.2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</row>
    <row r="351" spans="1:28" x14ac:dyDescent="0.2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</row>
    <row r="352" spans="1:28" x14ac:dyDescent="0.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</row>
    <row r="353" spans="1:28" x14ac:dyDescent="0.2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</row>
    <row r="354" spans="1:28" x14ac:dyDescent="0.2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</row>
    <row r="355" spans="1:28" x14ac:dyDescent="0.2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</row>
    <row r="356" spans="1:28" x14ac:dyDescent="0.2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</row>
    <row r="357" spans="1:28" x14ac:dyDescent="0.2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</row>
    <row r="358" spans="1:28" x14ac:dyDescent="0.2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</row>
    <row r="359" spans="1:28" x14ac:dyDescent="0.2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</row>
    <row r="360" spans="1:28" x14ac:dyDescent="0.2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</row>
    <row r="361" spans="1:28" x14ac:dyDescent="0.2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</row>
    <row r="362" spans="1:28" x14ac:dyDescent="0.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</row>
    <row r="363" spans="1:28" x14ac:dyDescent="0.2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</row>
    <row r="364" spans="1:28" x14ac:dyDescent="0.2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</row>
    <row r="365" spans="1:28" x14ac:dyDescent="0.2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</row>
    <row r="366" spans="1:28" x14ac:dyDescent="0.2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</row>
    <row r="367" spans="1:28" x14ac:dyDescent="0.2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</row>
    <row r="368" spans="1:28" x14ac:dyDescent="0.2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</row>
    <row r="369" spans="1:28" x14ac:dyDescent="0.2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</row>
    <row r="370" spans="1:28" x14ac:dyDescent="0.2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</row>
    <row r="371" spans="1:28" x14ac:dyDescent="0.2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</row>
    <row r="372" spans="1:28" x14ac:dyDescent="0.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</row>
    <row r="373" spans="1:28" x14ac:dyDescent="0.2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</row>
    <row r="374" spans="1:28" x14ac:dyDescent="0.2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</row>
    <row r="375" spans="1:28" x14ac:dyDescent="0.2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</row>
    <row r="376" spans="1:28" x14ac:dyDescent="0.2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</row>
    <row r="377" spans="1:28" x14ac:dyDescent="0.2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</row>
    <row r="378" spans="1:28" x14ac:dyDescent="0.2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</row>
    <row r="379" spans="1:28" x14ac:dyDescent="0.2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</row>
    <row r="380" spans="1:28" x14ac:dyDescent="0.2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</row>
    <row r="381" spans="1:28" x14ac:dyDescent="0.2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</row>
    <row r="382" spans="1:28" x14ac:dyDescent="0.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</row>
    <row r="383" spans="1:28" x14ac:dyDescent="0.2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</row>
    <row r="384" spans="1:28" x14ac:dyDescent="0.2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</row>
    <row r="385" spans="1:28" x14ac:dyDescent="0.2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</row>
    <row r="386" spans="1:28" x14ac:dyDescent="0.2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</row>
    <row r="387" spans="1:28" x14ac:dyDescent="0.2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</row>
    <row r="388" spans="1:28" x14ac:dyDescent="0.2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</row>
    <row r="389" spans="1:28" x14ac:dyDescent="0.2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</row>
    <row r="390" spans="1:28" x14ac:dyDescent="0.2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</row>
    <row r="391" spans="1:28" x14ac:dyDescent="0.2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</row>
    <row r="392" spans="1:28" x14ac:dyDescent="0.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</row>
    <row r="393" spans="1:28" x14ac:dyDescent="0.2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</row>
    <row r="394" spans="1:28" x14ac:dyDescent="0.2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</row>
    <row r="395" spans="1:28" x14ac:dyDescent="0.2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</row>
    <row r="396" spans="1:28" x14ac:dyDescent="0.2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</row>
    <row r="397" spans="1:28" x14ac:dyDescent="0.2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</row>
    <row r="398" spans="1:28" x14ac:dyDescent="0.2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</row>
    <row r="399" spans="1:28" x14ac:dyDescent="0.2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</row>
    <row r="400" spans="1:28" x14ac:dyDescent="0.2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</row>
    <row r="401" spans="1:28" x14ac:dyDescent="0.2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</row>
    <row r="402" spans="1:28" x14ac:dyDescent="0.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</row>
    <row r="403" spans="1:28" x14ac:dyDescent="0.2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</row>
    <row r="404" spans="1:28" x14ac:dyDescent="0.2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</row>
    <row r="405" spans="1:28" x14ac:dyDescent="0.2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</row>
    <row r="406" spans="1:28" x14ac:dyDescent="0.2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</row>
    <row r="407" spans="1:28" x14ac:dyDescent="0.2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</row>
    <row r="408" spans="1:28" x14ac:dyDescent="0.2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</row>
    <row r="409" spans="1:28" x14ac:dyDescent="0.2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</row>
    <row r="410" spans="1:28" x14ac:dyDescent="0.2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</row>
    <row r="411" spans="1:28" x14ac:dyDescent="0.2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</row>
    <row r="412" spans="1:28" x14ac:dyDescent="0.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</row>
    <row r="413" spans="1:28" x14ac:dyDescent="0.2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</row>
    <row r="414" spans="1:28" x14ac:dyDescent="0.2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</row>
    <row r="415" spans="1:28" x14ac:dyDescent="0.2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</row>
    <row r="416" spans="1:28" x14ac:dyDescent="0.2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</row>
    <row r="417" spans="1:28" x14ac:dyDescent="0.2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</row>
    <row r="418" spans="1:28" x14ac:dyDescent="0.2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</row>
    <row r="419" spans="1:28" x14ac:dyDescent="0.2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</row>
    <row r="420" spans="1:28" x14ac:dyDescent="0.2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</row>
    <row r="421" spans="1:28" x14ac:dyDescent="0.2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</row>
    <row r="422" spans="1:28" x14ac:dyDescent="0.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</row>
    <row r="423" spans="1:28" x14ac:dyDescent="0.2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</row>
    <row r="424" spans="1:28" x14ac:dyDescent="0.2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</row>
    <row r="425" spans="1:28" x14ac:dyDescent="0.2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</row>
    <row r="426" spans="1:28" x14ac:dyDescent="0.2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</row>
    <row r="427" spans="1:28" x14ac:dyDescent="0.2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</row>
    <row r="428" spans="1:28" x14ac:dyDescent="0.2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</row>
    <row r="429" spans="1:28" x14ac:dyDescent="0.2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</row>
    <row r="430" spans="1:28" x14ac:dyDescent="0.2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</row>
    <row r="431" spans="1:28" x14ac:dyDescent="0.2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</row>
    <row r="432" spans="1:28" x14ac:dyDescent="0.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</row>
    <row r="433" spans="1:28" x14ac:dyDescent="0.2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</row>
    <row r="434" spans="1:28" x14ac:dyDescent="0.2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</row>
    <row r="435" spans="1:28" x14ac:dyDescent="0.2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</row>
    <row r="436" spans="1:28" x14ac:dyDescent="0.2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</row>
    <row r="437" spans="1:28" x14ac:dyDescent="0.2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</row>
    <row r="438" spans="1:28" x14ac:dyDescent="0.2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</row>
    <row r="439" spans="1:28" x14ac:dyDescent="0.2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</row>
    <row r="440" spans="1:28" x14ac:dyDescent="0.2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</row>
    <row r="441" spans="1:28" x14ac:dyDescent="0.2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</row>
    <row r="442" spans="1:28" x14ac:dyDescent="0.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</row>
    <row r="443" spans="1:28" x14ac:dyDescent="0.2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</row>
    <row r="444" spans="1:28" x14ac:dyDescent="0.2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</row>
    <row r="445" spans="1:28" x14ac:dyDescent="0.2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</row>
    <row r="446" spans="1:28" x14ac:dyDescent="0.2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</row>
    <row r="447" spans="1:28" x14ac:dyDescent="0.2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</row>
    <row r="448" spans="1:28" x14ac:dyDescent="0.2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</row>
    <row r="449" spans="1:28" x14ac:dyDescent="0.2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</row>
    <row r="450" spans="1:28" x14ac:dyDescent="0.2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</row>
    <row r="451" spans="1:28" x14ac:dyDescent="0.2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</row>
    <row r="452" spans="1:28" x14ac:dyDescent="0.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</row>
    <row r="453" spans="1:28" x14ac:dyDescent="0.2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</row>
    <row r="454" spans="1:28" x14ac:dyDescent="0.2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</row>
    <row r="455" spans="1:28" x14ac:dyDescent="0.2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</row>
    <row r="456" spans="1:28" x14ac:dyDescent="0.2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</row>
    <row r="457" spans="1:28" x14ac:dyDescent="0.2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</row>
    <row r="458" spans="1:28" x14ac:dyDescent="0.2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</row>
    <row r="459" spans="1:28" x14ac:dyDescent="0.2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</row>
    <row r="460" spans="1:28" x14ac:dyDescent="0.2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</row>
    <row r="461" spans="1:28" x14ac:dyDescent="0.2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</row>
    <row r="462" spans="1:28" x14ac:dyDescent="0.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</row>
    <row r="463" spans="1:28" x14ac:dyDescent="0.2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</row>
    <row r="464" spans="1:28" x14ac:dyDescent="0.2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</row>
    <row r="465" spans="1:28" x14ac:dyDescent="0.2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</row>
    <row r="466" spans="1:28" x14ac:dyDescent="0.2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</row>
    <row r="467" spans="1:28" x14ac:dyDescent="0.2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</row>
    <row r="468" spans="1:28" x14ac:dyDescent="0.2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</row>
    <row r="469" spans="1:28" x14ac:dyDescent="0.2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</row>
    <row r="470" spans="1:28" x14ac:dyDescent="0.2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</row>
    <row r="471" spans="1:28" x14ac:dyDescent="0.2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</row>
    <row r="472" spans="1:28" x14ac:dyDescent="0.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</row>
    <row r="473" spans="1:28" x14ac:dyDescent="0.2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</row>
    <row r="474" spans="1:28" x14ac:dyDescent="0.2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</row>
    <row r="475" spans="1:28" x14ac:dyDescent="0.2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</row>
    <row r="476" spans="1:28" x14ac:dyDescent="0.2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</row>
    <row r="477" spans="1:28" x14ac:dyDescent="0.2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</row>
    <row r="478" spans="1:28" x14ac:dyDescent="0.2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</row>
    <row r="479" spans="1:28" x14ac:dyDescent="0.2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</row>
    <row r="480" spans="1:28" x14ac:dyDescent="0.2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</row>
    <row r="481" spans="1:28" x14ac:dyDescent="0.2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</row>
    <row r="482" spans="1:28" x14ac:dyDescent="0.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</row>
    <row r="483" spans="1:28" x14ac:dyDescent="0.2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</row>
    <row r="484" spans="1:28" x14ac:dyDescent="0.2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</row>
    <row r="485" spans="1:28" x14ac:dyDescent="0.2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</row>
    <row r="486" spans="1:28" x14ac:dyDescent="0.2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</row>
    <row r="487" spans="1:28" x14ac:dyDescent="0.2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</row>
    <row r="488" spans="1:28" x14ac:dyDescent="0.2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</row>
    <row r="489" spans="1:28" x14ac:dyDescent="0.2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</row>
    <row r="490" spans="1:28" x14ac:dyDescent="0.2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</row>
    <row r="491" spans="1:28" x14ac:dyDescent="0.2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</row>
    <row r="492" spans="1:28" x14ac:dyDescent="0.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</row>
    <row r="493" spans="1:28" x14ac:dyDescent="0.2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</row>
    <row r="494" spans="1:28" x14ac:dyDescent="0.2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</row>
    <row r="495" spans="1:28" x14ac:dyDescent="0.2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</row>
    <row r="496" spans="1:28" x14ac:dyDescent="0.2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</row>
    <row r="497" spans="1:28" x14ac:dyDescent="0.2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</row>
    <row r="498" spans="1:28" x14ac:dyDescent="0.2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</row>
    <row r="499" spans="1:28" x14ac:dyDescent="0.2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</row>
    <row r="500" spans="1:28" x14ac:dyDescent="0.2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</row>
    <row r="501" spans="1:28" x14ac:dyDescent="0.2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</row>
    <row r="502" spans="1:28" x14ac:dyDescent="0.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</row>
    <row r="503" spans="1:28" x14ac:dyDescent="0.2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</row>
    <row r="504" spans="1:28" x14ac:dyDescent="0.2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</row>
    <row r="505" spans="1:28" x14ac:dyDescent="0.2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</row>
    <row r="506" spans="1:28" x14ac:dyDescent="0.2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</row>
    <row r="507" spans="1:28" x14ac:dyDescent="0.2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</row>
    <row r="508" spans="1:28" x14ac:dyDescent="0.2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</row>
    <row r="509" spans="1:28" x14ac:dyDescent="0.2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</row>
    <row r="510" spans="1:28" x14ac:dyDescent="0.2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</row>
    <row r="511" spans="1:28" x14ac:dyDescent="0.2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</row>
    <row r="512" spans="1:28" x14ac:dyDescent="0.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</row>
    <row r="513" spans="1:28" x14ac:dyDescent="0.2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</row>
    <row r="514" spans="1:28" x14ac:dyDescent="0.2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</row>
    <row r="515" spans="1:28" x14ac:dyDescent="0.2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</row>
    <row r="516" spans="1:28" x14ac:dyDescent="0.2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</row>
    <row r="517" spans="1:28" x14ac:dyDescent="0.2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</row>
    <row r="518" spans="1:28" x14ac:dyDescent="0.2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</row>
    <row r="519" spans="1:28" x14ac:dyDescent="0.2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</row>
    <row r="520" spans="1:28" x14ac:dyDescent="0.2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</row>
    <row r="521" spans="1:28" x14ac:dyDescent="0.2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</row>
    <row r="522" spans="1:28" x14ac:dyDescent="0.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</row>
    <row r="523" spans="1:28" x14ac:dyDescent="0.2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</row>
    <row r="524" spans="1:28" x14ac:dyDescent="0.2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</row>
    <row r="525" spans="1:28" x14ac:dyDescent="0.2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</row>
    <row r="526" spans="1:28" x14ac:dyDescent="0.2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</row>
    <row r="527" spans="1:28" x14ac:dyDescent="0.2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</row>
    <row r="528" spans="1:28" x14ac:dyDescent="0.2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</row>
    <row r="529" spans="1:28" x14ac:dyDescent="0.2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</row>
    <row r="530" spans="1:28" x14ac:dyDescent="0.2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</row>
    <row r="531" spans="1:28" x14ac:dyDescent="0.2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</row>
    <row r="532" spans="1:28" x14ac:dyDescent="0.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</row>
    <row r="533" spans="1:28" x14ac:dyDescent="0.2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</row>
    <row r="534" spans="1:28" x14ac:dyDescent="0.2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</row>
    <row r="535" spans="1:28" x14ac:dyDescent="0.2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</row>
    <row r="536" spans="1:28" x14ac:dyDescent="0.2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</row>
    <row r="537" spans="1:28" x14ac:dyDescent="0.2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</row>
    <row r="538" spans="1:28" x14ac:dyDescent="0.2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</row>
    <row r="539" spans="1:28" x14ac:dyDescent="0.2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</row>
    <row r="540" spans="1:28" x14ac:dyDescent="0.2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</row>
    <row r="541" spans="1:28" x14ac:dyDescent="0.2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</row>
    <row r="542" spans="1:28" x14ac:dyDescent="0.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</row>
    <row r="543" spans="1:28" x14ac:dyDescent="0.2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</row>
    <row r="544" spans="1:28" x14ac:dyDescent="0.2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</row>
    <row r="545" spans="1:28" x14ac:dyDescent="0.2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</row>
    <row r="546" spans="1:28" x14ac:dyDescent="0.2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</row>
    <row r="547" spans="1:28" x14ac:dyDescent="0.2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</row>
    <row r="548" spans="1:28" x14ac:dyDescent="0.2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</row>
    <row r="549" spans="1:28" x14ac:dyDescent="0.2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</row>
    <row r="550" spans="1:28" x14ac:dyDescent="0.2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</row>
    <row r="551" spans="1:28" x14ac:dyDescent="0.2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</row>
    <row r="552" spans="1:28" x14ac:dyDescent="0.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</row>
    <row r="553" spans="1:28" x14ac:dyDescent="0.2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</row>
    <row r="554" spans="1:28" x14ac:dyDescent="0.2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</row>
    <row r="555" spans="1:28" x14ac:dyDescent="0.2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</row>
    <row r="556" spans="1:28" x14ac:dyDescent="0.2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</row>
    <row r="557" spans="1:28" x14ac:dyDescent="0.2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</row>
    <row r="558" spans="1:28" x14ac:dyDescent="0.2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</row>
    <row r="559" spans="1:28" x14ac:dyDescent="0.2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</row>
    <row r="560" spans="1:28" x14ac:dyDescent="0.2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</row>
    <row r="561" spans="1:28" x14ac:dyDescent="0.2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</row>
    <row r="562" spans="1:28" x14ac:dyDescent="0.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</row>
    <row r="563" spans="1:28" x14ac:dyDescent="0.2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</row>
    <row r="564" spans="1:28" x14ac:dyDescent="0.2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</row>
    <row r="565" spans="1:28" x14ac:dyDescent="0.2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</row>
    <row r="566" spans="1:28" x14ac:dyDescent="0.2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</row>
    <row r="567" spans="1:28" x14ac:dyDescent="0.2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</row>
    <row r="568" spans="1:28" x14ac:dyDescent="0.2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</row>
    <row r="569" spans="1:28" x14ac:dyDescent="0.2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</row>
    <row r="570" spans="1:28" x14ac:dyDescent="0.2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</row>
    <row r="571" spans="1:28" x14ac:dyDescent="0.2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</row>
    <row r="572" spans="1:28" x14ac:dyDescent="0.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</row>
    <row r="573" spans="1:28" x14ac:dyDescent="0.2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</row>
    <row r="574" spans="1:28" x14ac:dyDescent="0.2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</row>
    <row r="575" spans="1:28" x14ac:dyDescent="0.2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</row>
    <row r="576" spans="1:28" x14ac:dyDescent="0.2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</row>
    <row r="577" spans="1:28" x14ac:dyDescent="0.2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</row>
    <row r="578" spans="1:28" x14ac:dyDescent="0.2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</row>
    <row r="579" spans="1:28" x14ac:dyDescent="0.2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</row>
    <row r="580" spans="1:28" x14ac:dyDescent="0.2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</row>
    <row r="581" spans="1:28" x14ac:dyDescent="0.2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</row>
    <row r="582" spans="1:28" x14ac:dyDescent="0.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</row>
    <row r="583" spans="1:28" x14ac:dyDescent="0.2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</row>
    <row r="584" spans="1:28" x14ac:dyDescent="0.2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</row>
    <row r="585" spans="1:28" x14ac:dyDescent="0.2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</row>
    <row r="586" spans="1:28" x14ac:dyDescent="0.2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</row>
    <row r="587" spans="1:28" x14ac:dyDescent="0.2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</row>
    <row r="588" spans="1:28" x14ac:dyDescent="0.2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</row>
    <row r="589" spans="1:28" x14ac:dyDescent="0.2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</row>
    <row r="590" spans="1:28" x14ac:dyDescent="0.2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</row>
    <row r="591" spans="1:28" x14ac:dyDescent="0.2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</row>
    <row r="592" spans="1:28" x14ac:dyDescent="0.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</row>
    <row r="593" spans="1:28" x14ac:dyDescent="0.2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</row>
    <row r="594" spans="1:28" x14ac:dyDescent="0.2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</row>
    <row r="595" spans="1:28" x14ac:dyDescent="0.2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</row>
    <row r="596" spans="1:28" x14ac:dyDescent="0.2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</row>
    <row r="597" spans="1:28" x14ac:dyDescent="0.2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</row>
    <row r="598" spans="1:28" x14ac:dyDescent="0.2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</row>
    <row r="599" spans="1:28" x14ac:dyDescent="0.2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</row>
    <row r="600" spans="1:28" x14ac:dyDescent="0.2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</row>
    <row r="601" spans="1:28" x14ac:dyDescent="0.2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</row>
    <row r="602" spans="1:28" x14ac:dyDescent="0.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</row>
    <row r="603" spans="1:28" x14ac:dyDescent="0.2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</row>
    <row r="604" spans="1:28" x14ac:dyDescent="0.2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</row>
    <row r="605" spans="1:28" x14ac:dyDescent="0.2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</row>
    <row r="606" spans="1:28" x14ac:dyDescent="0.2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</row>
    <row r="607" spans="1:28" x14ac:dyDescent="0.2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</row>
    <row r="608" spans="1:28" x14ac:dyDescent="0.2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</row>
    <row r="609" spans="1:28" x14ac:dyDescent="0.2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</row>
    <row r="610" spans="1:28" x14ac:dyDescent="0.2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</row>
    <row r="611" spans="1:28" x14ac:dyDescent="0.2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</row>
    <row r="612" spans="1:28" x14ac:dyDescent="0.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</row>
    <row r="613" spans="1:28" x14ac:dyDescent="0.2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</row>
    <row r="614" spans="1:28" x14ac:dyDescent="0.2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</row>
    <row r="615" spans="1:28" x14ac:dyDescent="0.2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</row>
    <row r="616" spans="1:28" x14ac:dyDescent="0.2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</row>
    <row r="617" spans="1:28" x14ac:dyDescent="0.2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</row>
    <row r="618" spans="1:28" x14ac:dyDescent="0.2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</row>
    <row r="619" spans="1:28" x14ac:dyDescent="0.2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</row>
    <row r="620" spans="1:28" x14ac:dyDescent="0.2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</row>
    <row r="621" spans="1:28" x14ac:dyDescent="0.2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</row>
    <row r="622" spans="1:28" x14ac:dyDescent="0.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</row>
    <row r="623" spans="1:28" x14ac:dyDescent="0.2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</row>
    <row r="624" spans="1:28" x14ac:dyDescent="0.2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</row>
    <row r="625" spans="1:28" x14ac:dyDescent="0.2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</row>
    <row r="626" spans="1:28" x14ac:dyDescent="0.2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</row>
    <row r="627" spans="1:28" x14ac:dyDescent="0.2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</row>
    <row r="628" spans="1:28" x14ac:dyDescent="0.2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</row>
    <row r="629" spans="1:28" x14ac:dyDescent="0.2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</row>
    <row r="630" spans="1:28" x14ac:dyDescent="0.2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</row>
    <row r="631" spans="1:28" x14ac:dyDescent="0.2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</row>
    <row r="632" spans="1:28" x14ac:dyDescent="0.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</row>
    <row r="633" spans="1:28" x14ac:dyDescent="0.2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</row>
    <row r="634" spans="1:28" x14ac:dyDescent="0.2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</row>
    <row r="635" spans="1:28" x14ac:dyDescent="0.2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</row>
    <row r="636" spans="1:28" x14ac:dyDescent="0.2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</row>
    <row r="637" spans="1:28" x14ac:dyDescent="0.2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</row>
    <row r="638" spans="1:28" x14ac:dyDescent="0.2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</row>
    <row r="639" spans="1:28" x14ac:dyDescent="0.2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</row>
    <row r="640" spans="1:28" x14ac:dyDescent="0.2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</row>
    <row r="641" spans="1:28" x14ac:dyDescent="0.2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</row>
    <row r="642" spans="1:28" x14ac:dyDescent="0.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</row>
    <row r="643" spans="1:28" x14ac:dyDescent="0.2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</row>
    <row r="644" spans="1:28" x14ac:dyDescent="0.2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</row>
    <row r="645" spans="1:28" x14ac:dyDescent="0.2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</row>
    <row r="646" spans="1:28" x14ac:dyDescent="0.2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</row>
    <row r="647" spans="1:28" x14ac:dyDescent="0.2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</row>
    <row r="648" spans="1:28" x14ac:dyDescent="0.2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</row>
    <row r="649" spans="1:28" x14ac:dyDescent="0.2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</row>
    <row r="650" spans="1:28" x14ac:dyDescent="0.2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</row>
    <row r="651" spans="1:28" x14ac:dyDescent="0.2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</row>
    <row r="652" spans="1:28" x14ac:dyDescent="0.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</row>
    <row r="653" spans="1:28" x14ac:dyDescent="0.2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</row>
    <row r="654" spans="1:28" x14ac:dyDescent="0.2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</row>
    <row r="655" spans="1:28" x14ac:dyDescent="0.2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</row>
    <row r="656" spans="1:28" x14ac:dyDescent="0.2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</row>
    <row r="657" spans="1:28" x14ac:dyDescent="0.2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</row>
    <row r="658" spans="1:28" x14ac:dyDescent="0.2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</row>
    <row r="659" spans="1:28" x14ac:dyDescent="0.2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</row>
    <row r="660" spans="1:28" x14ac:dyDescent="0.2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</row>
    <row r="661" spans="1:28" x14ac:dyDescent="0.2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</row>
    <row r="662" spans="1:28" x14ac:dyDescent="0.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</row>
    <row r="663" spans="1:28" x14ac:dyDescent="0.2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</row>
    <row r="664" spans="1:28" x14ac:dyDescent="0.2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</row>
    <row r="665" spans="1:28" x14ac:dyDescent="0.2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</row>
    <row r="666" spans="1:28" x14ac:dyDescent="0.2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</row>
    <row r="667" spans="1:28" x14ac:dyDescent="0.2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</row>
    <row r="668" spans="1:28" x14ac:dyDescent="0.2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</row>
    <row r="669" spans="1:28" x14ac:dyDescent="0.2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</row>
    <row r="670" spans="1:28" x14ac:dyDescent="0.2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</row>
    <row r="671" spans="1:28" x14ac:dyDescent="0.2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</row>
    <row r="672" spans="1:28" x14ac:dyDescent="0.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</row>
    <row r="673" spans="1:28" x14ac:dyDescent="0.2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</row>
    <row r="674" spans="1:28" x14ac:dyDescent="0.2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</row>
    <row r="675" spans="1:28" x14ac:dyDescent="0.2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</row>
    <row r="676" spans="1:28" x14ac:dyDescent="0.2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</row>
    <row r="677" spans="1:28" x14ac:dyDescent="0.2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</row>
    <row r="678" spans="1:28" x14ac:dyDescent="0.2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</row>
    <row r="679" spans="1:28" x14ac:dyDescent="0.2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</row>
    <row r="680" spans="1:28" x14ac:dyDescent="0.2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</row>
    <row r="681" spans="1:28" x14ac:dyDescent="0.2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</row>
    <row r="682" spans="1:28" x14ac:dyDescent="0.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</row>
    <row r="683" spans="1:28" x14ac:dyDescent="0.2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</row>
    <row r="684" spans="1:28" x14ac:dyDescent="0.2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</row>
    <row r="685" spans="1:28" x14ac:dyDescent="0.2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</row>
    <row r="686" spans="1:28" x14ac:dyDescent="0.2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</row>
    <row r="687" spans="1:28" x14ac:dyDescent="0.2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</row>
    <row r="688" spans="1:28" x14ac:dyDescent="0.2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</row>
    <row r="689" spans="1:28" x14ac:dyDescent="0.2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</row>
    <row r="690" spans="1:28" x14ac:dyDescent="0.2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</row>
    <row r="691" spans="1:28" x14ac:dyDescent="0.2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</row>
    <row r="692" spans="1:28" x14ac:dyDescent="0.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</row>
    <row r="693" spans="1:28" x14ac:dyDescent="0.2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</row>
    <row r="694" spans="1:28" x14ac:dyDescent="0.2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</row>
    <row r="695" spans="1:28" x14ac:dyDescent="0.2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</row>
    <row r="696" spans="1:28" x14ac:dyDescent="0.2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</row>
    <row r="697" spans="1:28" x14ac:dyDescent="0.2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</row>
    <row r="698" spans="1:28" x14ac:dyDescent="0.2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</row>
    <row r="699" spans="1:28" x14ac:dyDescent="0.2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</row>
    <row r="700" spans="1:28" x14ac:dyDescent="0.2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</row>
    <row r="701" spans="1:28" x14ac:dyDescent="0.2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</row>
    <row r="702" spans="1:28" x14ac:dyDescent="0.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</row>
    <row r="703" spans="1:28" x14ac:dyDescent="0.2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</row>
    <row r="704" spans="1:28" x14ac:dyDescent="0.2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</row>
    <row r="705" spans="1:28" x14ac:dyDescent="0.2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</row>
    <row r="706" spans="1:28" x14ac:dyDescent="0.2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</row>
    <row r="707" spans="1:28" x14ac:dyDescent="0.2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</row>
    <row r="708" spans="1:28" x14ac:dyDescent="0.2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</row>
    <row r="709" spans="1:28" x14ac:dyDescent="0.2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</row>
    <row r="710" spans="1:28" x14ac:dyDescent="0.2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</row>
    <row r="711" spans="1:28" x14ac:dyDescent="0.2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</row>
    <row r="712" spans="1:28" x14ac:dyDescent="0.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</row>
    <row r="713" spans="1:28" x14ac:dyDescent="0.2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</row>
    <row r="714" spans="1:28" x14ac:dyDescent="0.2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</row>
    <row r="715" spans="1:28" x14ac:dyDescent="0.2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</row>
    <row r="716" spans="1:28" x14ac:dyDescent="0.2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</row>
    <row r="717" spans="1:28" x14ac:dyDescent="0.2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</row>
    <row r="718" spans="1:28" x14ac:dyDescent="0.2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</row>
    <row r="719" spans="1:28" x14ac:dyDescent="0.2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</row>
    <row r="720" spans="1:28" x14ac:dyDescent="0.2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</row>
    <row r="721" spans="1:28" x14ac:dyDescent="0.2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</row>
    <row r="722" spans="1:28" x14ac:dyDescent="0.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</row>
    <row r="723" spans="1:28" x14ac:dyDescent="0.2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</row>
    <row r="724" spans="1:28" x14ac:dyDescent="0.2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</row>
    <row r="725" spans="1:28" x14ac:dyDescent="0.2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</row>
    <row r="726" spans="1:28" x14ac:dyDescent="0.2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</row>
    <row r="727" spans="1:28" x14ac:dyDescent="0.2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</row>
    <row r="728" spans="1:28" x14ac:dyDescent="0.2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</row>
    <row r="729" spans="1:28" x14ac:dyDescent="0.2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</row>
    <row r="730" spans="1:28" x14ac:dyDescent="0.2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</row>
    <row r="731" spans="1:28" x14ac:dyDescent="0.2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</row>
    <row r="732" spans="1:28" x14ac:dyDescent="0.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</row>
    <row r="733" spans="1:28" x14ac:dyDescent="0.2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</row>
    <row r="734" spans="1:28" x14ac:dyDescent="0.2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</row>
    <row r="735" spans="1:28" x14ac:dyDescent="0.2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</row>
    <row r="736" spans="1:28" x14ac:dyDescent="0.2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</row>
    <row r="737" spans="1:28" x14ac:dyDescent="0.2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</row>
    <row r="738" spans="1:28" x14ac:dyDescent="0.2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</row>
    <row r="739" spans="1:28" x14ac:dyDescent="0.2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</row>
    <row r="740" spans="1:28" x14ac:dyDescent="0.2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</row>
    <row r="741" spans="1:28" x14ac:dyDescent="0.2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</row>
    <row r="742" spans="1:28" x14ac:dyDescent="0.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</row>
    <row r="743" spans="1:28" x14ac:dyDescent="0.2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</row>
    <row r="744" spans="1:28" x14ac:dyDescent="0.2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</row>
    <row r="745" spans="1:28" x14ac:dyDescent="0.2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</row>
    <row r="746" spans="1:28" x14ac:dyDescent="0.2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</row>
    <row r="747" spans="1:28" x14ac:dyDescent="0.2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</row>
    <row r="748" spans="1:28" x14ac:dyDescent="0.2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</row>
    <row r="749" spans="1:28" x14ac:dyDescent="0.2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</row>
    <row r="750" spans="1:28" x14ac:dyDescent="0.2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</row>
    <row r="751" spans="1:28" x14ac:dyDescent="0.2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</row>
    <row r="752" spans="1:28" x14ac:dyDescent="0.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</row>
    <row r="753" spans="1:28" x14ac:dyDescent="0.2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</row>
    <row r="754" spans="1:28" x14ac:dyDescent="0.2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</row>
    <row r="755" spans="1:28" x14ac:dyDescent="0.2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</row>
    <row r="756" spans="1:28" x14ac:dyDescent="0.2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</row>
    <row r="757" spans="1:28" x14ac:dyDescent="0.2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</row>
    <row r="758" spans="1:28" x14ac:dyDescent="0.2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</row>
    <row r="759" spans="1:28" x14ac:dyDescent="0.2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</row>
    <row r="760" spans="1:28" x14ac:dyDescent="0.2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</row>
    <row r="761" spans="1:28" x14ac:dyDescent="0.2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</row>
    <row r="762" spans="1:28" x14ac:dyDescent="0.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</row>
    <row r="763" spans="1:28" x14ac:dyDescent="0.2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</row>
    <row r="764" spans="1:28" x14ac:dyDescent="0.2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</row>
    <row r="765" spans="1:28" x14ac:dyDescent="0.2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</row>
    <row r="766" spans="1:28" x14ac:dyDescent="0.2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</row>
    <row r="767" spans="1:28" x14ac:dyDescent="0.2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</row>
    <row r="768" spans="1:28" x14ac:dyDescent="0.2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</row>
    <row r="769" spans="1:28" x14ac:dyDescent="0.2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</row>
    <row r="770" spans="1:28" x14ac:dyDescent="0.2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</row>
    <row r="771" spans="1:28" x14ac:dyDescent="0.2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</row>
    <row r="772" spans="1:28" x14ac:dyDescent="0.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</row>
    <row r="773" spans="1:28" x14ac:dyDescent="0.2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</row>
    <row r="774" spans="1:28" x14ac:dyDescent="0.2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</row>
    <row r="775" spans="1:28" x14ac:dyDescent="0.2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</row>
    <row r="776" spans="1:28" x14ac:dyDescent="0.2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</row>
    <row r="777" spans="1:28" x14ac:dyDescent="0.2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</row>
    <row r="778" spans="1:28" x14ac:dyDescent="0.2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</row>
    <row r="779" spans="1:28" x14ac:dyDescent="0.2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</row>
    <row r="780" spans="1:28" x14ac:dyDescent="0.2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</row>
    <row r="781" spans="1:28" x14ac:dyDescent="0.2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</row>
    <row r="782" spans="1:28" x14ac:dyDescent="0.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</row>
    <row r="783" spans="1:28" x14ac:dyDescent="0.2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</row>
    <row r="784" spans="1:28" x14ac:dyDescent="0.2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</row>
    <row r="785" spans="1:28" x14ac:dyDescent="0.2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</row>
    <row r="786" spans="1:28" x14ac:dyDescent="0.2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</row>
    <row r="787" spans="1:28" x14ac:dyDescent="0.2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</row>
    <row r="788" spans="1:28" x14ac:dyDescent="0.2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</row>
    <row r="789" spans="1:28" x14ac:dyDescent="0.2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</row>
    <row r="790" spans="1:28" x14ac:dyDescent="0.2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</row>
    <row r="791" spans="1:28" x14ac:dyDescent="0.2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</row>
    <row r="792" spans="1:28" x14ac:dyDescent="0.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</row>
    <row r="793" spans="1:28" x14ac:dyDescent="0.2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</row>
    <row r="794" spans="1:28" x14ac:dyDescent="0.2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</row>
    <row r="795" spans="1:28" x14ac:dyDescent="0.2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</row>
    <row r="796" spans="1:28" x14ac:dyDescent="0.2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</row>
    <row r="797" spans="1:28" x14ac:dyDescent="0.2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</row>
    <row r="798" spans="1:28" x14ac:dyDescent="0.2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</row>
    <row r="799" spans="1:28" x14ac:dyDescent="0.2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</row>
    <row r="800" spans="1:28" x14ac:dyDescent="0.2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</row>
    <row r="801" spans="1:28" x14ac:dyDescent="0.2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</row>
    <row r="802" spans="1:28" x14ac:dyDescent="0.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</row>
    <row r="803" spans="1:28" x14ac:dyDescent="0.2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</row>
    <row r="804" spans="1:28" x14ac:dyDescent="0.2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</row>
    <row r="805" spans="1:28" x14ac:dyDescent="0.2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</row>
    <row r="806" spans="1:28" x14ac:dyDescent="0.2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</row>
    <row r="807" spans="1:28" x14ac:dyDescent="0.2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</row>
    <row r="808" spans="1:28" x14ac:dyDescent="0.2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</row>
    <row r="809" spans="1:28" x14ac:dyDescent="0.2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</row>
    <row r="810" spans="1:28" x14ac:dyDescent="0.2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</row>
    <row r="811" spans="1:28" x14ac:dyDescent="0.2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</row>
    <row r="812" spans="1:28" x14ac:dyDescent="0.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</row>
    <row r="813" spans="1:28" x14ac:dyDescent="0.2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</row>
    <row r="814" spans="1:28" x14ac:dyDescent="0.2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</row>
    <row r="815" spans="1:28" x14ac:dyDescent="0.2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</row>
    <row r="816" spans="1:28" x14ac:dyDescent="0.2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</row>
    <row r="817" spans="1:28" x14ac:dyDescent="0.2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</row>
    <row r="818" spans="1:28" x14ac:dyDescent="0.2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</row>
    <row r="819" spans="1:28" x14ac:dyDescent="0.2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</row>
    <row r="820" spans="1:28" x14ac:dyDescent="0.2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</row>
    <row r="821" spans="1:28" x14ac:dyDescent="0.2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</row>
    <row r="822" spans="1:28" x14ac:dyDescent="0.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</row>
    <row r="823" spans="1:28" x14ac:dyDescent="0.2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</row>
    <row r="824" spans="1:28" x14ac:dyDescent="0.2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</row>
    <row r="825" spans="1:28" x14ac:dyDescent="0.2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</row>
    <row r="826" spans="1:28" x14ac:dyDescent="0.2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</row>
    <row r="827" spans="1:28" x14ac:dyDescent="0.2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</row>
    <row r="828" spans="1:28" x14ac:dyDescent="0.2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</row>
    <row r="829" spans="1:28" x14ac:dyDescent="0.2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</row>
    <row r="830" spans="1:28" x14ac:dyDescent="0.2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</row>
    <row r="831" spans="1:28" x14ac:dyDescent="0.2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</row>
    <row r="832" spans="1:28" x14ac:dyDescent="0.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</row>
    <row r="833" spans="1:28" x14ac:dyDescent="0.2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</row>
    <row r="834" spans="1:28" x14ac:dyDescent="0.2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</row>
    <row r="835" spans="1:28" x14ac:dyDescent="0.2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</row>
    <row r="836" spans="1:28" x14ac:dyDescent="0.2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</row>
    <row r="837" spans="1:28" x14ac:dyDescent="0.2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</row>
    <row r="838" spans="1:28" x14ac:dyDescent="0.2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</row>
    <row r="839" spans="1:28" x14ac:dyDescent="0.2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</row>
    <row r="840" spans="1:28" x14ac:dyDescent="0.2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</row>
    <row r="841" spans="1:28" x14ac:dyDescent="0.2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</row>
    <row r="842" spans="1:28" x14ac:dyDescent="0.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</row>
    <row r="843" spans="1:28" x14ac:dyDescent="0.2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</row>
    <row r="844" spans="1:28" x14ac:dyDescent="0.2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</row>
    <row r="845" spans="1:28" x14ac:dyDescent="0.2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</row>
    <row r="846" spans="1:28" x14ac:dyDescent="0.2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</row>
    <row r="847" spans="1:28" x14ac:dyDescent="0.2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</row>
    <row r="848" spans="1:28" x14ac:dyDescent="0.2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</row>
    <row r="849" spans="1:28" x14ac:dyDescent="0.2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</row>
    <row r="850" spans="1:28" x14ac:dyDescent="0.2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</row>
    <row r="851" spans="1:28" x14ac:dyDescent="0.2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</row>
    <row r="852" spans="1:28" x14ac:dyDescent="0.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</row>
    <row r="853" spans="1:28" x14ac:dyDescent="0.2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</row>
    <row r="854" spans="1:28" x14ac:dyDescent="0.2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</row>
    <row r="855" spans="1:28" x14ac:dyDescent="0.2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</row>
    <row r="856" spans="1:28" x14ac:dyDescent="0.2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</row>
    <row r="857" spans="1:28" x14ac:dyDescent="0.2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</row>
    <row r="858" spans="1:28" x14ac:dyDescent="0.2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</row>
    <row r="859" spans="1:28" x14ac:dyDescent="0.2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</row>
    <row r="860" spans="1:28" x14ac:dyDescent="0.2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</row>
    <row r="861" spans="1:28" x14ac:dyDescent="0.2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</row>
    <row r="862" spans="1:28" x14ac:dyDescent="0.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</row>
    <row r="863" spans="1:28" x14ac:dyDescent="0.2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</row>
    <row r="864" spans="1:28" x14ac:dyDescent="0.2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</row>
    <row r="865" spans="1:28" x14ac:dyDescent="0.2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</row>
    <row r="866" spans="1:28" x14ac:dyDescent="0.2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</row>
    <row r="867" spans="1:28" x14ac:dyDescent="0.2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</row>
    <row r="868" spans="1:28" x14ac:dyDescent="0.2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</row>
    <row r="869" spans="1:28" x14ac:dyDescent="0.2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</row>
    <row r="870" spans="1:28" x14ac:dyDescent="0.2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</row>
    <row r="871" spans="1:28" x14ac:dyDescent="0.2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</row>
    <row r="872" spans="1:28" x14ac:dyDescent="0.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</row>
    <row r="873" spans="1:28" x14ac:dyDescent="0.2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</row>
    <row r="874" spans="1:28" x14ac:dyDescent="0.2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</row>
    <row r="875" spans="1:28" x14ac:dyDescent="0.2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</row>
    <row r="876" spans="1:28" x14ac:dyDescent="0.2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</row>
    <row r="877" spans="1:28" x14ac:dyDescent="0.2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</row>
    <row r="878" spans="1:28" x14ac:dyDescent="0.2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</row>
    <row r="879" spans="1:28" x14ac:dyDescent="0.2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</row>
    <row r="880" spans="1:28" x14ac:dyDescent="0.2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</row>
    <row r="881" spans="1:28" x14ac:dyDescent="0.2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</row>
    <row r="882" spans="1:28" x14ac:dyDescent="0.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</row>
    <row r="883" spans="1:28" x14ac:dyDescent="0.2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</row>
    <row r="884" spans="1:28" x14ac:dyDescent="0.2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</row>
    <row r="885" spans="1:28" x14ac:dyDescent="0.2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</row>
    <row r="886" spans="1:28" x14ac:dyDescent="0.2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</row>
    <row r="887" spans="1:28" x14ac:dyDescent="0.2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</row>
    <row r="888" spans="1:28" x14ac:dyDescent="0.2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</row>
    <row r="889" spans="1:28" x14ac:dyDescent="0.2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</row>
    <row r="890" spans="1:28" x14ac:dyDescent="0.2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</row>
    <row r="891" spans="1:28" x14ac:dyDescent="0.2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</row>
    <row r="892" spans="1:28" x14ac:dyDescent="0.2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</row>
    <row r="893" spans="1:28" x14ac:dyDescent="0.2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</row>
    <row r="894" spans="1:28" x14ac:dyDescent="0.2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</row>
    <row r="895" spans="1:28" x14ac:dyDescent="0.2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</row>
    <row r="896" spans="1:28" x14ac:dyDescent="0.2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</row>
    <row r="897" spans="1:28" x14ac:dyDescent="0.2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</row>
    <row r="898" spans="1:28" x14ac:dyDescent="0.2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</row>
    <row r="899" spans="1:28" x14ac:dyDescent="0.2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</row>
    <row r="900" spans="1:28" x14ac:dyDescent="0.2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</row>
    <row r="901" spans="1:28" x14ac:dyDescent="0.2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</row>
    <row r="902" spans="1:28" x14ac:dyDescent="0.2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</row>
    <row r="903" spans="1:28" x14ac:dyDescent="0.2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</row>
    <row r="904" spans="1:28" x14ac:dyDescent="0.2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</row>
    <row r="905" spans="1:28" x14ac:dyDescent="0.2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</row>
    <row r="906" spans="1:28" x14ac:dyDescent="0.2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</row>
    <row r="907" spans="1:28" x14ac:dyDescent="0.2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</row>
    <row r="908" spans="1:28" x14ac:dyDescent="0.2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</row>
    <row r="909" spans="1:28" x14ac:dyDescent="0.2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</row>
    <row r="910" spans="1:28" x14ac:dyDescent="0.2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</row>
    <row r="911" spans="1:28" x14ac:dyDescent="0.2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</row>
    <row r="912" spans="1:28" x14ac:dyDescent="0.2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</row>
    <row r="913" spans="1:28" x14ac:dyDescent="0.2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</row>
    <row r="914" spans="1:28" x14ac:dyDescent="0.2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</row>
    <row r="915" spans="1:28" x14ac:dyDescent="0.2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</row>
    <row r="916" spans="1:28" x14ac:dyDescent="0.2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</row>
    <row r="917" spans="1:28" x14ac:dyDescent="0.2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</row>
    <row r="918" spans="1:28" x14ac:dyDescent="0.2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</row>
    <row r="919" spans="1:28" x14ac:dyDescent="0.2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</row>
    <row r="920" spans="1:28" x14ac:dyDescent="0.2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</row>
    <row r="921" spans="1:28" x14ac:dyDescent="0.2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</row>
    <row r="922" spans="1:28" x14ac:dyDescent="0.2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</row>
    <row r="923" spans="1:28" x14ac:dyDescent="0.2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</row>
    <row r="924" spans="1:28" x14ac:dyDescent="0.2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</row>
    <row r="925" spans="1:28" x14ac:dyDescent="0.2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</row>
    <row r="926" spans="1:28" x14ac:dyDescent="0.2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</row>
    <row r="927" spans="1:28" x14ac:dyDescent="0.2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</row>
    <row r="928" spans="1:28" x14ac:dyDescent="0.2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</row>
    <row r="929" spans="1:28" x14ac:dyDescent="0.2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</row>
    <row r="930" spans="1:28" x14ac:dyDescent="0.2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</row>
    <row r="931" spans="1:28" x14ac:dyDescent="0.2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</row>
    <row r="932" spans="1:28" x14ac:dyDescent="0.2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</row>
    <row r="933" spans="1:28" x14ac:dyDescent="0.2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</row>
    <row r="934" spans="1:28" x14ac:dyDescent="0.2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</row>
    <row r="935" spans="1:28" x14ac:dyDescent="0.2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</row>
    <row r="936" spans="1:28" x14ac:dyDescent="0.2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</row>
    <row r="937" spans="1:28" x14ac:dyDescent="0.2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</row>
    <row r="938" spans="1:28" x14ac:dyDescent="0.2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</row>
    <row r="939" spans="1:28" x14ac:dyDescent="0.2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</row>
    <row r="940" spans="1:28" x14ac:dyDescent="0.2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</row>
    <row r="941" spans="1:28" x14ac:dyDescent="0.2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</row>
    <row r="942" spans="1:28" x14ac:dyDescent="0.2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</row>
    <row r="943" spans="1:28" x14ac:dyDescent="0.2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</row>
    <row r="944" spans="1:28" x14ac:dyDescent="0.2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</row>
    <row r="945" spans="1:28" x14ac:dyDescent="0.2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</row>
    <row r="946" spans="1:28" x14ac:dyDescent="0.2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</row>
    <row r="947" spans="1:28" x14ac:dyDescent="0.2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</row>
    <row r="948" spans="1:28" x14ac:dyDescent="0.2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</row>
    <row r="949" spans="1:28" x14ac:dyDescent="0.2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</row>
    <row r="950" spans="1:28" x14ac:dyDescent="0.2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</row>
    <row r="951" spans="1:28" x14ac:dyDescent="0.2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</row>
    <row r="952" spans="1:28" x14ac:dyDescent="0.2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</row>
    <row r="953" spans="1:28" x14ac:dyDescent="0.2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</row>
    <row r="954" spans="1:28" x14ac:dyDescent="0.2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</row>
    <row r="955" spans="1:28" x14ac:dyDescent="0.2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</row>
    <row r="956" spans="1:28" x14ac:dyDescent="0.2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</row>
    <row r="957" spans="1:28" x14ac:dyDescent="0.2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</row>
    <row r="958" spans="1:28" x14ac:dyDescent="0.2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</row>
    <row r="959" spans="1:28" x14ac:dyDescent="0.2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</row>
    <row r="960" spans="1:28" x14ac:dyDescent="0.2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</row>
    <row r="961" spans="1:28" x14ac:dyDescent="0.2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</row>
    <row r="962" spans="1:28" x14ac:dyDescent="0.2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</row>
    <row r="963" spans="1:28" x14ac:dyDescent="0.2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</row>
    <row r="964" spans="1:28" x14ac:dyDescent="0.2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</row>
    <row r="965" spans="1:28" x14ac:dyDescent="0.2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</row>
    <row r="966" spans="1:28" x14ac:dyDescent="0.2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</row>
    <row r="967" spans="1:28" x14ac:dyDescent="0.2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</row>
    <row r="968" spans="1:28" x14ac:dyDescent="0.2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</row>
    <row r="969" spans="1:28" x14ac:dyDescent="0.2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</row>
    <row r="970" spans="1:28" x14ac:dyDescent="0.2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</row>
    <row r="971" spans="1:28" x14ac:dyDescent="0.2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</row>
    <row r="972" spans="1:28" x14ac:dyDescent="0.2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</row>
    <row r="973" spans="1:28" x14ac:dyDescent="0.2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</row>
    <row r="974" spans="1:28" x14ac:dyDescent="0.2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</row>
    <row r="975" spans="1:28" x14ac:dyDescent="0.2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</row>
    <row r="976" spans="1:28" x14ac:dyDescent="0.2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</row>
    <row r="977" spans="1:28" x14ac:dyDescent="0.2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</row>
    <row r="978" spans="1:28" x14ac:dyDescent="0.2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</row>
    <row r="979" spans="1:28" x14ac:dyDescent="0.2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</row>
    <row r="980" spans="1:28" x14ac:dyDescent="0.2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</row>
    <row r="981" spans="1:28" x14ac:dyDescent="0.2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</row>
    <row r="982" spans="1:28" x14ac:dyDescent="0.2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</row>
    <row r="983" spans="1:28" x14ac:dyDescent="0.2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</row>
    <row r="984" spans="1:28" x14ac:dyDescent="0.2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</row>
    <row r="985" spans="1:28" x14ac:dyDescent="0.2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</row>
    <row r="986" spans="1:28" x14ac:dyDescent="0.2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</row>
    <row r="987" spans="1:28" x14ac:dyDescent="0.2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</row>
    <row r="988" spans="1:28" x14ac:dyDescent="0.2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</row>
    <row r="989" spans="1:28" x14ac:dyDescent="0.2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</row>
    <row r="990" spans="1:28" x14ac:dyDescent="0.2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</row>
    <row r="991" spans="1:28" x14ac:dyDescent="0.2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</row>
    <row r="992" spans="1:28" x14ac:dyDescent="0.2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</row>
    <row r="993" spans="1:28" x14ac:dyDescent="0.2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</row>
    <row r="994" spans="1:28" x14ac:dyDescent="0.2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</row>
    <row r="995" spans="1:28" x14ac:dyDescent="0.2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</row>
    <row r="996" spans="1:28" x14ac:dyDescent="0.2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</row>
    <row r="997" spans="1:28" x14ac:dyDescent="0.2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</row>
    <row r="998" spans="1:28" x14ac:dyDescent="0.2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</row>
    <row r="999" spans="1:28" x14ac:dyDescent="0.2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</row>
    <row r="1000" spans="1:28" x14ac:dyDescent="0.2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</row>
    <row r="1001" spans="1:28" x14ac:dyDescent="0.2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  <c r="AA1001" s="106"/>
      <c r="AB1001" s="106"/>
    </row>
    <row r="1002" spans="1:28" x14ac:dyDescent="0.2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  <c r="AA1002" s="106"/>
      <c r="AB1002" s="106"/>
    </row>
    <row r="1003" spans="1:28" x14ac:dyDescent="0.2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  <c r="AA1003" s="106"/>
      <c r="AB1003" s="106"/>
    </row>
  </sheetData>
  <mergeCells count="21">
    <mergeCell ref="B24:E24"/>
    <mergeCell ref="F24:G24"/>
    <mergeCell ref="B25:F25"/>
    <mergeCell ref="E13:F13"/>
    <mergeCell ref="O13:R21"/>
    <mergeCell ref="C15:C17"/>
    <mergeCell ref="D15:D17"/>
    <mergeCell ref="M17:N17"/>
    <mergeCell ref="M18:N18"/>
    <mergeCell ref="B20:H20"/>
    <mergeCell ref="W5:X5"/>
    <mergeCell ref="B22:E22"/>
    <mergeCell ref="F22:G23"/>
    <mergeCell ref="H22:H23"/>
    <mergeCell ref="B23:E23"/>
    <mergeCell ref="B1:H1"/>
    <mergeCell ref="B3:D4"/>
    <mergeCell ref="F3:H3"/>
    <mergeCell ref="V3:X3"/>
    <mergeCell ref="F4:H4"/>
    <mergeCell ref="W4: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PARALELO_1</vt:lpstr>
      <vt:lpstr>PARALELO_D</vt:lpstr>
      <vt:lpstr>CORRECCION_D</vt:lpstr>
      <vt:lpstr>CORRECCION_1</vt:lpstr>
      <vt:lpstr>RESONANCIA_1</vt:lpstr>
      <vt:lpstr>CORRECCIÓN_2</vt:lpstr>
      <vt:lpstr>CORRECCIÓN_3</vt:lpstr>
      <vt:lpstr>Ainicial</vt:lpstr>
      <vt:lpstr>CosPhi</vt:lpstr>
      <vt:lpstr>CosPhiUTE</vt:lpstr>
      <vt:lpstr>Pactiva</vt:lpstr>
      <vt:lpstr>Scorregida</vt:lpstr>
      <vt:lpstr>Vtotal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 Eugenia</cp:lastModifiedBy>
  <dcterms:modified xsi:type="dcterms:W3CDTF">2020-12-21T21:03:40Z</dcterms:modified>
</cp:coreProperties>
</file>