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usstocker/Desktop/80 Video Projekte/11 hochgeladene Videos/02 Solar Generator Dimensioning/50 Downloads GitHub/Spreadsheet Tools/"/>
    </mc:Choice>
  </mc:AlternateContent>
  <xr:revisionPtr revIDLastSave="0" documentId="13_ncr:1_{88D39166-D064-3242-A7A8-E24E10DFE110}" xr6:coauthVersionLast="47" xr6:coauthVersionMax="47" xr10:uidLastSave="{00000000-0000-0000-0000-000000000000}"/>
  <bookViews>
    <workbookView xWindow="20" yWindow="500" windowWidth="40960" windowHeight="20720" activeTab="1" xr2:uid="{E05A7F49-5FE2-CB4E-931B-D60D6533F24E}"/>
  </bookViews>
  <sheets>
    <sheet name="Cover" sheetId="22" r:id="rId1"/>
    <sheet name="Solar Dimensioning &amp; Var" sheetId="21" r:id="rId2"/>
    <sheet name="Germany Solar Harvest" sheetId="20" r:id="rId3"/>
    <sheet name="2021 Stuttgart Solar Harvest" sheetId="2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23" l="1"/>
  <c r="F20" i="23"/>
  <c r="D20" i="23"/>
  <c r="L17" i="23"/>
  <c r="Q17" i="23" s="1"/>
  <c r="L18" i="23"/>
  <c r="Q18" i="23" s="1"/>
  <c r="AB30" i="21"/>
  <c r="AB42" i="21" s="1"/>
  <c r="AB26" i="21"/>
  <c r="AB38" i="21" s="1"/>
  <c r="AB22" i="21"/>
  <c r="AB34" i="21" s="1"/>
  <c r="L7" i="23"/>
  <c r="Q7" i="23" s="1"/>
  <c r="L8" i="23"/>
  <c r="Q8" i="23" s="1"/>
  <c r="L9" i="23"/>
  <c r="Q9" i="23" s="1"/>
  <c r="L10" i="23"/>
  <c r="Q10" i="23" s="1"/>
  <c r="L11" i="23"/>
  <c r="Q11" i="23" s="1"/>
  <c r="L12" i="23"/>
  <c r="Q12" i="23" s="1"/>
  <c r="L13" i="23"/>
  <c r="Q13" i="23" s="1"/>
  <c r="L14" i="23"/>
  <c r="Q14" i="23" s="1"/>
  <c r="L15" i="23"/>
  <c r="Q15" i="23" s="1"/>
  <c r="L16" i="23"/>
  <c r="Q16" i="23" s="1"/>
  <c r="J8" i="23"/>
  <c r="J9" i="23"/>
  <c r="J10" i="23"/>
  <c r="J11" i="23"/>
  <c r="J12" i="23"/>
  <c r="J13" i="23"/>
  <c r="J14" i="23"/>
  <c r="J15" i="23"/>
  <c r="J16" i="23"/>
  <c r="J17" i="23"/>
  <c r="J18" i="23"/>
  <c r="J7" i="23"/>
  <c r="AB29" i="21"/>
  <c r="AB41" i="21" s="1"/>
  <c r="AB28" i="21"/>
  <c r="AB40" i="21" s="1"/>
  <c r="AB25" i="21"/>
  <c r="AB37" i="21" s="1"/>
  <c r="AB24" i="21"/>
  <c r="AB36" i="21" s="1"/>
  <c r="AB21" i="21"/>
  <c r="AB20" i="21"/>
  <c r="AB32" i="21" s="1"/>
  <c r="AH15" i="21"/>
  <c r="J106" i="21"/>
  <c r="J105" i="21"/>
  <c r="J89" i="21"/>
  <c r="J84" i="21"/>
  <c r="J88" i="21" s="1"/>
  <c r="J82" i="21"/>
  <c r="J83" i="21" s="1"/>
  <c r="J87" i="21" s="1"/>
  <c r="J74" i="21"/>
  <c r="J73" i="21"/>
  <c r="O46" i="21"/>
  <c r="O47" i="21" s="1"/>
  <c r="AB31" i="21"/>
  <c r="AB27" i="21"/>
  <c r="AB23" i="21"/>
  <c r="AB35" i="21" s="1"/>
  <c r="O20" i="21"/>
  <c r="O19" i="21"/>
  <c r="M34" i="20"/>
  <c r="J20" i="23" l="1"/>
  <c r="Q20" i="23"/>
  <c r="L20" i="23"/>
  <c r="E40" i="21"/>
  <c r="AC35" i="21" s="1"/>
  <c r="AD32" i="21"/>
  <c r="AE32" i="21" s="1"/>
  <c r="AB33" i="21"/>
  <c r="AD41" i="21"/>
  <c r="AE41" i="21" s="1"/>
  <c r="AD20" i="21"/>
  <c r="AE20" i="21" s="1"/>
  <c r="AD24" i="21"/>
  <c r="AE24" i="21" s="1"/>
  <c r="AD34" i="21"/>
  <c r="AE34" i="21" s="1"/>
  <c r="AB39" i="21"/>
  <c r="AB43" i="21"/>
  <c r="AD37" i="21"/>
  <c r="AE37" i="21" s="1"/>
  <c r="AD35" i="21"/>
  <c r="AE35" i="21" s="1"/>
  <c r="AD31" i="21"/>
  <c r="AE31" i="21" s="1"/>
  <c r="AD29" i="21"/>
  <c r="AE29" i="21" s="1"/>
  <c r="AD27" i="21"/>
  <c r="AE27" i="21" s="1"/>
  <c r="AD25" i="21"/>
  <c r="AE25" i="21" s="1"/>
  <c r="AD23" i="21"/>
  <c r="AE23" i="21" s="1"/>
  <c r="AD21" i="21"/>
  <c r="AE21" i="21" s="1"/>
  <c r="O67" i="21"/>
  <c r="AD28" i="21"/>
  <c r="AE28" i="21" s="1"/>
  <c r="AD36" i="21"/>
  <c r="AE36" i="21" s="1"/>
  <c r="AD40" i="21"/>
  <c r="AE40" i="21" s="1"/>
  <c r="J86" i="21"/>
  <c r="J91" i="21" s="1"/>
  <c r="AD22" i="21"/>
  <c r="AE22" i="21" s="1"/>
  <c r="AD26" i="21"/>
  <c r="AE26" i="21" s="1"/>
  <c r="AD30" i="21"/>
  <c r="AE30" i="21" s="1"/>
  <c r="AD38" i="21"/>
  <c r="AE38" i="21" s="1"/>
  <c r="AD42" i="21"/>
  <c r="AE42" i="21" s="1"/>
  <c r="I34" i="20"/>
  <c r="E34" i="20"/>
  <c r="L34" i="20"/>
  <c r="H34" i="20"/>
  <c r="K34" i="20"/>
  <c r="G34" i="20"/>
  <c r="J34" i="20"/>
  <c r="F34" i="20"/>
  <c r="D34" i="20"/>
  <c r="P29" i="20"/>
  <c r="P25" i="20"/>
  <c r="P21" i="20"/>
  <c r="P30" i="20"/>
  <c r="P28" i="20"/>
  <c r="P27" i="20"/>
  <c r="P26" i="20"/>
  <c r="P24" i="20"/>
  <c r="P23" i="20"/>
  <c r="P22" i="20"/>
  <c r="P20" i="20"/>
  <c r="O19" i="20"/>
  <c r="P19" i="20"/>
  <c r="O25" i="20"/>
  <c r="O29" i="20"/>
  <c r="O21" i="20"/>
  <c r="O30" i="20"/>
  <c r="O28" i="20"/>
  <c r="O26" i="20"/>
  <c r="S26" i="20" s="1"/>
  <c r="O24" i="20"/>
  <c r="S24" i="20" s="1"/>
  <c r="O22" i="20"/>
  <c r="O20" i="20"/>
  <c r="O27" i="20"/>
  <c r="S27" i="20" s="1"/>
  <c r="O23" i="20"/>
  <c r="AC39" i="21" l="1"/>
  <c r="AC29" i="21"/>
  <c r="AC23" i="21"/>
  <c r="AC41" i="21"/>
  <c r="AC30" i="21"/>
  <c r="AC21" i="21"/>
  <c r="AC32" i="21"/>
  <c r="AC34" i="21"/>
  <c r="AC22" i="21"/>
  <c r="AC33" i="21"/>
  <c r="AC38" i="21"/>
  <c r="AC42" i="21"/>
  <c r="AC40" i="21"/>
  <c r="AC25" i="21"/>
  <c r="AC43" i="21"/>
  <c r="AC28" i="21"/>
  <c r="AC36" i="21"/>
  <c r="AC26" i="21"/>
  <c r="AC31" i="21"/>
  <c r="AC20" i="21"/>
  <c r="AC24" i="21"/>
  <c r="AC27" i="21"/>
  <c r="AC37" i="21"/>
  <c r="S25" i="20"/>
  <c r="S22" i="20"/>
  <c r="S21" i="20"/>
  <c r="AD33" i="21"/>
  <c r="AE33" i="21" s="1"/>
  <c r="AD39" i="21"/>
  <c r="AE39" i="21" s="1"/>
  <c r="J94" i="21"/>
  <c r="J99" i="21" s="1"/>
  <c r="J93" i="21"/>
  <c r="J101" i="21"/>
  <c r="J92" i="21"/>
  <c r="J112" i="21" s="1"/>
  <c r="J96" i="21"/>
  <c r="AD43" i="21"/>
  <c r="AE43" i="21" s="1"/>
  <c r="S23" i="20"/>
  <c r="S19" i="20"/>
  <c r="S29" i="20"/>
  <c r="S28" i="20"/>
  <c r="S20" i="20"/>
  <c r="S30" i="20"/>
  <c r="Q19" i="20"/>
  <c r="Q23" i="20"/>
  <c r="Q29" i="20"/>
  <c r="Q28" i="20"/>
  <c r="Q20" i="20"/>
  <c r="Q24" i="20"/>
  <c r="Q30" i="20"/>
  <c r="Q26" i="20"/>
  <c r="Q21" i="20"/>
  <c r="Q22" i="20"/>
  <c r="Q27" i="20"/>
  <c r="Q25" i="20"/>
  <c r="P34" i="20"/>
  <c r="O34" i="20"/>
  <c r="O32" i="20"/>
  <c r="J102" i="21" l="1"/>
  <c r="J97" i="21"/>
  <c r="AF38" i="21"/>
  <c r="AG38" i="21" s="1"/>
  <c r="AF36" i="21"/>
  <c r="AG36" i="21" s="1"/>
  <c r="AF34" i="21"/>
  <c r="AG34" i="21" s="1"/>
  <c r="AF32" i="21"/>
  <c r="AG32" i="21" s="1"/>
  <c r="AF30" i="21"/>
  <c r="AG30" i="21" s="1"/>
  <c r="AF28" i="21"/>
  <c r="AG28" i="21" s="1"/>
  <c r="AF26" i="21"/>
  <c r="AG26" i="21" s="1"/>
  <c r="AF24" i="21"/>
  <c r="AG24" i="21" s="1"/>
  <c r="AF22" i="21"/>
  <c r="AG22" i="21" s="1"/>
  <c r="AF20" i="21"/>
  <c r="AG20" i="21" s="1"/>
  <c r="J98" i="21"/>
  <c r="AF43" i="21"/>
  <c r="AG43" i="21" s="1"/>
  <c r="AF40" i="21"/>
  <c r="AG40" i="21" s="1"/>
  <c r="AF39" i="21"/>
  <c r="AG39" i="21" s="1"/>
  <c r="AF31" i="21"/>
  <c r="AG31" i="21" s="1"/>
  <c r="AF27" i="21"/>
  <c r="AG27" i="21" s="1"/>
  <c r="AF23" i="21"/>
  <c r="AG23" i="21" s="1"/>
  <c r="AF41" i="21"/>
  <c r="AG41" i="21" s="1"/>
  <c r="AF37" i="21"/>
  <c r="AG37" i="21" s="1"/>
  <c r="AF35" i="21"/>
  <c r="AG35" i="21" s="1"/>
  <c r="AF21" i="21"/>
  <c r="AG21" i="21" s="1"/>
  <c r="AF42" i="21"/>
  <c r="AG42" i="21" s="1"/>
  <c r="AF29" i="21"/>
  <c r="AG29" i="21" s="1"/>
  <c r="AF25" i="21"/>
  <c r="AG25" i="21" s="1"/>
  <c r="AF33" i="21"/>
  <c r="AG33" i="21" s="1"/>
  <c r="S32" i="20"/>
  <c r="Q34" i="20"/>
  <c r="AI28" i="21" l="1"/>
  <c r="AH28" i="21"/>
  <c r="AH42" i="21"/>
  <c r="AI42" i="21"/>
  <c r="AI41" i="21"/>
  <c r="AH41" i="21"/>
  <c r="AI39" i="21"/>
  <c r="AH39" i="21"/>
  <c r="AI20" i="21"/>
  <c r="AL20" i="21" s="1"/>
  <c r="AH20" i="21"/>
  <c r="AK20" i="21" s="1"/>
  <c r="AI36" i="21"/>
  <c r="AH36" i="21"/>
  <c r="AI33" i="21"/>
  <c r="AH33" i="21"/>
  <c r="AI21" i="21"/>
  <c r="AH21" i="21"/>
  <c r="AH23" i="21"/>
  <c r="AI23" i="21"/>
  <c r="AI40" i="21"/>
  <c r="AH40" i="21"/>
  <c r="AI22" i="21"/>
  <c r="AH22" i="21"/>
  <c r="AI30" i="21"/>
  <c r="AH30" i="21"/>
  <c r="AI38" i="21"/>
  <c r="AH38" i="21"/>
  <c r="AH25" i="21"/>
  <c r="AI25" i="21"/>
  <c r="AI35" i="21"/>
  <c r="AH35" i="21"/>
  <c r="AH27" i="21"/>
  <c r="AI27" i="21"/>
  <c r="AI43" i="21"/>
  <c r="AH43" i="21"/>
  <c r="AH24" i="21"/>
  <c r="AI24" i="21"/>
  <c r="AI32" i="21"/>
  <c r="AH32" i="21"/>
  <c r="AH29" i="21"/>
  <c r="AI29" i="21"/>
  <c r="AI37" i="21"/>
  <c r="AH37" i="21"/>
  <c r="AI31" i="21"/>
  <c r="AH31" i="21"/>
  <c r="AI26" i="21"/>
  <c r="AH26" i="21"/>
  <c r="AI34" i="21"/>
  <c r="AH34" i="21"/>
  <c r="AJ20" i="21"/>
  <c r="AL21" i="21" l="1"/>
  <c r="AO20" i="21"/>
  <c r="AM20" i="21"/>
  <c r="AJ21" i="21"/>
  <c r="AN20" i="21"/>
  <c r="AK21" i="21"/>
  <c r="AJ22" i="21" l="1"/>
  <c r="AM21" i="21"/>
  <c r="AN21" i="21"/>
  <c r="AK22" i="21"/>
  <c r="AO21" i="21"/>
  <c r="AL22" i="21"/>
  <c r="AL23" i="21" l="1"/>
  <c r="AO22" i="21"/>
  <c r="AN22" i="21"/>
  <c r="AK23" i="21"/>
  <c r="AJ23" i="21"/>
  <c r="AM22" i="21"/>
  <c r="AK24" i="21" l="1"/>
  <c r="AN23" i="21"/>
  <c r="AJ24" i="21"/>
  <c r="AM23" i="21"/>
  <c r="AL24" i="21"/>
  <c r="AO23" i="21"/>
  <c r="AL25" i="21" l="1"/>
  <c r="AO24" i="21"/>
  <c r="AJ25" i="21"/>
  <c r="AM24" i="21"/>
  <c r="AN24" i="21"/>
  <c r="AK25" i="21"/>
  <c r="AJ26" i="21" l="1"/>
  <c r="AM25" i="21"/>
  <c r="AN25" i="21"/>
  <c r="AK26" i="21"/>
  <c r="AL26" i="21"/>
  <c r="AO25" i="21"/>
  <c r="AL27" i="21" l="1"/>
  <c r="AO26" i="21"/>
  <c r="AN26" i="21"/>
  <c r="AK27" i="21"/>
  <c r="AJ27" i="21"/>
  <c r="AM26" i="21"/>
  <c r="AJ28" i="21" l="1"/>
  <c r="AM27" i="21"/>
  <c r="AK28" i="21"/>
  <c r="AN27" i="21"/>
  <c r="AL28" i="21"/>
  <c r="AO27" i="21"/>
  <c r="AL29" i="21" l="1"/>
  <c r="AO28" i="21"/>
  <c r="AN28" i="21"/>
  <c r="AK29" i="21"/>
  <c r="AJ29" i="21"/>
  <c r="AM28" i="21"/>
  <c r="AN29" i="21" l="1"/>
  <c r="AK30" i="21"/>
  <c r="AJ30" i="21"/>
  <c r="AM29" i="21"/>
  <c r="AO29" i="21"/>
  <c r="AL30" i="21"/>
  <c r="AL31" i="21" l="1"/>
  <c r="AO30" i="21"/>
  <c r="AJ31" i="21"/>
  <c r="AM30" i="21"/>
  <c r="AN30" i="21"/>
  <c r="AK31" i="21"/>
  <c r="AK32" i="21" l="1"/>
  <c r="AN31" i="21"/>
  <c r="AJ32" i="21"/>
  <c r="AM31" i="21"/>
  <c r="AL32" i="21"/>
  <c r="AO31" i="21"/>
  <c r="AJ33" i="21" l="1"/>
  <c r="AM32" i="21"/>
  <c r="AL33" i="21"/>
  <c r="AO32" i="21"/>
  <c r="AN32" i="21"/>
  <c r="AK33" i="21"/>
  <c r="AL34" i="21" l="1"/>
  <c r="AO33" i="21"/>
  <c r="AK34" i="21"/>
  <c r="AN33" i="21"/>
  <c r="AJ34" i="21"/>
  <c r="AM33" i="21"/>
  <c r="AN34" i="21" l="1"/>
  <c r="AK35" i="21"/>
  <c r="AJ35" i="21"/>
  <c r="AM34" i="21"/>
  <c r="AL35" i="21"/>
  <c r="AO34" i="21"/>
  <c r="AJ36" i="21" l="1"/>
  <c r="AM35" i="21"/>
  <c r="AK36" i="21"/>
  <c r="AN35" i="21"/>
  <c r="AL36" i="21"/>
  <c r="AO35" i="21"/>
  <c r="AN36" i="21" l="1"/>
  <c r="AK37" i="21"/>
  <c r="AL37" i="21"/>
  <c r="AO36" i="21"/>
  <c r="AM36" i="21"/>
  <c r="AJ37" i="21"/>
  <c r="AJ38" i="21" l="1"/>
  <c r="AM37" i="21"/>
  <c r="AL38" i="21"/>
  <c r="AO37" i="21"/>
  <c r="AK38" i="21"/>
  <c r="AN37" i="21"/>
  <c r="AL39" i="21" l="1"/>
  <c r="AO38" i="21"/>
  <c r="AN38" i="21"/>
  <c r="AK39" i="21"/>
  <c r="AJ39" i="21"/>
  <c r="AM38" i="21"/>
  <c r="AK40" i="21" l="1"/>
  <c r="AN39" i="21"/>
  <c r="AJ40" i="21"/>
  <c r="AM39" i="21"/>
  <c r="AO39" i="21"/>
  <c r="AL40" i="21"/>
  <c r="AM40" i="21" l="1"/>
  <c r="AJ41" i="21"/>
  <c r="AL41" i="21"/>
  <c r="AO40" i="21"/>
  <c r="AK41" i="21"/>
  <c r="AN40" i="21"/>
  <c r="AO41" i="21" l="1"/>
  <c r="AL42" i="21"/>
  <c r="AJ42" i="21"/>
  <c r="AM41" i="21"/>
  <c r="AK42" i="21"/>
  <c r="AN41" i="21"/>
  <c r="AK43" i="21" l="1"/>
  <c r="AN43" i="21" s="1"/>
  <c r="AN42" i="21"/>
  <c r="AM42" i="21"/>
  <c r="AJ43" i="21"/>
  <c r="AM43" i="21" s="1"/>
  <c r="AO42" i="21"/>
  <c r="AL43" i="21"/>
  <c r="AO43" i="21" s="1"/>
</calcChain>
</file>

<file path=xl/sharedStrings.xml><?xml version="1.0" encoding="utf-8"?>
<sst xmlns="http://schemas.openxmlformats.org/spreadsheetml/2006/main" count="344" uniqueCount="168">
  <si>
    <t>mAh</t>
  </si>
  <si>
    <t>mA</t>
  </si>
  <si>
    <t>h</t>
  </si>
  <si>
    <t>Sek</t>
  </si>
  <si>
    <t>Tage</t>
  </si>
  <si>
    <t>min</t>
  </si>
  <si>
    <t>%</t>
  </si>
  <si>
    <t>mWh</t>
  </si>
  <si>
    <t>kWh/kWp</t>
  </si>
  <si>
    <t>cm2</t>
  </si>
  <si>
    <t>Flow</t>
  </si>
  <si>
    <t>V</t>
  </si>
  <si>
    <t>Voltage</t>
  </si>
  <si>
    <t>Li Ion</t>
  </si>
  <si>
    <t>Capacity</t>
  </si>
  <si>
    <t>Energy</t>
  </si>
  <si>
    <t>Nominal Voltage</t>
  </si>
  <si>
    <t>mW</t>
  </si>
  <si>
    <t>Maximum Current  in the Sun</t>
  </si>
  <si>
    <t>Inputs</t>
  </si>
  <si>
    <t>Power Generation</t>
  </si>
  <si>
    <t>MicroProcessor Sleep Mode</t>
  </si>
  <si>
    <t>Transceiver</t>
  </si>
  <si>
    <t>MicroProcessor Active Mode</t>
  </si>
  <si>
    <t>MicroProcessor Active Period</t>
  </si>
  <si>
    <t>Transceiver Active Period</t>
  </si>
  <si>
    <t>Sec</t>
  </si>
  <si>
    <t>Active Cycles per Hour</t>
  </si>
  <si>
    <t>est. Peak Power</t>
  </si>
  <si>
    <t>MicroProcessor Active per Hour</t>
  </si>
  <si>
    <t>Transceiver Acitve per Hour</t>
  </si>
  <si>
    <t>MicroProcessor Active Period Consumption per Hour</t>
  </si>
  <si>
    <t>MicroProcessor Sleep Mode Consumption per Hour</t>
  </si>
  <si>
    <t>MicroProcessor Sleep Mode per Hour</t>
  </si>
  <si>
    <t>Transceiver Active Period Consumption per Hour</t>
  </si>
  <si>
    <t>Total Consumption per Hour</t>
  </si>
  <si>
    <t>Total Consumption per Day</t>
  </si>
  <si>
    <t>Total Consumption per Month</t>
  </si>
  <si>
    <t>Total Consumption per Year</t>
  </si>
  <si>
    <t>Total Runtime on Battery in Days</t>
  </si>
  <si>
    <t>mAh/y</t>
  </si>
  <si>
    <t>Battery Internal Discharge per year</t>
  </si>
  <si>
    <t>Battery Internal Discharge per Hour</t>
  </si>
  <si>
    <t>Solar Panel Area</t>
  </si>
  <si>
    <t>Good Reference  (200W/m2) Comparison</t>
  </si>
  <si>
    <t>Duty Cycle of the Tranceiver</t>
  </si>
  <si>
    <t>Tranceiver Use per Day (TTN Fair Use is 30 Sec per Day)</t>
  </si>
  <si>
    <t>Efficiency (typically  &gt; 0,8)</t>
  </si>
  <si>
    <t>Jan</t>
  </si>
  <si>
    <t>Feb</t>
  </si>
  <si>
    <t>Mar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</si>
  <si>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</si>
  <si>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</si>
  <si>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</si>
  <si>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</si>
  <si>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</si>
  <si>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</si>
  <si>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</si>
  <si>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</si>
  <si>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</si>
  <si>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Monthly Yield in kWh per kWp</t>
  </si>
  <si>
    <t>Total</t>
  </si>
  <si>
    <t>Local Circumstances</t>
  </si>
  <si>
    <t>Schading from Obstacles</t>
  </si>
  <si>
    <t>Maximum Loss</t>
  </si>
  <si>
    <t>Energy Storage</t>
  </si>
  <si>
    <t>Energy Consumption</t>
  </si>
  <si>
    <t>Solar Country Conditions</t>
  </si>
  <si>
    <t>Latitude, Country</t>
  </si>
  <si>
    <t>Month</t>
  </si>
  <si>
    <t>Solar Panel Information</t>
  </si>
  <si>
    <t>Charge Converter Information</t>
  </si>
  <si>
    <t>Battery Information</t>
  </si>
  <si>
    <t>Consumers Information</t>
  </si>
  <si>
    <t>pH</t>
  </si>
  <si>
    <t>Maximum Runtime on Battery Charge in Hours</t>
  </si>
  <si>
    <t>Solar Panel Rating</t>
  </si>
  <si>
    <t>Charge Converter Rating</t>
  </si>
  <si>
    <t>Battery Rating</t>
  </si>
  <si>
    <t>Internal Discharge Current</t>
  </si>
  <si>
    <t>see Internet:</t>
  </si>
  <si>
    <t xml:space="preserve"> Solar Monthly Harvesting</t>
  </si>
  <si>
    <t>Consumers Ratings</t>
  </si>
  <si>
    <t>Additional Information:</t>
  </si>
  <si>
    <t>supplier information</t>
  </si>
  <si>
    <t>measure with multimeter</t>
  </si>
  <si>
    <t>supplier informatin or estimate</t>
  </si>
  <si>
    <t>supplier info or measurement</t>
  </si>
  <si>
    <t>your oown code</t>
  </si>
  <si>
    <t xml:space="preserve">kWh per kWp </t>
  </si>
  <si>
    <t>kWp = Kilowattpeak</t>
  </si>
  <si>
    <t>Results w/o Solar Charge</t>
  </si>
  <si>
    <t>https://www.sonnenverlauf.de</t>
  </si>
  <si>
    <t>see Site:</t>
  </si>
  <si>
    <t>check sunrise and sunset  directions</t>
  </si>
  <si>
    <t>etimate shading for worst month</t>
  </si>
  <si>
    <t>Energy Harvest possible at Location</t>
  </si>
  <si>
    <t>Energy Harvest lost by Shading at Location</t>
  </si>
  <si>
    <t>Calculation</t>
  </si>
  <si>
    <t>Max Harvest</t>
  </si>
  <si>
    <t>My Panel</t>
  </si>
  <si>
    <t>Opt. Panel</t>
  </si>
  <si>
    <t>Harvest</t>
  </si>
  <si>
    <t>your choice</t>
  </si>
  <si>
    <t>Initial Battery Charge</t>
  </si>
  <si>
    <t>Consumption</t>
  </si>
  <si>
    <t>My Charge</t>
  </si>
  <si>
    <t>My  total</t>
  </si>
  <si>
    <t>State 1</t>
  </si>
  <si>
    <t>State 2</t>
  </si>
  <si>
    <t>Results with Solar Charge</t>
  </si>
  <si>
    <t>Shading (0% = total, 100% = no shading)</t>
  </si>
  <si>
    <t>Battery State of Charge over 2 Years</t>
  </si>
  <si>
    <t>Charge Flow over 2 Years</t>
  </si>
  <si>
    <t>Converter</t>
  </si>
  <si>
    <t>Min Flow</t>
  </si>
  <si>
    <t>Max Flow</t>
  </si>
  <si>
    <t>Min State 1</t>
  </si>
  <si>
    <t>Max State 2</t>
  </si>
  <si>
    <t>Min State 2</t>
  </si>
  <si>
    <t>Max State 1</t>
  </si>
  <si>
    <t>Mär</t>
  </si>
  <si>
    <t>Average</t>
  </si>
  <si>
    <t>Deviation</t>
  </si>
  <si>
    <t>Dev %</t>
  </si>
  <si>
    <t>South of Germany</t>
  </si>
  <si>
    <t>kWh per kWp</t>
  </si>
  <si>
    <t>Average - Deviation</t>
  </si>
  <si>
    <t>worst case</t>
  </si>
  <si>
    <t xml:space="preserve">mAh   equals </t>
  </si>
  <si>
    <t>Example for a performant solar generator</t>
  </si>
  <si>
    <t>days of not expected irregular weather per month</t>
  </si>
  <si>
    <t>Variation Opt. Scenario:</t>
  </si>
  <si>
    <t>Charge Var pm</t>
  </si>
  <si>
    <t>Low Power Sleep Mode</t>
  </si>
  <si>
    <t>see YouTube Tutorial!</t>
  </si>
  <si>
    <t>Dimension a small Solar Generator</t>
  </si>
  <si>
    <t>What size is right?</t>
  </si>
  <si>
    <t>How much Energy can I expect?</t>
  </si>
  <si>
    <t>You can do similar for your location</t>
  </si>
  <si>
    <t>A sophisticated worst case estimation.</t>
  </si>
  <si>
    <t xml:space="preserve">Cool experiments and tools for hobbyists and </t>
  </si>
  <si>
    <t>future professionals</t>
  </si>
  <si>
    <t>Tutorial on YouTube!</t>
  </si>
  <si>
    <t>Cool Tool:</t>
  </si>
  <si>
    <t>Further distribution without changes is permitted</t>
  </si>
  <si>
    <t>Version 01.06.2021</t>
  </si>
  <si>
    <t>Solar Generator &amp; Battery Dimensioning</t>
  </si>
  <si>
    <t>Dimensioning</t>
  </si>
  <si>
    <t>Dimensioning for worst case</t>
  </si>
  <si>
    <t>Examples with Micro-Processor-Boards</t>
  </si>
  <si>
    <t>Weather Variation</t>
  </si>
  <si>
    <t>estimate from your own perceptions</t>
  </si>
  <si>
    <t>Variation Simulation</t>
  </si>
  <si>
    <t>Consumption Equivalent in Days</t>
  </si>
  <si>
    <t>Consumption Equivalent with no Charge</t>
  </si>
  <si>
    <t>Days</t>
  </si>
  <si>
    <t>Energy for no Charge Days per month</t>
  </si>
  <si>
    <t>Uncertainty , degradation, etc</t>
  </si>
  <si>
    <t>Over all uncertainties estimate</t>
  </si>
  <si>
    <t>plan</t>
  </si>
  <si>
    <t>actual</t>
  </si>
  <si>
    <t>Stuttgart</t>
  </si>
  <si>
    <t>Simulation</t>
  </si>
  <si>
    <t>act-sim</t>
  </si>
  <si>
    <t>Sum</t>
  </si>
  <si>
    <t>kWh</t>
  </si>
  <si>
    <t>in  Episode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</si>
</sst>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%"/>
    <numFmt numFmtId="166" formatCode="#,##0.0"/>
    <numFmt numFmtId="167" formatCode="#,##0.000"/>
    <numFmt numFmtId="168" formatCode="0.0"/>
    <numFmt numFmtId="169" formatCode="0.000"/>
    <numFmt numFmtId="170" formatCode="[$-407]mmm/\ yy;@"/>
  </numFmts>
  <fonts count="26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rgb="FF333333"/>
      <name val="Cambria"/>
      <family val="1"/>
    </font>
    <font>
      <sz val="18"/>
      <color theme="1"/>
      <name val="Calibri"/>
      <family val="2"/>
      <scheme val="minor"/>
    </font>
    <font>
      <b/>
      <sz val="22"/>
      <color theme="1"/>
      <name val="Cambria"/>
      <family val="1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i/>
      <sz val="14"/>
      <color rgb="FFC00000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sz val="12"/>
      <name val="Times New Roman"/>
      <family val="1"/>
    </font>
    <font>
      <b/>
      <sz val="26"/>
      <name val="Times New Roman"/>
      <family val="1"/>
    </font>
    <font>
      <b/>
      <sz val="16"/>
      <color theme="1"/>
      <name val="Cambria"/>
      <family val="1"/>
    </font>
    <font>
      <sz val="16"/>
      <color rgb="FF333333"/>
      <name val="Cambria"/>
      <family val="1"/>
    </font>
    <font>
      <sz val="16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3">
    <xf numFmtId="0" fontId="0" fillId="0" borderId="0" xfId="0"/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170" fontId="3" fillId="2" borderId="0" xfId="0" applyNumberFormat="1" applyFont="1" applyFill="1" applyAlignment="1">
      <alignment horizontal="center"/>
    </xf>
    <xf numFmtId="4" fontId="3" fillId="2" borderId="0" xfId="0" applyNumberFormat="1" applyFont="1" applyFill="1" applyAlignment="1">
      <alignment horizontal="center"/>
    </xf>
    <xf numFmtId="165" fontId="3" fillId="2" borderId="0" xfId="1" applyNumberFormat="1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3" fillId="2" borderId="0" xfId="0" applyFont="1" applyFill="1"/>
    <xf numFmtId="2" fontId="3" fillId="2" borderId="0" xfId="0" applyNumberFormat="1" applyFont="1" applyFill="1"/>
    <xf numFmtId="0" fontId="10" fillId="2" borderId="0" xfId="0" applyFont="1" applyFill="1" applyAlignment="1">
      <alignment horizontal="left"/>
    </xf>
    <xf numFmtId="168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9" fontId="10" fillId="2" borderId="0" xfId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9" fontId="6" fillId="2" borderId="0" xfId="1" applyFont="1" applyFill="1" applyAlignment="1">
      <alignment horizontal="center"/>
    </xf>
    <xf numFmtId="1" fontId="11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13" fillId="2" borderId="0" xfId="0" applyFont="1" applyFill="1"/>
    <xf numFmtId="0" fontId="13" fillId="2" borderId="0" xfId="0" applyFont="1" applyFill="1" applyAlignment="1">
      <alignment horizontal="right"/>
    </xf>
    <xf numFmtId="0" fontId="14" fillId="2" borderId="0" xfId="0" applyFont="1" applyFill="1" applyAlignment="1">
      <alignment horizontal="left"/>
    </xf>
    <xf numFmtId="0" fontId="3" fillId="2" borderId="0" xfId="0" applyFont="1" applyFill="1" applyAlignment="1" applyProtection="1">
      <alignment horizontal="right"/>
      <protection hidden="1"/>
    </xf>
    <xf numFmtId="0" fontId="3" fillId="2" borderId="0" xfId="0" applyFont="1" applyFill="1" applyAlignment="1" applyProtection="1">
      <alignment horizontal="left"/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right"/>
      <protection hidden="1"/>
    </xf>
    <xf numFmtId="0" fontId="3" fillId="2" borderId="0" xfId="0" applyFont="1" applyFill="1" applyProtection="1">
      <protection hidden="1"/>
    </xf>
    <xf numFmtId="2" fontId="3" fillId="2" borderId="0" xfId="0" applyNumberFormat="1" applyFont="1" applyFill="1" applyProtection="1">
      <protection hidden="1"/>
    </xf>
    <xf numFmtId="0" fontId="3" fillId="2" borderId="0" xfId="0" applyFont="1" applyFill="1" applyAlignment="1" applyProtection="1">
      <alignment horizontal="center"/>
      <protection hidden="1"/>
    </xf>
    <xf numFmtId="165" fontId="3" fillId="2" borderId="0" xfId="0" applyNumberFormat="1" applyFont="1" applyFill="1" applyAlignment="1" applyProtection="1">
      <alignment horizontal="center"/>
      <protection hidden="1"/>
    </xf>
    <xf numFmtId="3" fontId="3" fillId="2" borderId="0" xfId="0" applyNumberFormat="1" applyFont="1" applyFill="1" applyAlignment="1" applyProtection="1">
      <alignment horizontal="center"/>
      <protection hidden="1"/>
    </xf>
    <xf numFmtId="170" fontId="3" fillId="2" borderId="0" xfId="0" applyNumberFormat="1" applyFont="1" applyFill="1" applyAlignment="1" applyProtection="1">
      <alignment horizontal="center"/>
      <protection hidden="1"/>
    </xf>
    <xf numFmtId="4" fontId="3" fillId="2" borderId="0" xfId="0" applyNumberFormat="1" applyFont="1" applyFill="1" applyAlignment="1" applyProtection="1">
      <alignment horizontal="center"/>
      <protection hidden="1"/>
    </xf>
    <xf numFmtId="165" fontId="3" fillId="2" borderId="0" xfId="1" applyNumberFormat="1" applyFont="1" applyFill="1" applyAlignment="1" applyProtection="1">
      <alignment horizontal="center"/>
      <protection hidden="1"/>
    </xf>
    <xf numFmtId="168" fontId="3" fillId="2" borderId="0" xfId="0" applyNumberFormat="1" applyFont="1" applyFill="1" applyAlignment="1" applyProtection="1">
      <alignment horizontal="center"/>
      <protection hidden="1"/>
    </xf>
    <xf numFmtId="0" fontId="13" fillId="2" borderId="0" xfId="0" applyFont="1" applyFill="1" applyProtection="1">
      <protection hidden="1"/>
    </xf>
    <xf numFmtId="0" fontId="13" fillId="2" borderId="0" xfId="0" applyFont="1" applyFill="1" applyAlignment="1" applyProtection="1">
      <alignment horizontal="right"/>
      <protection hidden="1"/>
    </xf>
    <xf numFmtId="0" fontId="14" fillId="2" borderId="0" xfId="0" applyFont="1" applyFill="1" applyAlignment="1" applyProtection="1">
      <alignment horizontal="left"/>
      <protection hidden="1"/>
    </xf>
    <xf numFmtId="0" fontId="6" fillId="2" borderId="0" xfId="0" applyFont="1" applyFill="1" applyAlignment="1" applyProtection="1">
      <alignment horizontal="right"/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6" fillId="2" borderId="1" xfId="0" applyFont="1" applyFill="1" applyBorder="1" applyAlignment="1" applyProtection="1">
      <alignment horizontal="right"/>
      <protection hidden="1"/>
    </xf>
    <xf numFmtId="0" fontId="6" fillId="2" borderId="2" xfId="0" applyFont="1" applyFill="1" applyBorder="1" applyAlignment="1" applyProtection="1">
      <alignment horizontal="right"/>
      <protection hidden="1"/>
    </xf>
    <xf numFmtId="0" fontId="6" fillId="2" borderId="3" xfId="0" applyFont="1" applyFill="1" applyBorder="1" applyProtection="1">
      <protection hidden="1"/>
    </xf>
    <xf numFmtId="0" fontId="6" fillId="2" borderId="0" xfId="0" applyFont="1" applyFill="1" applyProtection="1">
      <protection hidden="1"/>
    </xf>
    <xf numFmtId="2" fontId="6" fillId="2" borderId="0" xfId="0" applyNumberFormat="1" applyFont="1" applyFill="1" applyProtection="1">
      <protection hidden="1"/>
    </xf>
    <xf numFmtId="3" fontId="6" fillId="2" borderId="0" xfId="0" applyNumberFormat="1" applyFont="1" applyFill="1" applyAlignment="1" applyProtection="1">
      <alignment horizontal="center"/>
      <protection hidden="1"/>
    </xf>
    <xf numFmtId="170" fontId="6" fillId="2" borderId="2" xfId="0" applyNumberFormat="1" applyFont="1" applyFill="1" applyBorder="1" applyAlignment="1" applyProtection="1">
      <alignment horizontal="right"/>
      <protection hidden="1"/>
    </xf>
    <xf numFmtId="4" fontId="6" fillId="2" borderId="2" xfId="0" applyNumberFormat="1" applyFont="1" applyFill="1" applyBorder="1" applyAlignment="1" applyProtection="1">
      <alignment horizontal="right"/>
      <protection hidden="1"/>
    </xf>
    <xf numFmtId="165" fontId="6" fillId="2" borderId="2" xfId="1" applyNumberFormat="1" applyFont="1" applyFill="1" applyBorder="1" applyAlignment="1" applyProtection="1">
      <alignment horizontal="right"/>
      <protection hidden="1"/>
    </xf>
    <xf numFmtId="168" fontId="6" fillId="2" borderId="2" xfId="0" applyNumberFormat="1" applyFont="1" applyFill="1" applyBorder="1" applyAlignment="1" applyProtection="1">
      <alignment horizontal="right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0" fontId="5" fillId="2" borderId="0" xfId="0" applyFont="1" applyFill="1" applyAlignment="1" applyProtection="1">
      <alignment horizontal="right"/>
      <protection hidden="1"/>
    </xf>
    <xf numFmtId="0" fontId="5" fillId="2" borderId="0" xfId="0" applyFont="1" applyFill="1" applyAlignment="1" applyProtection="1">
      <alignment horizontal="left"/>
      <protection hidden="1"/>
    </xf>
    <xf numFmtId="0" fontId="7" fillId="2" borderId="0" xfId="0" applyFont="1" applyFill="1" applyAlignment="1" applyProtection="1">
      <alignment horizontal="right"/>
      <protection hidden="1"/>
    </xf>
    <xf numFmtId="0" fontId="7" fillId="2" borderId="0" xfId="0" applyFont="1" applyFill="1" applyProtection="1">
      <protection hidden="1"/>
    </xf>
    <xf numFmtId="2" fontId="7" fillId="2" borderId="0" xfId="0" applyNumberFormat="1" applyFont="1" applyFill="1" applyProtection="1">
      <protection hidden="1"/>
    </xf>
    <xf numFmtId="0" fontId="7" fillId="2" borderId="0" xfId="0" applyFont="1" applyFill="1" applyAlignment="1" applyProtection="1">
      <alignment horizontal="center"/>
      <protection hidden="1"/>
    </xf>
    <xf numFmtId="165" fontId="7" fillId="2" borderId="0" xfId="0" applyNumberFormat="1" applyFont="1" applyFill="1" applyAlignment="1" applyProtection="1">
      <alignment horizontal="center"/>
      <protection hidden="1"/>
    </xf>
    <xf numFmtId="3" fontId="7" fillId="2" borderId="0" xfId="0" applyNumberFormat="1" applyFont="1" applyFill="1" applyAlignment="1" applyProtection="1">
      <alignment horizontal="center"/>
      <protection hidden="1"/>
    </xf>
    <xf numFmtId="170" fontId="7" fillId="2" borderId="0" xfId="0" applyNumberFormat="1" applyFont="1" applyFill="1" applyAlignment="1" applyProtection="1">
      <alignment horizontal="center"/>
      <protection hidden="1"/>
    </xf>
    <xf numFmtId="4" fontId="7" fillId="2" borderId="0" xfId="0" applyNumberFormat="1" applyFont="1" applyFill="1" applyAlignment="1" applyProtection="1">
      <alignment horizontal="center"/>
      <protection hidden="1"/>
    </xf>
    <xf numFmtId="165" fontId="7" fillId="2" borderId="0" xfId="1" applyNumberFormat="1" applyFont="1" applyFill="1" applyAlignment="1" applyProtection="1">
      <alignment horizontal="center"/>
      <protection hidden="1"/>
    </xf>
    <xf numFmtId="168" fontId="7" fillId="2" borderId="0" xfId="0" applyNumberFormat="1" applyFont="1" applyFill="1" applyAlignment="1" applyProtection="1">
      <alignment horizontal="center"/>
      <protection hidden="1"/>
    </xf>
    <xf numFmtId="0" fontId="3" fillId="2" borderId="4" xfId="0" applyFont="1" applyFill="1" applyBorder="1" applyAlignment="1" applyProtection="1">
      <alignment horizontal="right"/>
      <protection hidden="1"/>
    </xf>
    <xf numFmtId="0" fontId="3" fillId="2" borderId="5" xfId="0" applyFont="1" applyFill="1" applyBorder="1" applyAlignment="1" applyProtection="1">
      <alignment horizontal="right"/>
      <protection hidden="1"/>
    </xf>
    <xf numFmtId="0" fontId="3" fillId="2" borderId="6" xfId="0" applyFont="1" applyFill="1" applyBorder="1" applyProtection="1">
      <protection hidden="1"/>
    </xf>
    <xf numFmtId="0" fontId="4" fillId="2" borderId="0" xfId="0" applyFont="1" applyFill="1" applyAlignment="1" applyProtection="1">
      <alignment horizontal="right"/>
      <protection hidden="1"/>
    </xf>
    <xf numFmtId="0" fontId="3" fillId="2" borderId="7" xfId="0" applyFont="1" applyFill="1" applyBorder="1" applyAlignment="1" applyProtection="1">
      <alignment horizontal="right"/>
      <protection hidden="1"/>
    </xf>
    <xf numFmtId="0" fontId="3" fillId="2" borderId="0" xfId="0" applyFont="1" applyFill="1" applyBorder="1" applyAlignment="1" applyProtection="1">
      <alignment horizontal="right"/>
      <protection hidden="1"/>
    </xf>
    <xf numFmtId="0" fontId="3" fillId="2" borderId="8" xfId="0" applyFont="1" applyFill="1" applyBorder="1" applyProtection="1">
      <protection hidden="1"/>
    </xf>
    <xf numFmtId="2" fontId="3" fillId="2" borderId="0" xfId="0" applyNumberFormat="1" applyFont="1" applyFill="1" applyAlignment="1" applyProtection="1">
      <alignment horizontal="center"/>
      <protection hidden="1"/>
    </xf>
    <xf numFmtId="0" fontId="3" fillId="2" borderId="9" xfId="0" applyFont="1" applyFill="1" applyBorder="1" applyAlignment="1" applyProtection="1">
      <alignment horizontal="right"/>
      <protection hidden="1"/>
    </xf>
    <xf numFmtId="0" fontId="3" fillId="2" borderId="10" xfId="0" applyFont="1" applyFill="1" applyBorder="1" applyAlignment="1" applyProtection="1">
      <alignment horizontal="right"/>
      <protection hidden="1"/>
    </xf>
    <xf numFmtId="0" fontId="3" fillId="2" borderId="11" xfId="0" applyFont="1" applyFill="1" applyBorder="1" applyProtection="1">
      <protection hidden="1"/>
    </xf>
    <xf numFmtId="0" fontId="5" fillId="2" borderId="0" xfId="0" applyFont="1" applyFill="1" applyProtection="1">
      <protection hidden="1"/>
    </xf>
    <xf numFmtId="168" fontId="3" fillId="2" borderId="0" xfId="0" applyNumberFormat="1" applyFont="1" applyFill="1" applyBorder="1" applyAlignment="1" applyProtection="1">
      <alignment horizontal="right"/>
      <protection hidden="1"/>
    </xf>
    <xf numFmtId="0" fontId="3" fillId="2" borderId="8" xfId="0" applyFont="1" applyFill="1" applyBorder="1" applyAlignment="1" applyProtection="1">
      <alignment horizontal="left"/>
      <protection hidden="1"/>
    </xf>
    <xf numFmtId="0" fontId="3" fillId="2" borderId="11" xfId="0" applyFont="1" applyFill="1" applyBorder="1" applyAlignment="1" applyProtection="1">
      <alignment horizontal="left"/>
      <protection hidden="1"/>
    </xf>
    <xf numFmtId="0" fontId="3" fillId="2" borderId="4" xfId="0" applyFont="1" applyFill="1" applyBorder="1" applyAlignment="1" applyProtection="1">
      <alignment horizontal="center"/>
      <protection hidden="1"/>
    </xf>
    <xf numFmtId="0" fontId="3" fillId="2" borderId="5" xfId="0" applyFont="1" applyFill="1" applyBorder="1" applyAlignment="1" applyProtection="1">
      <alignment horizontal="center"/>
      <protection hidden="1"/>
    </xf>
    <xf numFmtId="165" fontId="3" fillId="2" borderId="5" xfId="0" applyNumberFormat="1" applyFont="1" applyFill="1" applyBorder="1" applyAlignment="1" applyProtection="1">
      <alignment horizontal="center"/>
      <protection hidden="1"/>
    </xf>
    <xf numFmtId="3" fontId="3" fillId="2" borderId="6" xfId="0" applyNumberFormat="1" applyFont="1" applyFill="1" applyBorder="1" applyAlignment="1" applyProtection="1">
      <alignment horizontal="center"/>
      <protection hidden="1"/>
    </xf>
    <xf numFmtId="9" fontId="3" fillId="2" borderId="0" xfId="1" applyFont="1" applyFill="1" applyBorder="1" applyAlignment="1" applyProtection="1">
      <alignment horizontal="right"/>
      <protection hidden="1"/>
    </xf>
    <xf numFmtId="0" fontId="3" fillId="2" borderId="7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165" fontId="3" fillId="2" borderId="0" xfId="0" applyNumberFormat="1" applyFont="1" applyFill="1" applyBorder="1" applyAlignment="1" applyProtection="1">
      <alignment horizontal="center"/>
      <protection hidden="1"/>
    </xf>
    <xf numFmtId="3" fontId="3" fillId="2" borderId="8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Protection="1">
      <protection hidden="1"/>
    </xf>
    <xf numFmtId="0" fontId="7" fillId="2" borderId="0" xfId="0" applyFont="1" applyFill="1" applyAlignment="1" applyProtection="1">
      <alignment horizontal="left"/>
      <protection hidden="1"/>
    </xf>
    <xf numFmtId="0" fontId="1" fillId="2" borderId="0" xfId="0" applyFont="1" applyFill="1" applyAlignment="1" applyProtection="1">
      <alignment horizontal="right"/>
      <protection hidden="1"/>
    </xf>
    <xf numFmtId="169" fontId="3" fillId="2" borderId="0" xfId="0" applyNumberFormat="1" applyFont="1" applyFill="1" applyBorder="1" applyAlignment="1" applyProtection="1">
      <alignment horizontal="right"/>
      <protection hidden="1"/>
    </xf>
    <xf numFmtId="0" fontId="3" fillId="2" borderId="9" xfId="0" applyFont="1" applyFill="1" applyBorder="1" applyAlignment="1" applyProtection="1">
      <alignment horizontal="center"/>
      <protection hidden="1"/>
    </xf>
    <xf numFmtId="0" fontId="3" fillId="2" borderId="10" xfId="0" applyFont="1" applyFill="1" applyBorder="1" applyAlignment="1" applyProtection="1">
      <alignment horizontal="center"/>
      <protection hidden="1"/>
    </xf>
    <xf numFmtId="165" fontId="3" fillId="2" borderId="10" xfId="0" applyNumberFormat="1" applyFont="1" applyFill="1" applyBorder="1" applyAlignment="1" applyProtection="1">
      <alignment horizontal="center"/>
      <protection hidden="1"/>
    </xf>
    <xf numFmtId="3" fontId="3" fillId="2" borderId="11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Protection="1">
      <protection hidden="1"/>
    </xf>
    <xf numFmtId="170" fontId="1" fillId="2" borderId="0" xfId="0" applyNumberFormat="1" applyFont="1" applyFill="1" applyProtection="1">
      <protection hidden="1"/>
    </xf>
    <xf numFmtId="4" fontId="1" fillId="2" borderId="0" xfId="0" applyNumberFormat="1" applyFont="1" applyFill="1" applyProtection="1">
      <protection hidden="1"/>
    </xf>
    <xf numFmtId="165" fontId="1" fillId="2" borderId="0" xfId="1" applyNumberFormat="1" applyFont="1" applyFill="1" applyProtection="1">
      <protection hidden="1"/>
    </xf>
    <xf numFmtId="168" fontId="1" fillId="2" borderId="0" xfId="0" applyNumberFormat="1" applyFont="1" applyFill="1" applyProtection="1">
      <protection hidden="1"/>
    </xf>
    <xf numFmtId="2" fontId="3" fillId="2" borderId="5" xfId="0" applyNumberFormat="1" applyFont="1" applyFill="1" applyBorder="1" applyProtection="1">
      <protection hidden="1"/>
    </xf>
    <xf numFmtId="2" fontId="3" fillId="2" borderId="0" xfId="0" applyNumberFormat="1" applyFont="1" applyFill="1" applyBorder="1" applyProtection="1">
      <protection hidden="1"/>
    </xf>
    <xf numFmtId="164" fontId="3" fillId="2" borderId="0" xfId="0" applyNumberFormat="1" applyFont="1" applyFill="1" applyBorder="1" applyProtection="1">
      <protection hidden="1"/>
    </xf>
    <xf numFmtId="169" fontId="3" fillId="2" borderId="0" xfId="0" applyNumberFormat="1" applyFont="1" applyFill="1" applyProtection="1">
      <protection hidden="1"/>
    </xf>
    <xf numFmtId="167" fontId="3" fillId="2" borderId="0" xfId="0" applyNumberFormat="1" applyFont="1" applyFill="1" applyAlignment="1" applyProtection="1">
      <alignment horizontal="center"/>
      <protection hidden="1"/>
    </xf>
    <xf numFmtId="0" fontId="3" fillId="2" borderId="8" xfId="0" applyFont="1" applyFill="1" applyBorder="1" applyAlignment="1" applyProtection="1">
      <alignment horizontal="center"/>
      <protection hidden="1"/>
    </xf>
    <xf numFmtId="0" fontId="1" fillId="2" borderId="7" xfId="0" applyFont="1" applyFill="1" applyBorder="1" applyAlignment="1" applyProtection="1">
      <alignment horizontal="right"/>
      <protection hidden="1"/>
    </xf>
    <xf numFmtId="0" fontId="3" fillId="2" borderId="11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right"/>
      <protection locked="0"/>
    </xf>
    <xf numFmtId="9" fontId="3" fillId="2" borderId="0" xfId="1" applyFont="1" applyFill="1" applyBorder="1" applyAlignment="1" applyProtection="1">
      <alignment horizontal="right"/>
      <protection locked="0"/>
    </xf>
    <xf numFmtId="2" fontId="3" fillId="2" borderId="0" xfId="0" applyNumberFormat="1" applyFont="1" applyFill="1" applyBorder="1" applyProtection="1">
      <protection locked="0"/>
    </xf>
    <xf numFmtId="164" fontId="3" fillId="2" borderId="0" xfId="0" applyNumberFormat="1" applyFont="1" applyFill="1" applyBorder="1" applyProtection="1">
      <protection locked="0"/>
    </xf>
    <xf numFmtId="0" fontId="8" fillId="2" borderId="0" xfId="0" applyFont="1" applyFill="1" applyAlignment="1" applyProtection="1">
      <alignment horizontal="right"/>
      <protection hidden="1"/>
    </xf>
    <xf numFmtId="170" fontId="1" fillId="2" borderId="0" xfId="0" applyNumberFormat="1" applyFont="1" applyFill="1" applyAlignment="1" applyProtection="1">
      <alignment horizontal="center"/>
      <protection hidden="1"/>
    </xf>
    <xf numFmtId="4" fontId="1" fillId="2" borderId="0" xfId="0" applyNumberFormat="1" applyFont="1" applyFill="1" applyAlignment="1" applyProtection="1">
      <alignment horizontal="center"/>
      <protection hidden="1"/>
    </xf>
    <xf numFmtId="165" fontId="1" fillId="2" borderId="0" xfId="1" applyNumberFormat="1" applyFont="1" applyFill="1" applyAlignment="1" applyProtection="1">
      <alignment horizontal="center"/>
      <protection hidden="1"/>
    </xf>
    <xf numFmtId="168" fontId="1" fillId="2" borderId="0" xfId="0" applyNumberFormat="1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5" fillId="2" borderId="0" xfId="0" applyFont="1" applyFill="1"/>
    <xf numFmtId="0" fontId="15" fillId="2" borderId="4" xfId="0" applyFont="1" applyFill="1" applyBorder="1"/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5" fillId="2" borderId="8" xfId="0" applyFont="1" applyFill="1" applyBorder="1"/>
    <xf numFmtId="0" fontId="16" fillId="2" borderId="0" xfId="0" applyFont="1" applyFill="1" applyProtection="1">
      <protection hidden="1"/>
    </xf>
    <xf numFmtId="0" fontId="17" fillId="2" borderId="0" xfId="0" applyFont="1" applyFill="1" applyProtection="1">
      <protection hidden="1"/>
    </xf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 applyAlignment="1">
      <alignment horizontal="left"/>
    </xf>
    <xf numFmtId="14" fontId="15" fillId="2" borderId="0" xfId="0" applyNumberFormat="1" applyFont="1" applyFill="1" applyAlignment="1">
      <alignment horizontal="left"/>
    </xf>
    <xf numFmtId="0" fontId="21" fillId="2" borderId="0" xfId="0" applyFont="1" applyFill="1" applyProtection="1">
      <protection hidden="1"/>
    </xf>
    <xf numFmtId="0" fontId="15" fillId="2" borderId="9" xfId="0" applyFont="1" applyFill="1" applyBorder="1"/>
    <xf numFmtId="0" fontId="15" fillId="2" borderId="10" xfId="0" applyFont="1" applyFill="1" applyBorder="1"/>
    <xf numFmtId="0" fontId="15" fillId="2" borderId="11" xfId="0" applyFont="1" applyFill="1" applyBorder="1"/>
    <xf numFmtId="0" fontId="22" fillId="2" borderId="0" xfId="0" applyFont="1" applyFill="1" applyProtection="1">
      <protection hidden="1"/>
    </xf>
    <xf numFmtId="2" fontId="3" fillId="2" borderId="0" xfId="0" applyNumberFormat="1" applyFont="1" applyFill="1" applyBorder="1" applyAlignment="1" applyProtection="1">
      <alignment horizontal="right"/>
      <protection hidden="1"/>
    </xf>
    <xf numFmtId="0" fontId="3" fillId="2" borderId="0" xfId="0" applyFont="1" applyFill="1" applyAlignment="1" applyProtection="1">
      <alignment horizontal="right"/>
    </xf>
    <xf numFmtId="168" fontId="9" fillId="2" borderId="0" xfId="0" applyNumberFormat="1" applyFont="1" applyFill="1" applyAlignment="1" applyProtection="1">
      <alignment horizontal="center"/>
      <protection locked="0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2" fontId="1" fillId="2" borderId="0" xfId="0" applyNumberFormat="1" applyFont="1" applyFill="1"/>
    <xf numFmtId="165" fontId="1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70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center"/>
    </xf>
    <xf numFmtId="165" fontId="1" fillId="2" borderId="0" xfId="1" applyNumberFormat="1" applyFont="1" applyFill="1" applyAlignment="1">
      <alignment horizontal="center"/>
    </xf>
    <xf numFmtId="168" fontId="1" fillId="2" borderId="0" xfId="0" applyNumberFormat="1" applyFont="1" applyFill="1" applyAlignment="1">
      <alignment horizontal="center"/>
    </xf>
    <xf numFmtId="168" fontId="3" fillId="2" borderId="0" xfId="0" applyNumberFormat="1" applyFont="1" applyFill="1" applyAlignment="1">
      <alignment horizontal="right"/>
    </xf>
    <xf numFmtId="168" fontId="3" fillId="2" borderId="0" xfId="0" applyNumberFormat="1" applyFont="1" applyFill="1" applyAlignment="1">
      <alignment horizontal="left"/>
    </xf>
    <xf numFmtId="2" fontId="3" fillId="2" borderId="0" xfId="0" applyNumberFormat="1" applyFont="1" applyFill="1" applyAlignment="1">
      <alignment horizontal="center"/>
    </xf>
    <xf numFmtId="9" fontId="3" fillId="2" borderId="0" xfId="1" applyFont="1" applyFill="1" applyAlignment="1">
      <alignment horizontal="center"/>
    </xf>
    <xf numFmtId="168" fontId="1" fillId="2" borderId="0" xfId="0" applyNumberFormat="1" applyFont="1" applyFill="1" applyAlignment="1">
      <alignment horizontal="right"/>
    </xf>
    <xf numFmtId="168" fontId="24" fillId="2" borderId="0" xfId="0" applyNumberFormat="1" applyFont="1" applyFill="1" applyAlignment="1">
      <alignment horizontal="right"/>
    </xf>
    <xf numFmtId="168" fontId="24" fillId="2" borderId="0" xfId="0" applyNumberFormat="1" applyFont="1" applyFill="1" applyAlignment="1">
      <alignment horizontal="left"/>
    </xf>
    <xf numFmtId="168" fontId="24" fillId="2" borderId="0" xfId="0" applyNumberFormat="1" applyFont="1" applyFill="1" applyAlignment="1">
      <alignment horizontal="center"/>
    </xf>
    <xf numFmtId="168" fontId="25" fillId="2" borderId="0" xfId="0" applyNumberFormat="1" applyFont="1" applyFill="1" applyAlignment="1">
      <alignment horizontal="right"/>
    </xf>
    <xf numFmtId="168" fontId="25" fillId="2" borderId="0" xfId="0" applyNumberFormat="1" applyFont="1" applyFill="1" applyAlignment="1">
      <alignment horizontal="left"/>
    </xf>
    <xf numFmtId="168" fontId="25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left"/>
    </xf>
    <xf numFmtId="3" fontId="3" fillId="2" borderId="0" xfId="0" applyNumberFormat="1" applyFont="1" applyFill="1"/>
    <xf numFmtId="3" fontId="3" fillId="2" borderId="0" xfId="1" applyNumberFormat="1" applyFont="1" applyFill="1" applyAlignment="1">
      <alignment horizontal="center"/>
    </xf>
    <xf numFmtId="3" fontId="25" fillId="2" borderId="0" xfId="0" applyNumberFormat="1" applyFont="1" applyFill="1" applyAlignment="1">
      <alignment horizontal="right"/>
    </xf>
    <xf numFmtId="3" fontId="25" fillId="2" borderId="0" xfId="0" applyNumberFormat="1" applyFont="1" applyFill="1" applyAlignment="1">
      <alignment horizontal="center"/>
    </xf>
    <xf numFmtId="166" fontId="3" fillId="2" borderId="0" xfId="0" applyNumberFormat="1" applyFont="1" applyFill="1"/>
    <xf numFmtId="168" fontId="23" fillId="2" borderId="0" xfId="0" applyNumberFormat="1" applyFont="1" applyFill="1" applyAlignment="1">
      <alignment horizontal="right"/>
    </xf>
    <xf numFmtId="168" fontId="23" fillId="2" borderId="0" xfId="0" applyNumberFormat="1" applyFont="1" applyFill="1" applyAlignment="1">
      <alignment horizontal="center"/>
    </xf>
    <xf numFmtId="9" fontId="1" fillId="2" borderId="0" xfId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66" fontId="3" fillId="3" borderId="0" xfId="0" applyNumberFormat="1" applyFon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kWh</a:t>
            </a:r>
            <a:r>
              <a:rPr lang="de-DE" baseline="0"/>
              <a:t> per kWp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'Solar Dimensioning &amp; Var'!$D$27:$D$38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'Solar Dimensioning &amp; Var'!$E$27:$E$38</c:f>
              <c:numCache>
                <c:formatCode>0.0</c:formatCode>
                <c:ptCount val="12"/>
                <c:pt idx="0">
                  <c:v>21.857923497267759</c:v>
                </c:pt>
                <c:pt idx="1">
                  <c:v>55.464480874316941</c:v>
                </c:pt>
                <c:pt idx="2">
                  <c:v>103.68852459016394</c:v>
                </c:pt>
                <c:pt idx="3">
                  <c:v>119.26229508196721</c:v>
                </c:pt>
                <c:pt idx="4">
                  <c:v>74.04371584699453</c:v>
                </c:pt>
                <c:pt idx="5">
                  <c:v>142.62295081967213</c:v>
                </c:pt>
                <c:pt idx="6">
                  <c:v>127.04918032786885</c:v>
                </c:pt>
                <c:pt idx="7">
                  <c:v>104.78142076502732</c:v>
                </c:pt>
                <c:pt idx="8">
                  <c:v>125.54644808743168</c:v>
                </c:pt>
                <c:pt idx="9">
                  <c:v>77.868852459016395</c:v>
                </c:pt>
                <c:pt idx="10">
                  <c:v>37.568306010928957</c:v>
                </c:pt>
                <c:pt idx="11">
                  <c:v>28.142076502732241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1-3A4B-94DF-8A6929308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107680"/>
        <c:axId val="665718800"/>
      </c:barChart>
      <c:catAx>
        <c:axId val="6071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718800"/>
        <c:crosses val="autoZero"/>
        <c:auto val="1"/>
        <c:lblAlgn val="ctr"/>
        <c:lblOffset val="100"/>
        <c:noMultiLvlLbl val="0"/>
      </c:catAx>
      <c:valAx>
        <c:axId val="6657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10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1654790275982"/>
          <c:y val="0.19719925634295712"/>
          <c:w val="0.84248151353829492"/>
          <c:h val="0.777384076990376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'Solar Dimensioning &amp; Var'!$AG$18</c:f>
              <c:strCache>
                <c:ptCount val="1"/>
                <c:pt idx="0">
                  <c:v>Flow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'Solar Dimensioning &amp; Var'!$AA$20:$AA$43</c:f>
              <c:numCache>
                <c:formatCode>[$-407]mmm/\ 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xVal>
          <c:yVal>
            <c:numRef>
              <c:f>'Solar Dimensioning &amp; Var'!$AG$20:$AG$43</c:f>
              <c:numCache>
                <c:formatCode>0.00</c:formatCode>
                <c:ptCount val="24"/>
                <c:pt idx="0">
                  <c:v>-1709.6286977298423</c:v>
                </c:pt>
                <c:pt idx="1">
                  <c:v>2768.2180014283313</c:v>
                </c:pt>
                <c:pt idx="2">
                  <c:v>9193.7459884317304</c:v>
                </c:pt>
                <c:pt idx="3">
                  <c:v>11268.845678285516</c:v>
                </c:pt>
                <c:pt idx="4">
                  <c:v>5243.7755261661823</c:v>
                </c:pt>
                <c:pt idx="5">
                  <c:v>14381.495213066199</c:v>
                </c:pt>
                <c:pt idx="6">
                  <c:v>12306.39552321241</c:v>
                </c:pt>
                <c:pt idx="7">
                  <c:v>9339.367019298661</c:v>
                </c:pt>
                <c:pt idx="8">
                  <c:v>12106.166605770377</c:v>
                </c:pt>
                <c:pt idx="9">
                  <c:v>5753.4491342004476</c:v>
                </c:pt>
                <c:pt idx="10">
                  <c:v>383.67362098231206</c:v>
                </c:pt>
                <c:pt idx="11">
                  <c:v>-872.30777024498093</c:v>
                </c:pt>
                <c:pt idx="12">
                  <c:v>-1709.6286977298423</c:v>
                </c:pt>
                <c:pt idx="13">
                  <c:v>2768.2180014283313</c:v>
                </c:pt>
                <c:pt idx="14">
                  <c:v>9193.7459884317304</c:v>
                </c:pt>
                <c:pt idx="15">
                  <c:v>11268.845678285516</c:v>
                </c:pt>
                <c:pt idx="16">
                  <c:v>5243.7755261661823</c:v>
                </c:pt>
                <c:pt idx="17">
                  <c:v>14381.495213066199</c:v>
                </c:pt>
                <c:pt idx="18">
                  <c:v>12306.39552321241</c:v>
                </c:pt>
                <c:pt idx="19">
                  <c:v>9339.367019298661</c:v>
                </c:pt>
                <c:pt idx="20">
                  <c:v>12106.166605770377</c:v>
                </c:pt>
                <c:pt idx="21">
                  <c:v>5753.4491342004476</c:v>
                </c:pt>
                <c:pt idx="22">
                  <c:v>383.67362098231206</c:v>
                </c:pt>
                <c:pt idx="23">
                  <c:v>-872.30777024498093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1-BB40-9E5B-AE6A2E86C773}"/>
            </c:ext>
          </c:extLst>
        </c:ser>
        <c:ser>
          <c:idx val="1"/>
          <c:order val="1"/>
          <c:tx>
            <c:strRef>
              <c:f>'Solar Dimensioning &amp; Var'!$AH$18</c:f>
              <c:strCache>
                <c:ptCount val="1"/>
                <c:pt idx="0">
                  <c:v>Min Flow</c:v>
                </c:pt>
              </c:strCache>
            </c:strRef>
          </c:tx>
          <c:spPr>
            <a:ln w="635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'Solar Dimensioning &amp; Var'!$AA$20:$AA$43</c:f>
              <c:numCache>
                <c:formatCode>[$-407]mmm/\ 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xVal>
          <c:yVal>
            <c:numRef>
              <c:f>'Solar Dimensioning &amp; Var'!$AH$20:$AH$43</c:f>
              <c:numCache>
                <c:formatCode>0.00</c:formatCode>
                <c:ptCount val="24"/>
                <c:pt idx="0">
                  <c:v>-2451.5544372758109</c:v>
                </c:pt>
                <c:pt idx="1">
                  <c:v>2921.8616017139975</c:v>
                </c:pt>
                <c:pt idx="2">
                  <c:v>10632.495186118076</c:v>
                </c:pt>
                <c:pt idx="3">
                  <c:v>13122.614813942619</c:v>
                </c:pt>
                <c:pt idx="4">
                  <c:v>5892.5306313994188</c:v>
                </c:pt>
                <c:pt idx="5">
                  <c:v>16857.794255679437</c:v>
                </c:pt>
                <c:pt idx="6">
                  <c:v>14367.674627854891</c:v>
                </c:pt>
                <c:pt idx="7">
                  <c:v>10807.240423158393</c:v>
                </c:pt>
                <c:pt idx="8">
                  <c:v>14127.399926924452</c:v>
                </c:pt>
                <c:pt idx="9">
                  <c:v>6504.1389610405367</c:v>
                </c:pt>
                <c:pt idx="10">
                  <c:v>60.408345178774482</c:v>
                </c:pt>
                <c:pt idx="11">
                  <c:v>-1446.769324293977</c:v>
                </c:pt>
                <c:pt idx="12">
                  <c:v>-2451.5544372758109</c:v>
                </c:pt>
                <c:pt idx="13">
                  <c:v>2921.8616017139975</c:v>
                </c:pt>
                <c:pt idx="14">
                  <c:v>10632.495186118076</c:v>
                </c:pt>
                <c:pt idx="15">
                  <c:v>13122.614813942619</c:v>
                </c:pt>
                <c:pt idx="16">
                  <c:v>5892.5306313994188</c:v>
                </c:pt>
                <c:pt idx="17">
                  <c:v>16857.794255679437</c:v>
                </c:pt>
                <c:pt idx="18">
                  <c:v>14367.674627854891</c:v>
                </c:pt>
                <c:pt idx="19">
                  <c:v>10807.240423158393</c:v>
                </c:pt>
                <c:pt idx="20">
                  <c:v>14127.399926924452</c:v>
                </c:pt>
                <c:pt idx="21">
                  <c:v>6504.1389610405367</c:v>
                </c:pt>
                <c:pt idx="22">
                  <c:v>60.408345178774482</c:v>
                </c:pt>
                <c:pt idx="23">
                  <c:v>-1446.769324293977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B1-BB40-9E5B-AE6A2E86C773}"/>
            </c:ext>
          </c:extLst>
        </c:ser>
        <c:ser>
          <c:idx val="2"/>
          <c:order val="2"/>
          <c:tx>
            <c:strRef>
              <c:f>'Solar Dimensioning &amp; Var'!$AI$18</c:f>
              <c:strCache>
                <c:ptCount val="1"/>
                <c:pt idx="0">
                  <c:v>Max Flow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'Solar Dimensioning &amp; Var'!$AA$20:$AA$43</c:f>
              <c:numCache>
                <c:formatCode>[$-407]mmm/\ 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xVal>
          <c:yVal>
            <c:numRef>
              <c:f>'Solar Dimensioning &amp; Var'!$AI$20:$AI$43</c:f>
              <c:numCache>
                <c:formatCode>0.00</c:formatCode>
                <c:ptCount val="24"/>
                <c:pt idx="0">
                  <c:v>-967.70295818387399</c:v>
                </c:pt>
                <c:pt idx="1">
                  <c:v>2614.574401142665</c:v>
                </c:pt>
                <c:pt idx="2">
                  <c:v>7754.9967907453847</c:v>
                </c:pt>
                <c:pt idx="3">
                  <c:v>9415.0765426284124</c:v>
                </c:pt>
                <c:pt idx="4">
                  <c:v>4595.0204209329459</c:v>
                </c:pt>
                <c:pt idx="5">
                  <c:v>11905.19617045296</c:v>
                </c:pt>
                <c:pt idx="6">
                  <c:v>10245.116418569929</c:v>
                </c:pt>
                <c:pt idx="7">
                  <c:v>7871.4936154389288</c:v>
                </c:pt>
                <c:pt idx="8">
                  <c:v>10084.933284616302</c:v>
                </c:pt>
                <c:pt idx="9">
                  <c:v>5002.7593073603584</c:v>
                </c:pt>
                <c:pt idx="10">
                  <c:v>706.93889678584969</c:v>
                </c:pt>
                <c:pt idx="11">
                  <c:v>-297.84621619598477</c:v>
                </c:pt>
                <c:pt idx="12">
                  <c:v>-967.70295818387399</c:v>
                </c:pt>
                <c:pt idx="13">
                  <c:v>2614.574401142665</c:v>
                </c:pt>
                <c:pt idx="14">
                  <c:v>7754.9967907453847</c:v>
                </c:pt>
                <c:pt idx="15">
                  <c:v>9415.0765426284124</c:v>
                </c:pt>
                <c:pt idx="16">
                  <c:v>4595.0204209329459</c:v>
                </c:pt>
                <c:pt idx="17">
                  <c:v>11905.19617045296</c:v>
                </c:pt>
                <c:pt idx="18">
                  <c:v>10245.116418569929</c:v>
                </c:pt>
                <c:pt idx="19">
                  <c:v>7871.4936154389288</c:v>
                </c:pt>
                <c:pt idx="20">
                  <c:v>10084.933284616302</c:v>
                </c:pt>
                <c:pt idx="21">
                  <c:v>5002.7593073603584</c:v>
                </c:pt>
                <c:pt idx="22">
                  <c:v>706.93889678584969</c:v>
                </c:pt>
                <c:pt idx="23">
                  <c:v>-297.84621619598477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B1-BB40-9E5B-AE6A2E86C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78799"/>
        <c:axId val="607021008"/>
      </c:scatterChart>
      <c:valAx>
        <c:axId val="2092878799"/>
        <c:scaling>
          <c:orientation val="minMax"/>
          <c:max val="44500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7]mmm/\ 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021008"/>
        <c:crosses val="autoZero"/>
        <c:crossBetween val="midCat"/>
        <c:majorUnit val="30"/>
      </c:valAx>
      <c:valAx>
        <c:axId val="6070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28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Battery State of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5985629209084268E-2"/>
          <c:y val="7.576979165904163E-2"/>
          <c:w val="0.9218550599705565"/>
          <c:h val="0.76355173643414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'Solar Dimensioning &amp; Var'!$AM$18</c:f>
              <c:strCache>
                <c:ptCount val="1"/>
                <c:pt idx="0">
                  <c:v>State 2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'Solar Dimensioning &amp; Var'!$AA$20:$AA$43</c:f>
              <c:numCache>
                <c:formatCode>[$-407]mmm/\ 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xVal>
          <c:yVal>
            <c:numRef>
              <c:f>'Solar Dimensioning &amp; Var'!$AM$20:$AM$43</c:f>
              <c:numCache>
                <c:formatCode>0.00</c:formatCode>
                <c:ptCount val="24"/>
                <c:pt idx="0">
                  <c:v>290.37130227015768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1327.6922297550191</c:v>
                </c:pt>
                <c:pt idx="12">
                  <c:v>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1327.6922297550191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41-774D-9E9F-BDCB32A2AD50}"/>
            </c:ext>
          </c:extLst>
        </c:ser>
        <c:ser>
          <c:idx val="1"/>
          <c:order val="1"/>
          <c:tx>
            <c:strRef>
              <c:f>'Solar Dimensioning &amp; Var'!$AN$18</c:f>
              <c:strCache>
                <c:ptCount val="1"/>
                <c:pt idx="0">
                  <c:v>Min State 2</c:v>
                </c:pt>
              </c:strCache>
            </c:strRef>
          </c:tx>
          <c:spPr>
            <a:ln w="635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'Solar Dimensioning &amp; Var'!$AA$20:$AA$43</c:f>
              <c:numCache>
                <c:formatCode>[$-407]mmm/\ 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xVal>
          <c:yVal>
            <c:numRef>
              <c:f>'Solar Dimensioning &amp; Var'!$AN$20:$AN$43</c:f>
              <c:numCache>
                <c:formatCode>0.00</c:formatCode>
                <c:ptCount val="24"/>
                <c:pt idx="0">
                  <c:v>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753.23067570602302</c:v>
                </c:pt>
                <c:pt idx="12">
                  <c:v>0</c:v>
                </c:pt>
                <c:pt idx="13">
                  <c:v>1223.5378401442097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753.23067570602302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41-774D-9E9F-BDCB32A2AD50}"/>
            </c:ext>
          </c:extLst>
        </c:ser>
        <c:ser>
          <c:idx val="2"/>
          <c:order val="2"/>
          <c:tx>
            <c:strRef>
              <c:f>'Solar Dimensioning &amp; Var'!$AO$18</c:f>
              <c:strCache>
                <c:ptCount val="1"/>
                <c:pt idx="0">
                  <c:v>Max State 2</c:v>
                </c:pt>
              </c:strCache>
            </c:strRef>
          </c:tx>
          <c:spPr>
            <a:ln w="635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'Solar Dimensioning &amp; Var'!$AA$20:$AA$43</c:f>
              <c:numCache>
                <c:formatCode>[$-407]mmm/\ 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xVal>
          <c:yVal>
            <c:numRef>
              <c:f>'Solar Dimensioning &amp; Var'!$AO$20:$AO$43</c:f>
              <c:numCache>
                <c:formatCode>0.00</c:formatCode>
                <c:ptCount val="24"/>
                <c:pt idx="0">
                  <c:v>1032.297041816126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1902.1537838040153</c:v>
                </c:pt>
                <c:pt idx="12">
                  <c:v>934.45082562014136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1902.1537838040153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41-774D-9E9F-BDCB32A2A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01407"/>
        <c:axId val="2051216223"/>
      </c:scatterChart>
      <c:valAx>
        <c:axId val="2089601407"/>
        <c:scaling>
          <c:orientation val="minMax"/>
          <c:max val="44500"/>
          <c:min val="438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7]mmm/\ 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1216223"/>
        <c:crosses val="autoZero"/>
        <c:crossBetween val="midCat"/>
        <c:majorUnit val="30"/>
      </c:valAx>
      <c:valAx>
        <c:axId val="205121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960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https://www.youtube.com/channel/UClPnzFiUQ_J0KyaXQarIFhQ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1960583</xdr:colOff>
      <xdr:row>2</xdr:row>
      <xdr:rowOff>163287</xdr:rowOff>
    </xdr:from>
    <xdr:to>
      <xdr:col>10</xdr:col>
      <xdr:colOff>788058</xdr:colOff>
      <xdr:row>23</xdr:row>
      <xdr:rowOff>163286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683AFD2-E4FB-6842-8605-7BFF4B02D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7383" y="595087"/>
          <a:ext cx="4555175" cy="4381499"/>
        </a:xfrm>
        <a:prstGeom prst="rect">
          <a:avLst/>
        </a:prstGeom>
      </xdr:spPr>
    </xdr:pic>
    <xdr:clientData/>
  </xdr:twoCellAnchor>
  <xdr:twoCellAnchor editAs="oneCell">
    <xdr:from>
      <xdr:col>0</xdr:col>
      <xdr:colOff>166077</xdr:colOff>
      <xdr:row>10</xdr:row>
      <xdr:rowOff>97693</xdr:rowOff>
    </xdr:from>
    <xdr:to>
      <xdr:col>5</xdr:col>
      <xdr:colOff>446426</xdr:colOff>
      <xdr:row>22</xdr:row>
      <xdr:rowOff>194826</xdr:rowOff>
    </xdr:to>
    <xdr:pic>
      <xdr:nvPicPr>
        <xdr:cNvPr id="7" name="Grafik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F89D67-070D-C541-A357-ADAAC8EC0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077" y="2256693"/>
          <a:ext cx="2624964" cy="25785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263769</xdr:colOff>
      <xdr:row>26</xdr:row>
      <xdr:rowOff>9769</xdr:rowOff>
    </xdr:from>
    <xdr:to>
      <xdr:col>15</xdr:col>
      <xdr:colOff>457200</xdr:colOff>
      <xdr:row>39</xdr:row>
      <xdr:rowOff>166077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E862DF1-7E4D-554E-BCDD-1417A835D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255220</xdr:colOff>
      <xdr:row>82</xdr:row>
      <xdr:rowOff>79375</xdr:rowOff>
    </xdr:from>
    <xdr:to>
      <xdr:col>22</xdr:col>
      <xdr:colOff>562428</xdr:colOff>
      <xdr:row>101</xdr:row>
      <xdr:rowOff>254000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12AD2F8-1545-7541-96AD-6A648B837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346053</xdr:colOff>
      <xdr:row>46</xdr:row>
      <xdr:rowOff>239890</xdr:rowOff>
    </xdr:from>
    <xdr:to>
      <xdr:col>22</xdr:col>
      <xdr:colOff>568476</xdr:colOff>
      <xdr:row>71</xdr:row>
      <xdr:rowOff>127000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50D4B21-9139-8F47-AFB6-74A61C493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566615</xdr:colOff>
      <xdr:row>47</xdr:row>
      <xdr:rowOff>117231</xdr:rowOff>
    </xdr:from>
    <xdr:to>
      <xdr:col>4</xdr:col>
      <xdr:colOff>898770</xdr:colOff>
      <xdr:row>60</xdr:row>
      <xdr:rowOff>30136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EFAC51E-380C-7F4C-869B-AE7866569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2015" y="10620131"/>
          <a:ext cx="4154855" cy="3380005"/>
        </a:xfrm>
        <a:prstGeom prst="rect">
          <a:avLst/>
        </a:prstGeom>
      </xdr:spPr>
    </xdr:pic>
    <xdr:clientData/>
  </xdr:twoCellAnchor>
  <xdr:twoCellAnchor editAs="oneCell">
    <xdr:from>
      <xdr:col>3</xdr:col>
      <xdr:colOff>3797299</xdr:colOff>
      <xdr:row>3</xdr:row>
      <xdr:rowOff>215900</xdr:rowOff>
    </xdr:from>
    <xdr:to>
      <xdr:col>4</xdr:col>
      <xdr:colOff>747485</xdr:colOff>
      <xdr:row>8</xdr:row>
      <xdr:rowOff>81210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BE7D168-8852-C540-98F5-DA64F94A5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0899" y="1016000"/>
          <a:ext cx="772886" cy="1198810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1</xdr:row>
      <xdr:rowOff>63500</xdr:rowOff>
    </xdr:from>
    <xdr:to>
      <xdr:col>3</xdr:col>
      <xdr:colOff>2259839</xdr:colOff>
      <xdr:row>10</xdr:row>
      <xdr:rowOff>213143</xdr:rowOff>
    </xdr:to>
    <xdr:pic>
      <xdr:nvPicPr>
        <xdr:cNvPr id="8" name="Grafik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A7CD48F-7928-DC47-BF5B-9F790DE9E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95875" y="333375"/>
          <a:ext cx="2624964" cy="25785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16932</xdr:colOff>
      <xdr:row>4</xdr:row>
      <xdr:rowOff>120651</xdr:rowOff>
    </xdr:from>
    <xdr:to>
      <xdr:col>8</xdr:col>
      <xdr:colOff>794051</xdr:colOff>
      <xdr:row>8</xdr:row>
      <xdr:rowOff>100260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6755BE6-1371-A041-A7CE-152B74972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099" y="1178984"/>
          <a:ext cx="777119" cy="1037943"/>
        </a:xfrm>
        <a:prstGeom prst="rect">
          <a:avLst/>
        </a:prstGeom>
      </xdr:spPr>
    </xdr:pic>
    <xdr:clientData/>
  </xdr:twoCellAnchor>
  <xdr:twoCellAnchor editAs="oneCell">
    <xdr:from>
      <xdr:col>1</xdr:col>
      <xdr:colOff>2273300</xdr:colOff>
      <xdr:row>0</xdr:row>
      <xdr:rowOff>203200</xdr:rowOff>
    </xdr:from>
    <xdr:to>
      <xdr:col>5</xdr:col>
      <xdr:colOff>313564</xdr:colOff>
      <xdr:row>10</xdr:row>
      <xdr:rowOff>114718</xdr:rowOff>
    </xdr:to>
    <xdr:pic>
      <xdr:nvPicPr>
        <xdr:cNvPr id="4" name="Grafik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75530D6-2D55-514F-BEE5-9E388D822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98800" y="203200"/>
          <a:ext cx="2624964" cy="25785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6713-B779-8942-A9CF-22CCFFCF9BB7}">
  <dimension ref="B1:L38"/>
  <sheetViews>
    <sheetView zoomScale="130" zoomScaleNormal="130" workbookViewId="0">
      <selection activeCell="Q24" sqref="Q24"/>
    </sheetView>
  </sheetViews>
  <sheetFormatPr baseColWidth="10" defaultRowHeight="16" x14ac:dyDescent="0.2"/>
  <cols>
    <col min="1" max="1" width="3.5" style="128" customWidth="1"/>
    <col min="2" max="2" width="4.1640625" style="128" customWidth="1"/>
    <col min="3" max="3" width="12.5" style="128" customWidth="1"/>
    <col min="4" max="4" width="5.6640625" style="128" customWidth="1"/>
    <col min="5" max="5" width="4.83203125" style="128" customWidth="1"/>
    <col min="6" max="6" width="31.83203125" style="128" customWidth="1"/>
    <col min="7" max="11" width="10.83203125" style="128"/>
    <col min="12" max="12" width="4.33203125" style="128" customWidth="1"/>
    <col min="13" max="16384" width="10.83203125" style="128"/>
  </cols>
  <sheetData>
    <row r="1" spans="2:12" ht="17" thickBot="1" x14ac:dyDescent="0.25"/>
    <row r="2" spans="2:12" ht="17" thickTop="1" x14ac:dyDescent="0.2">
      <c r="B2" s="129"/>
      <c r="C2" s="130"/>
      <c r="D2" s="130"/>
      <c r="E2" s="130"/>
      <c r="F2" s="130"/>
      <c r="G2" s="130"/>
      <c r="H2" s="130"/>
      <c r="I2" s="130"/>
      <c r="J2" s="130"/>
      <c r="K2" s="130"/>
      <c r="L2" s="131"/>
    </row>
    <row r="3" spans="2:12" x14ac:dyDescent="0.2">
      <c r="B3" s="132"/>
      <c r="L3" s="133"/>
    </row>
    <row r="4" spans="2:12" ht="23" x14ac:dyDescent="0.25">
      <c r="B4" s="132"/>
      <c r="C4" s="134"/>
      <c r="L4" s="133"/>
    </row>
    <row r="5" spans="2:12" x14ac:dyDescent="0.2">
      <c r="B5" s="132"/>
      <c r="L5" s="133"/>
    </row>
    <row r="6" spans="2:12" x14ac:dyDescent="0.2">
      <c r="B6" s="132"/>
      <c r="C6" s="135" t="s">
        <v>141</v>
      </c>
      <c r="L6" s="133"/>
    </row>
    <row r="7" spans="2:12" x14ac:dyDescent="0.2">
      <c r="B7" s="132"/>
      <c r="C7" s="135" t="s">
        <v>142</v>
      </c>
      <c r="L7" s="133"/>
    </row>
    <row r="8" spans="2:12" x14ac:dyDescent="0.2">
      <c r="B8" s="132"/>
      <c r="L8" s="133"/>
    </row>
    <row r="9" spans="2:12" x14ac:dyDescent="0.2">
      <c r="B9" s="132"/>
      <c r="L9" s="133"/>
    </row>
    <row r="10" spans="2:12" x14ac:dyDescent="0.2">
      <c r="B10" s="132"/>
      <c r="L10" s="133"/>
    </row>
    <row r="11" spans="2:12" x14ac:dyDescent="0.2">
      <c r="B11" s="132"/>
      <c r="L11" s="133"/>
    </row>
    <row r="12" spans="2:12" x14ac:dyDescent="0.2">
      <c r="B12" s="132"/>
      <c r="L12" s="133"/>
    </row>
    <row r="13" spans="2:12" x14ac:dyDescent="0.2">
      <c r="B13" s="132"/>
      <c r="L13" s="133"/>
    </row>
    <row r="14" spans="2:12" x14ac:dyDescent="0.2">
      <c r="B14" s="132"/>
      <c r="L14" s="133"/>
    </row>
    <row r="15" spans="2:12" x14ac:dyDescent="0.2">
      <c r="B15" s="132"/>
      <c r="L15" s="133"/>
    </row>
    <row r="16" spans="2:12" x14ac:dyDescent="0.2">
      <c r="B16" s="132"/>
      <c r="L16" s="133"/>
    </row>
    <row r="17" spans="2:12" x14ac:dyDescent="0.2">
      <c r="B17" s="132"/>
      <c r="L17" s="133"/>
    </row>
    <row r="18" spans="2:12" x14ac:dyDescent="0.2">
      <c r="B18" s="132"/>
      <c r="L18" s="133"/>
    </row>
    <row r="19" spans="2:12" x14ac:dyDescent="0.2">
      <c r="B19" s="132"/>
      <c r="L19" s="133"/>
    </row>
    <row r="20" spans="2:12" x14ac:dyDescent="0.2">
      <c r="B20" s="132"/>
      <c r="L20" s="133"/>
    </row>
    <row r="21" spans="2:12" x14ac:dyDescent="0.2">
      <c r="B21" s="132"/>
      <c r="L21" s="133"/>
    </row>
    <row r="22" spans="2:12" ht="18" x14ac:dyDescent="0.2">
      <c r="B22" s="132"/>
      <c r="C22" s="136" t="s">
        <v>143</v>
      </c>
      <c r="L22" s="133"/>
    </row>
    <row r="23" spans="2:12" x14ac:dyDescent="0.2">
      <c r="B23" s="132"/>
      <c r="L23" s="133"/>
    </row>
    <row r="24" spans="2:12" x14ac:dyDescent="0.2">
      <c r="B24" s="132"/>
      <c r="L24" s="133"/>
    </row>
    <row r="25" spans="2:12" x14ac:dyDescent="0.2">
      <c r="B25" s="132"/>
      <c r="L25" s="133"/>
    </row>
    <row r="26" spans="2:12" x14ac:dyDescent="0.2">
      <c r="B26" s="132"/>
      <c r="L26" s="133"/>
    </row>
    <row r="27" spans="2:12" ht="33" x14ac:dyDescent="0.35">
      <c r="B27" s="132"/>
      <c r="C27" s="134" t="s">
        <v>144</v>
      </c>
      <c r="E27" s="144" t="s">
        <v>147</v>
      </c>
      <c r="F27" s="137"/>
      <c r="L27" s="133"/>
    </row>
    <row r="28" spans="2:12" ht="25" x14ac:dyDescent="0.25">
      <c r="B28" s="132"/>
      <c r="E28" s="137"/>
      <c r="F28" s="137"/>
      <c r="L28" s="133"/>
    </row>
    <row r="29" spans="2:12" ht="19" customHeight="1" x14ac:dyDescent="0.2">
      <c r="B29" s="132"/>
      <c r="F29" s="138" t="s">
        <v>148</v>
      </c>
      <c r="L29" s="133"/>
    </row>
    <row r="30" spans="2:12" ht="19" customHeight="1" x14ac:dyDescent="0.2">
      <c r="B30" s="132"/>
      <c r="F30" s="138" t="s">
        <v>149</v>
      </c>
      <c r="L30" s="133"/>
    </row>
    <row r="31" spans="2:12" ht="19" customHeight="1" x14ac:dyDescent="0.2">
      <c r="B31" s="132"/>
      <c r="F31" s="138" t="s">
        <v>150</v>
      </c>
      <c r="L31" s="133"/>
    </row>
    <row r="32" spans="2:12" ht="19" customHeight="1" x14ac:dyDescent="0.2">
      <c r="B32" s="132"/>
      <c r="F32" s="138"/>
      <c r="L32" s="133"/>
    </row>
    <row r="33" spans="2:12" ht="18" customHeight="1" x14ac:dyDescent="0.2">
      <c r="B33" s="132"/>
      <c r="F33" s="138"/>
      <c r="L33" s="133"/>
    </row>
    <row r="34" spans="2:12" x14ac:dyDescent="0.2">
      <c r="B34" s="132"/>
      <c r="L34" s="133"/>
    </row>
    <row r="35" spans="2:12" x14ac:dyDescent="0.2">
      <c r="B35" s="132"/>
      <c r="C35" s="139" t="s">
        <v>146</v>
      </c>
      <c r="L35" s="133"/>
    </row>
    <row r="36" spans="2:12" x14ac:dyDescent="0.2">
      <c r="B36" s="132"/>
      <c r="C36" s="140" t="s">
        <v>145</v>
      </c>
      <c r="L36" s="133"/>
    </row>
    <row r="37" spans="2:12" ht="17" thickBot="1" x14ac:dyDescent="0.25">
      <c r="B37" s="141"/>
      <c r="C37" s="142"/>
      <c r="D37" s="142"/>
      <c r="E37" s="142"/>
      <c r="F37" s="142"/>
      <c r="G37" s="142"/>
      <c r="H37" s="142"/>
      <c r="I37" s="142"/>
      <c r="J37" s="142"/>
      <c r="K37" s="142"/>
      <c r="L37" s="143"/>
    </row>
    <row r="38" spans="2:12" ht="17" thickTop="1" x14ac:dyDescent="0.2"/>
  </sheetData>
  <sheetProtection sheet="1" objects="1" scenarios="1" selectLockedCells="1" selectUnlockedCell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E4B5-B277-D843-B1ED-5298B6D0718E}">
  <dimension ref="B1:AQ119"/>
  <sheetViews>
    <sheetView tabSelected="1" zoomScale="80" zoomScaleNormal="80" workbookViewId="0">
      <selection activeCell="E18" sqref="E18"/>
    </sheetView>
  </sheetViews>
  <sheetFormatPr baseColWidth="10" defaultRowHeight="21" outlineLevelCol="1" x14ac:dyDescent="0.25"/>
  <cols>
    <col min="1" max="1" width="2" style="36" customWidth="1"/>
    <col min="2" max="2" width="63" style="32" customWidth="1"/>
    <col min="3" max="3" width="6.6640625" style="33" customWidth="1"/>
    <col min="4" max="4" width="50.1640625" style="32" customWidth="1"/>
    <col min="5" max="5" width="13.5" style="32" customWidth="1"/>
    <col min="6" max="6" width="14.6640625" style="36" customWidth="1"/>
    <col min="7" max="7" width="1.83203125" style="36" customWidth="1"/>
    <col min="8" max="8" width="1.83203125" style="36" customWidth="1" outlineLevel="1"/>
    <col min="9" max="9" width="67.83203125" style="32" customWidth="1" outlineLevel="1"/>
    <col min="10" max="10" width="14.83203125" style="37" customWidth="1" outlineLevel="1"/>
    <col min="11" max="11" width="9.6640625" style="36" customWidth="1" outlineLevel="1"/>
    <col min="12" max="12" width="1.83203125" style="37" customWidth="1" outlineLevel="1"/>
    <col min="13" max="13" width="1.83203125" style="36" customWidth="1"/>
    <col min="14" max="14" width="68.6640625" style="36" customWidth="1"/>
    <col min="15" max="15" width="8.5" style="38" customWidth="1"/>
    <col min="16" max="16" width="9" style="38" customWidth="1"/>
    <col min="17" max="17" width="2" style="38" customWidth="1"/>
    <col min="18" max="18" width="1.33203125" style="38" customWidth="1"/>
    <col min="19" max="19" width="46.5" style="38" customWidth="1"/>
    <col min="20" max="21" width="36.33203125" style="38" customWidth="1"/>
    <col min="22" max="22" width="36.33203125" style="39" customWidth="1"/>
    <col min="23" max="23" width="13" style="40" customWidth="1"/>
    <col min="24" max="24" width="2.5" style="40" customWidth="1"/>
    <col min="25" max="25" width="1.5" style="40" customWidth="1"/>
    <col min="26" max="26" width="2.5" style="40" customWidth="1"/>
    <col min="27" max="27" width="13.83203125" style="41" customWidth="1"/>
    <col min="28" max="28" width="14.83203125" style="42" customWidth="1"/>
    <col min="29" max="29" width="11.6640625" style="43" customWidth="1"/>
    <col min="30" max="30" width="13.33203125" style="44" customWidth="1"/>
    <col min="31" max="31" width="15.83203125" style="44" customWidth="1"/>
    <col min="32" max="32" width="16.33203125" style="38" customWidth="1"/>
    <col min="33" max="33" width="15.33203125" style="38" customWidth="1"/>
    <col min="34" max="34" width="15.6640625" style="38" customWidth="1"/>
    <col min="35" max="35" width="15.33203125" style="38" customWidth="1"/>
    <col min="36" max="36" width="16.33203125" style="38" customWidth="1"/>
    <col min="37" max="38" width="16" style="38" customWidth="1"/>
    <col min="39" max="39" width="16.83203125" style="38" customWidth="1"/>
    <col min="40" max="40" width="17.5" style="38" customWidth="1"/>
    <col min="41" max="41" width="13.83203125" style="38" customWidth="1"/>
    <col min="42" max="42" width="1" style="38" customWidth="1"/>
    <col min="43" max="43" width="1" style="36" customWidth="1"/>
    <col min="44" max="16384" width="10.83203125" style="36"/>
  </cols>
  <sheetData>
    <row r="1" spans="2:43" x14ac:dyDescent="0.25">
      <c r="AK1" s="36"/>
      <c r="AL1" s="36"/>
      <c r="AM1" s="36"/>
      <c r="AN1" s="36"/>
      <c r="AO1" s="36"/>
      <c r="AP1" s="36"/>
    </row>
    <row r="2" spans="2:43" x14ac:dyDescent="0.25">
      <c r="AK2" s="36"/>
      <c r="AL2" s="36"/>
      <c r="AM2" s="36"/>
      <c r="AN2" s="36"/>
      <c r="AO2" s="36"/>
      <c r="AP2" s="36"/>
    </row>
    <row r="3" spans="2:43" x14ac:dyDescent="0.25">
      <c r="D3" s="34"/>
      <c r="E3" s="35"/>
      <c r="F3" s="35"/>
      <c r="G3" s="34"/>
      <c r="AK3" s="36"/>
      <c r="AL3" s="36"/>
      <c r="AM3" s="36"/>
      <c r="AN3" s="36"/>
      <c r="AO3" s="36"/>
      <c r="AP3" s="36"/>
    </row>
    <row r="4" spans="2:43" x14ac:dyDescent="0.25">
      <c r="D4" s="34"/>
      <c r="E4" s="35"/>
      <c r="F4" s="35"/>
      <c r="G4" s="34"/>
      <c r="AK4" s="36"/>
      <c r="AL4" s="36"/>
      <c r="AM4" s="36"/>
      <c r="AN4" s="36"/>
      <c r="AO4" s="36"/>
      <c r="AP4" s="36"/>
    </row>
    <row r="5" spans="2:43" x14ac:dyDescent="0.25">
      <c r="D5" s="34"/>
      <c r="E5" s="35"/>
      <c r="F5" s="35"/>
      <c r="G5" s="34"/>
      <c r="AK5" s="36"/>
      <c r="AL5" s="36"/>
      <c r="AM5" s="36"/>
      <c r="AN5" s="36"/>
      <c r="AO5" s="36"/>
      <c r="AP5" s="36"/>
    </row>
    <row r="6" spans="2:43" x14ac:dyDescent="0.25">
      <c r="D6" s="34"/>
      <c r="E6" s="35"/>
      <c r="F6" s="33" t="s">
        <v>137</v>
      </c>
      <c r="G6" s="34"/>
      <c r="I6" s="36"/>
      <c r="AK6" s="36"/>
      <c r="AL6" s="36"/>
      <c r="AM6" s="36"/>
      <c r="AN6" s="36"/>
      <c r="AO6" s="36"/>
      <c r="AP6" s="36"/>
    </row>
    <row r="7" spans="2:43" x14ac:dyDescent="0.25">
      <c r="D7" s="34"/>
      <c r="E7" s="35"/>
      <c r="F7" s="33" t="s">
        <v>138</v>
      </c>
      <c r="G7" s="34"/>
      <c r="I7" s="36"/>
      <c r="AK7" s="36"/>
      <c r="AL7" s="36"/>
      <c r="AM7" s="36"/>
      <c r="AN7" s="36"/>
      <c r="AO7" s="36"/>
      <c r="AP7" s="36"/>
    </row>
    <row r="8" spans="2:43" x14ac:dyDescent="0.25">
      <c r="D8" s="45"/>
      <c r="E8" s="46"/>
      <c r="F8" s="33" t="s">
        <v>136</v>
      </c>
      <c r="G8" s="45"/>
      <c r="I8" s="36"/>
      <c r="AK8" s="36"/>
      <c r="AL8" s="36"/>
      <c r="AM8" s="36"/>
      <c r="AN8" s="36"/>
      <c r="AO8" s="36"/>
      <c r="AP8" s="36"/>
    </row>
    <row r="9" spans="2:43" x14ac:dyDescent="0.25">
      <c r="D9" s="45"/>
      <c r="E9" s="34"/>
      <c r="F9" s="46"/>
      <c r="G9" s="45"/>
      <c r="AK9" s="36"/>
      <c r="AL9" s="36"/>
      <c r="AM9" s="36"/>
      <c r="AN9" s="36"/>
      <c r="AO9" s="36"/>
      <c r="AP9" s="36"/>
    </row>
    <row r="10" spans="2:43" x14ac:dyDescent="0.25">
      <c r="D10" s="47" t="s">
        <v>135</v>
      </c>
      <c r="F10" s="34"/>
      <c r="G10" s="34"/>
      <c r="AK10" s="36"/>
      <c r="AL10" s="36"/>
      <c r="AM10" s="36"/>
      <c r="AN10" s="36"/>
      <c r="AO10" s="36"/>
      <c r="AP10" s="36"/>
    </row>
    <row r="12" spans="2:43" ht="35" thickBot="1" x14ac:dyDescent="0.45">
      <c r="B12" s="122" t="s">
        <v>132</v>
      </c>
    </row>
    <row r="13" spans="2:43" s="53" customFormat="1" ht="31" thickTop="1" thickBot="1" x14ac:dyDescent="0.4">
      <c r="B13" s="48" t="s">
        <v>134</v>
      </c>
      <c r="C13" s="49"/>
      <c r="D13" s="50" t="s">
        <v>19</v>
      </c>
      <c r="E13" s="51"/>
      <c r="F13" s="52"/>
      <c r="I13" s="50" t="s">
        <v>91</v>
      </c>
      <c r="J13" s="51"/>
      <c r="K13" s="52"/>
      <c r="L13" s="54"/>
      <c r="N13" s="50"/>
      <c r="O13" s="51"/>
      <c r="P13" s="51"/>
      <c r="Q13" s="51"/>
      <c r="R13" s="51"/>
      <c r="S13" s="51" t="s">
        <v>110</v>
      </c>
      <c r="T13" s="51"/>
      <c r="U13" s="51"/>
      <c r="V13" s="51"/>
      <c r="W13" s="52"/>
      <c r="X13" s="55"/>
      <c r="Y13" s="55"/>
      <c r="Z13" s="50"/>
      <c r="AA13" s="56"/>
      <c r="AB13" s="57"/>
      <c r="AC13" s="58"/>
      <c r="AD13" s="59"/>
      <c r="AE13" s="59" t="s">
        <v>98</v>
      </c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2"/>
    </row>
    <row r="14" spans="2:43" ht="22" thickTop="1" x14ac:dyDescent="0.25">
      <c r="AQ14" s="60"/>
    </row>
    <row r="15" spans="2:43" x14ac:dyDescent="0.25">
      <c r="AG15" s="38" t="s">
        <v>133</v>
      </c>
      <c r="AH15" s="146">
        <f>E112</f>
        <v>400</v>
      </c>
      <c r="AI15" s="33" t="s">
        <v>129</v>
      </c>
      <c r="AJ15" s="80"/>
      <c r="AK15" s="33" t="s">
        <v>131</v>
      </c>
    </row>
    <row r="16" spans="2:43" s="64" customFormat="1" ht="27" thickBot="1" x14ac:dyDescent="0.35">
      <c r="B16" s="61" t="s">
        <v>20</v>
      </c>
      <c r="C16" s="62"/>
      <c r="D16" s="61" t="s">
        <v>70</v>
      </c>
      <c r="E16" s="63"/>
      <c r="I16" s="63"/>
      <c r="J16" s="65"/>
      <c r="L16" s="65"/>
      <c r="N16" s="61" t="s">
        <v>76</v>
      </c>
      <c r="O16" s="65"/>
      <c r="Q16" s="66"/>
      <c r="R16" s="66"/>
      <c r="S16" s="61"/>
      <c r="T16" s="66"/>
      <c r="U16" s="66"/>
      <c r="V16" s="67"/>
      <c r="W16" s="68"/>
      <c r="X16" s="68"/>
      <c r="Y16" s="68"/>
      <c r="Z16" s="68"/>
      <c r="AA16" s="69"/>
      <c r="AB16" s="70"/>
      <c r="AC16" s="71"/>
      <c r="AD16" s="72"/>
      <c r="AE16" s="72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</row>
    <row r="17" spans="2:42" ht="22" thickTop="1" x14ac:dyDescent="0.25">
      <c r="D17" s="73"/>
      <c r="E17" s="74"/>
      <c r="F17" s="75"/>
      <c r="N17" s="73"/>
      <c r="O17" s="74"/>
      <c r="P17" s="75"/>
      <c r="AA17" s="123"/>
      <c r="AB17" s="124" t="s">
        <v>101</v>
      </c>
      <c r="AC17" s="125"/>
      <c r="AD17" s="126" t="s">
        <v>100</v>
      </c>
      <c r="AE17" s="126" t="s">
        <v>100</v>
      </c>
      <c r="AF17" s="127" t="s">
        <v>107</v>
      </c>
      <c r="AG17" s="127" t="s">
        <v>106</v>
      </c>
      <c r="AH17" s="127"/>
      <c r="AI17" s="127"/>
      <c r="AJ17" s="127" t="s">
        <v>106</v>
      </c>
      <c r="AK17" s="127"/>
      <c r="AL17" s="127"/>
      <c r="AM17" s="127" t="s">
        <v>106</v>
      </c>
      <c r="AN17" s="127"/>
      <c r="AO17" s="127"/>
    </row>
    <row r="18" spans="2:42" x14ac:dyDescent="0.25">
      <c r="B18" s="76" t="s">
        <v>85</v>
      </c>
      <c r="D18" s="77" t="s">
        <v>16</v>
      </c>
      <c r="E18" s="118">
        <v>5</v>
      </c>
      <c r="F18" s="79" t="s">
        <v>11</v>
      </c>
      <c r="N18" s="77"/>
      <c r="O18" s="78"/>
      <c r="P18" s="79"/>
      <c r="AA18" s="123" t="s">
        <v>69</v>
      </c>
      <c r="AB18" s="124" t="s">
        <v>99</v>
      </c>
      <c r="AC18" s="125"/>
      <c r="AD18" s="126" t="s">
        <v>102</v>
      </c>
      <c r="AE18" s="126" t="s">
        <v>102</v>
      </c>
      <c r="AF18" s="127" t="s">
        <v>105</v>
      </c>
      <c r="AG18" s="127" t="s">
        <v>10</v>
      </c>
      <c r="AH18" s="127" t="s">
        <v>115</v>
      </c>
      <c r="AI18" s="127" t="s">
        <v>116</v>
      </c>
      <c r="AJ18" s="127" t="s">
        <v>108</v>
      </c>
      <c r="AK18" s="127" t="s">
        <v>117</v>
      </c>
      <c r="AL18" s="127" t="s">
        <v>120</v>
      </c>
      <c r="AM18" s="127" t="s">
        <v>109</v>
      </c>
      <c r="AN18" s="127" t="s">
        <v>119</v>
      </c>
      <c r="AO18" s="127" t="s">
        <v>118</v>
      </c>
    </row>
    <row r="19" spans="2:42" x14ac:dyDescent="0.25">
      <c r="B19" s="76" t="s">
        <v>85</v>
      </c>
      <c r="D19" s="77" t="s">
        <v>18</v>
      </c>
      <c r="E19" s="118">
        <v>145</v>
      </c>
      <c r="F19" s="79" t="s">
        <v>1</v>
      </c>
      <c r="N19" s="77" t="s">
        <v>28</v>
      </c>
      <c r="O19" s="78">
        <f>E18*E19</f>
        <v>725</v>
      </c>
      <c r="P19" s="79" t="s">
        <v>17</v>
      </c>
      <c r="AA19" s="123" t="s">
        <v>69</v>
      </c>
      <c r="AB19" s="124" t="s">
        <v>8</v>
      </c>
      <c r="AC19" s="125" t="s">
        <v>6</v>
      </c>
      <c r="AD19" s="126" t="s">
        <v>7</v>
      </c>
      <c r="AE19" s="126" t="s">
        <v>0</v>
      </c>
      <c r="AF19" s="127" t="s">
        <v>0</v>
      </c>
      <c r="AG19" s="127" t="s">
        <v>0</v>
      </c>
      <c r="AH19" s="127" t="s">
        <v>0</v>
      </c>
      <c r="AI19" s="127" t="s">
        <v>0</v>
      </c>
      <c r="AJ19" s="127" t="s">
        <v>0</v>
      </c>
      <c r="AK19" s="127" t="s">
        <v>0</v>
      </c>
      <c r="AL19" s="127" t="s">
        <v>0</v>
      </c>
      <c r="AM19" s="127" t="s">
        <v>0</v>
      </c>
      <c r="AN19" s="127" t="s">
        <v>0</v>
      </c>
      <c r="AO19" s="127" t="s">
        <v>0</v>
      </c>
    </row>
    <row r="20" spans="2:42" x14ac:dyDescent="0.25">
      <c r="B20" s="76" t="s">
        <v>85</v>
      </c>
      <c r="D20" s="77" t="s">
        <v>43</v>
      </c>
      <c r="E20" s="118">
        <v>44</v>
      </c>
      <c r="F20" s="79" t="s">
        <v>9</v>
      </c>
      <c r="N20" s="77" t="s">
        <v>44</v>
      </c>
      <c r="O20" s="78">
        <f>E20*200*1000/10000</f>
        <v>880</v>
      </c>
      <c r="P20" s="79" t="s">
        <v>17</v>
      </c>
      <c r="AA20" s="41">
        <v>43831</v>
      </c>
      <c r="AB20" s="42">
        <f>E27</f>
        <v>21.857923497267759</v>
      </c>
      <c r="AC20" s="43">
        <f t="shared" ref="AC20:AC43" si="0">AB20/E$40</f>
        <v>2.1473627700979738E-2</v>
      </c>
      <c r="AD20" s="44">
        <f t="shared" ref="AD20:AD43" si="1">O$19*AB20*E$67*E$46</f>
        <v>10775.956284153006</v>
      </c>
      <c r="AE20" s="44">
        <f t="shared" ref="AE20:AE43" si="2">AD20/E$73</f>
        <v>2912.4206173386501</v>
      </c>
      <c r="AF20" s="80">
        <f t="shared" ref="AF20:AF43" si="3">J$93</f>
        <v>4622.0493150684924</v>
      </c>
      <c r="AG20" s="80">
        <f>AE20-AF20</f>
        <v>-1709.6286977298423</v>
      </c>
      <c r="AH20" s="80">
        <f>(AG20) * (1-E$113/100) - AH$15</f>
        <v>-2451.5544372758109</v>
      </c>
      <c r="AI20" s="80">
        <f>(AG20) * (1+E$113/100) +AH$15</f>
        <v>-967.70295818387399</v>
      </c>
      <c r="AJ20" s="80">
        <f>IF($E$75+AG20 &lt; $E$74,$E$75+AG20, $E$74)</f>
        <v>290.37130227015768</v>
      </c>
      <c r="AK20" s="80">
        <f t="shared" ref="AK20" si="4">IF($E$75+AH20 &lt; $E$74,$E$75+AH20, $E$74)</f>
        <v>-451.55443727581087</v>
      </c>
      <c r="AL20" s="80">
        <f>IF($E$75+AI20 &lt; $E$74,$E$75+AI20, $E$74)</f>
        <v>1032.297041816126</v>
      </c>
      <c r="AM20" s="80">
        <f>IF(AJ20&gt;0,AJ20,0)</f>
        <v>290.37130227015768</v>
      </c>
      <c r="AN20" s="80">
        <f t="shared" ref="AN20:AO35" si="5">IF(AK20&gt;0,AK20,0)</f>
        <v>0</v>
      </c>
      <c r="AO20" s="80">
        <f>IF(AL20&gt;0,AL20,0)</f>
        <v>1032.297041816126</v>
      </c>
    </row>
    <row r="21" spans="2:42" ht="22" thickBot="1" x14ac:dyDescent="0.3">
      <c r="D21" s="81"/>
      <c r="E21" s="82"/>
      <c r="F21" s="83"/>
      <c r="N21" s="81"/>
      <c r="O21" s="82"/>
      <c r="P21" s="83"/>
      <c r="AA21" s="41">
        <v>43862</v>
      </c>
      <c r="AB21" s="42">
        <f t="shared" ref="AB21:AB31" si="6">E28</f>
        <v>55.464480874316941</v>
      </c>
      <c r="AC21" s="43">
        <f t="shared" si="0"/>
        <v>5.4489330291236086E-2</v>
      </c>
      <c r="AD21" s="44">
        <f t="shared" si="1"/>
        <v>27343.98907103825</v>
      </c>
      <c r="AE21" s="44">
        <f t="shared" si="2"/>
        <v>7390.2673164968237</v>
      </c>
      <c r="AF21" s="80">
        <f t="shared" si="3"/>
        <v>4622.0493150684924</v>
      </c>
      <c r="AG21" s="80">
        <f>AE21-AF21</f>
        <v>2768.2180014283313</v>
      </c>
      <c r="AH21" s="80">
        <f t="shared" ref="AH21:AH43" si="7">(AG21) * (1-E$113/100) - AH$15</f>
        <v>2921.8616017139975</v>
      </c>
      <c r="AI21" s="80">
        <f t="shared" ref="AI21:AI43" si="8">(AG21) * (1+E$113/100) +AH$15</f>
        <v>2614.574401142665</v>
      </c>
      <c r="AJ21" s="80">
        <f>IF(AJ20+AG21 &lt; $E$74,AJ20+AG21, $E$74)</f>
        <v>2200</v>
      </c>
      <c r="AK21" s="80">
        <f t="shared" ref="AK21:AL36" si="9">IF(AK20+AH21 &lt; $E$74,AK20+AH21, $E$74)</f>
        <v>2200</v>
      </c>
      <c r="AL21" s="80">
        <f t="shared" si="9"/>
        <v>2200</v>
      </c>
      <c r="AM21" s="80">
        <f t="shared" ref="AM21:AO43" si="10">IF(AJ21&gt;0,AJ21,0)</f>
        <v>2200</v>
      </c>
      <c r="AN21" s="80">
        <f t="shared" si="5"/>
        <v>2200</v>
      </c>
      <c r="AO21" s="80">
        <f t="shared" si="5"/>
        <v>2200</v>
      </c>
    </row>
    <row r="22" spans="2:42" ht="22" thickTop="1" x14ac:dyDescent="0.25">
      <c r="AA22" s="41">
        <v>43891</v>
      </c>
      <c r="AB22" s="42">
        <f t="shared" si="6"/>
        <v>103.68852459016394</v>
      </c>
      <c r="AC22" s="43">
        <f t="shared" si="0"/>
        <v>0.10186552140652264</v>
      </c>
      <c r="AD22" s="44">
        <f t="shared" si="1"/>
        <v>51118.442622950824</v>
      </c>
      <c r="AE22" s="44">
        <f t="shared" si="2"/>
        <v>13815.795303500223</v>
      </c>
      <c r="AF22" s="80">
        <f t="shared" si="3"/>
        <v>4622.0493150684924</v>
      </c>
      <c r="AG22" s="80">
        <f t="shared" ref="AG22:AG43" si="11">AE22-AF22</f>
        <v>9193.7459884317304</v>
      </c>
      <c r="AH22" s="80">
        <f t="shared" si="7"/>
        <v>10632.495186118076</v>
      </c>
      <c r="AI22" s="80">
        <f t="shared" si="8"/>
        <v>7754.9967907453847</v>
      </c>
      <c r="AJ22" s="80">
        <f t="shared" ref="AJ22:AL37" si="12">IF(AJ21+AG22 &lt; $E$74,AJ21+AG22, $E$74)</f>
        <v>2200</v>
      </c>
      <c r="AK22" s="80">
        <f t="shared" si="9"/>
        <v>2200</v>
      </c>
      <c r="AL22" s="80">
        <f t="shared" si="9"/>
        <v>2200</v>
      </c>
      <c r="AM22" s="80">
        <f t="shared" si="10"/>
        <v>2200</v>
      </c>
      <c r="AN22" s="80">
        <f t="shared" si="5"/>
        <v>2200</v>
      </c>
      <c r="AO22" s="80">
        <f t="shared" si="5"/>
        <v>2200</v>
      </c>
    </row>
    <row r="23" spans="2:42" x14ac:dyDescent="0.25">
      <c r="N23" s="32"/>
      <c r="O23" s="37"/>
      <c r="P23" s="36"/>
      <c r="Q23" s="37"/>
      <c r="AA23" s="41">
        <v>43922</v>
      </c>
      <c r="AB23" s="42">
        <f t="shared" si="6"/>
        <v>119.26229508196721</v>
      </c>
      <c r="AC23" s="43">
        <f t="shared" si="0"/>
        <v>0.11716548114347068</v>
      </c>
      <c r="AD23" s="44">
        <f t="shared" si="1"/>
        <v>58796.311475409835</v>
      </c>
      <c r="AE23" s="44">
        <f t="shared" si="2"/>
        <v>15890.894993354008</v>
      </c>
      <c r="AF23" s="80">
        <f t="shared" si="3"/>
        <v>4622.0493150684924</v>
      </c>
      <c r="AG23" s="80">
        <f t="shared" si="11"/>
        <v>11268.845678285516</v>
      </c>
      <c r="AH23" s="80">
        <f t="shared" si="7"/>
        <v>13122.614813942619</v>
      </c>
      <c r="AI23" s="80">
        <f t="shared" si="8"/>
        <v>9415.0765426284124</v>
      </c>
      <c r="AJ23" s="80">
        <f t="shared" si="12"/>
        <v>2200</v>
      </c>
      <c r="AK23" s="80">
        <f t="shared" si="9"/>
        <v>2200</v>
      </c>
      <c r="AL23" s="80">
        <f t="shared" si="9"/>
        <v>2200</v>
      </c>
      <c r="AM23" s="80">
        <f t="shared" si="10"/>
        <v>2200</v>
      </c>
      <c r="AN23" s="80">
        <f t="shared" si="5"/>
        <v>2200</v>
      </c>
      <c r="AO23" s="80">
        <f t="shared" si="5"/>
        <v>2200</v>
      </c>
      <c r="AP23" s="60"/>
    </row>
    <row r="24" spans="2:42" ht="27" thickBot="1" x14ac:dyDescent="0.35">
      <c r="B24" s="61" t="s">
        <v>68</v>
      </c>
      <c r="C24" s="62"/>
      <c r="D24" s="61" t="s">
        <v>67</v>
      </c>
      <c r="E24" s="63"/>
      <c r="F24" s="84"/>
      <c r="G24" s="84"/>
      <c r="H24" s="84"/>
      <c r="I24" s="63"/>
      <c r="J24" s="65"/>
      <c r="K24" s="64"/>
      <c r="L24" s="65"/>
      <c r="M24" s="64"/>
      <c r="N24" s="61" t="s">
        <v>67</v>
      </c>
      <c r="O24" s="65"/>
      <c r="P24" s="64"/>
      <c r="Q24" s="37"/>
      <c r="AA24" s="41">
        <v>43952</v>
      </c>
      <c r="AB24" s="42">
        <f t="shared" si="6"/>
        <v>74.04371584699453</v>
      </c>
      <c r="AC24" s="43">
        <f t="shared" si="0"/>
        <v>7.274191383706885E-2</v>
      </c>
      <c r="AD24" s="44">
        <f t="shared" si="1"/>
        <v>36503.551912568299</v>
      </c>
      <c r="AE24" s="44">
        <f t="shared" si="2"/>
        <v>9865.8248412346748</v>
      </c>
      <c r="AF24" s="80">
        <f t="shared" si="3"/>
        <v>4622.0493150684924</v>
      </c>
      <c r="AG24" s="80">
        <f t="shared" si="11"/>
        <v>5243.7755261661823</v>
      </c>
      <c r="AH24" s="80">
        <f t="shared" si="7"/>
        <v>5892.5306313994188</v>
      </c>
      <c r="AI24" s="80">
        <f t="shared" si="8"/>
        <v>4595.0204209329459</v>
      </c>
      <c r="AJ24" s="80">
        <f t="shared" si="12"/>
        <v>2200</v>
      </c>
      <c r="AK24" s="80">
        <f t="shared" si="9"/>
        <v>2200</v>
      </c>
      <c r="AL24" s="80">
        <f t="shared" si="9"/>
        <v>2200</v>
      </c>
      <c r="AM24" s="80">
        <f t="shared" si="10"/>
        <v>2200</v>
      </c>
      <c r="AN24" s="80">
        <f t="shared" si="5"/>
        <v>2200</v>
      </c>
      <c r="AO24" s="80">
        <f t="shared" si="5"/>
        <v>2200</v>
      </c>
      <c r="AP24" s="60"/>
    </row>
    <row r="25" spans="2:42" ht="22" thickTop="1" x14ac:dyDescent="0.25">
      <c r="B25" s="76" t="s">
        <v>80</v>
      </c>
      <c r="D25" s="73"/>
      <c r="E25" s="74"/>
      <c r="F25" s="75"/>
      <c r="N25" s="73"/>
      <c r="O25" s="74"/>
      <c r="P25" s="75"/>
      <c r="Q25" s="37"/>
      <c r="AA25" s="41">
        <v>43983</v>
      </c>
      <c r="AB25" s="42">
        <f t="shared" si="6"/>
        <v>142.62295081967213</v>
      </c>
      <c r="AC25" s="43">
        <f t="shared" si="0"/>
        <v>0.14011542074889277</v>
      </c>
      <c r="AD25" s="44">
        <f t="shared" si="1"/>
        <v>70313.114754098366</v>
      </c>
      <c r="AE25" s="44">
        <f t="shared" si="2"/>
        <v>19003.544528134691</v>
      </c>
      <c r="AF25" s="80">
        <f t="shared" si="3"/>
        <v>4622.0493150684924</v>
      </c>
      <c r="AG25" s="80">
        <f t="shared" si="11"/>
        <v>14381.495213066199</v>
      </c>
      <c r="AH25" s="80">
        <f t="shared" si="7"/>
        <v>16857.794255679437</v>
      </c>
      <c r="AI25" s="80">
        <f t="shared" si="8"/>
        <v>11905.19617045296</v>
      </c>
      <c r="AJ25" s="80">
        <f t="shared" si="12"/>
        <v>2200</v>
      </c>
      <c r="AK25" s="80">
        <f t="shared" si="9"/>
        <v>2200</v>
      </c>
      <c r="AL25" s="80">
        <f t="shared" si="9"/>
        <v>2200</v>
      </c>
      <c r="AM25" s="80">
        <f t="shared" si="10"/>
        <v>2200</v>
      </c>
      <c r="AN25" s="80">
        <f t="shared" si="5"/>
        <v>2200</v>
      </c>
      <c r="AO25" s="80">
        <f t="shared" si="5"/>
        <v>2200</v>
      </c>
      <c r="AP25" s="60"/>
    </row>
    <row r="26" spans="2:42" x14ac:dyDescent="0.25">
      <c r="B26" s="76" t="s">
        <v>81</v>
      </c>
      <c r="D26" s="77" t="s">
        <v>60</v>
      </c>
      <c r="E26" s="78"/>
      <c r="F26" s="79"/>
      <c r="N26" s="77"/>
      <c r="O26" s="78"/>
      <c r="P26" s="79"/>
      <c r="Q26" s="37"/>
      <c r="AA26" s="41">
        <v>44013</v>
      </c>
      <c r="AB26" s="42">
        <f t="shared" si="6"/>
        <v>127.04918032786885</v>
      </c>
      <c r="AC26" s="43">
        <f t="shared" si="0"/>
        <v>0.12481546101194473</v>
      </c>
      <c r="AD26" s="44">
        <f t="shared" si="1"/>
        <v>62635.24590163934</v>
      </c>
      <c r="AE26" s="44">
        <f t="shared" si="2"/>
        <v>16928.444838280902</v>
      </c>
      <c r="AF26" s="80">
        <f t="shared" si="3"/>
        <v>4622.0493150684924</v>
      </c>
      <c r="AG26" s="80">
        <f t="shared" si="11"/>
        <v>12306.39552321241</v>
      </c>
      <c r="AH26" s="80">
        <f t="shared" si="7"/>
        <v>14367.674627854891</v>
      </c>
      <c r="AI26" s="80">
        <f t="shared" si="8"/>
        <v>10245.116418569929</v>
      </c>
      <c r="AJ26" s="80">
        <f t="shared" si="12"/>
        <v>2200</v>
      </c>
      <c r="AK26" s="80">
        <f t="shared" si="9"/>
        <v>2200</v>
      </c>
      <c r="AL26" s="80">
        <f t="shared" si="9"/>
        <v>2200</v>
      </c>
      <c r="AM26" s="80">
        <f t="shared" si="10"/>
        <v>2200</v>
      </c>
      <c r="AN26" s="80">
        <f t="shared" si="5"/>
        <v>2200</v>
      </c>
      <c r="AO26" s="80">
        <f t="shared" si="5"/>
        <v>2200</v>
      </c>
      <c r="AP26" s="60"/>
    </row>
    <row r="27" spans="2:42" ht="23" x14ac:dyDescent="0.25">
      <c r="B27" s="76" t="s">
        <v>89</v>
      </c>
      <c r="D27" s="77" t="s">
        <v>48</v>
      </c>
      <c r="E27" s="147">
        <v>21.857923497267759</v>
      </c>
      <c r="F27" s="86" t="s">
        <v>8</v>
      </c>
      <c r="N27" s="77"/>
      <c r="O27" s="78"/>
      <c r="P27" s="86"/>
      <c r="Q27" s="37"/>
      <c r="AA27" s="41">
        <v>44044</v>
      </c>
      <c r="AB27" s="42">
        <f t="shared" si="6"/>
        <v>104.78142076502732</v>
      </c>
      <c r="AC27" s="43">
        <f t="shared" si="0"/>
        <v>0.10293920279157161</v>
      </c>
      <c r="AD27" s="44">
        <f t="shared" si="1"/>
        <v>51657.240437158471</v>
      </c>
      <c r="AE27" s="44">
        <f t="shared" si="2"/>
        <v>13961.416334367153</v>
      </c>
      <c r="AF27" s="80">
        <f t="shared" si="3"/>
        <v>4622.0493150684924</v>
      </c>
      <c r="AG27" s="80">
        <f t="shared" si="11"/>
        <v>9339.367019298661</v>
      </c>
      <c r="AH27" s="80">
        <f t="shared" si="7"/>
        <v>10807.240423158393</v>
      </c>
      <c r="AI27" s="80">
        <f t="shared" si="8"/>
        <v>7871.4936154389288</v>
      </c>
      <c r="AJ27" s="80">
        <f t="shared" si="12"/>
        <v>2200</v>
      </c>
      <c r="AK27" s="80">
        <f t="shared" si="9"/>
        <v>2200</v>
      </c>
      <c r="AL27" s="80">
        <f t="shared" si="9"/>
        <v>2200</v>
      </c>
      <c r="AM27" s="80">
        <f t="shared" si="10"/>
        <v>2200</v>
      </c>
      <c r="AN27" s="80">
        <f t="shared" si="5"/>
        <v>2200</v>
      </c>
      <c r="AO27" s="80">
        <f t="shared" si="5"/>
        <v>2200</v>
      </c>
      <c r="AP27" s="60"/>
    </row>
    <row r="28" spans="2:42" ht="23" x14ac:dyDescent="0.25">
      <c r="B28" s="76" t="s">
        <v>90</v>
      </c>
      <c r="D28" s="77" t="s">
        <v>49</v>
      </c>
      <c r="E28" s="147">
        <v>55.464480874316941</v>
      </c>
      <c r="F28" s="86" t="s">
        <v>8</v>
      </c>
      <c r="N28" s="77"/>
      <c r="O28" s="78"/>
      <c r="P28" s="86"/>
      <c r="Q28" s="37"/>
      <c r="AA28" s="41">
        <v>44075</v>
      </c>
      <c r="AB28" s="42">
        <f t="shared" si="6"/>
        <v>125.54644808743168</v>
      </c>
      <c r="AC28" s="43">
        <f t="shared" si="0"/>
        <v>0.12333914910750235</v>
      </c>
      <c r="AD28" s="44">
        <f t="shared" si="1"/>
        <v>61894.398907103823</v>
      </c>
      <c r="AE28" s="44">
        <f t="shared" si="2"/>
        <v>16728.215920838869</v>
      </c>
      <c r="AF28" s="80">
        <f t="shared" si="3"/>
        <v>4622.0493150684924</v>
      </c>
      <c r="AG28" s="80">
        <f t="shared" si="11"/>
        <v>12106.166605770377</v>
      </c>
      <c r="AH28" s="80">
        <f t="shared" si="7"/>
        <v>14127.399926924452</v>
      </c>
      <c r="AI28" s="80">
        <f t="shared" si="8"/>
        <v>10084.933284616302</v>
      </c>
      <c r="AJ28" s="80">
        <f t="shared" si="12"/>
        <v>2200</v>
      </c>
      <c r="AK28" s="80">
        <f t="shared" si="9"/>
        <v>2200</v>
      </c>
      <c r="AL28" s="80">
        <f t="shared" si="9"/>
        <v>2200</v>
      </c>
      <c r="AM28" s="80">
        <f t="shared" si="10"/>
        <v>2200</v>
      </c>
      <c r="AN28" s="80">
        <f t="shared" si="5"/>
        <v>2200</v>
      </c>
      <c r="AO28" s="80">
        <f t="shared" si="5"/>
        <v>2200</v>
      </c>
      <c r="AP28" s="60"/>
    </row>
    <row r="29" spans="2:42" ht="23" x14ac:dyDescent="0.25">
      <c r="D29" s="77" t="s">
        <v>50</v>
      </c>
      <c r="E29" s="147">
        <v>103.68852459016394</v>
      </c>
      <c r="F29" s="86" t="s">
        <v>8</v>
      </c>
      <c r="N29" s="77"/>
      <c r="O29" s="78"/>
      <c r="P29" s="86"/>
      <c r="Q29" s="37"/>
      <c r="AA29" s="41">
        <v>44105</v>
      </c>
      <c r="AB29" s="42">
        <f t="shared" si="6"/>
        <v>77.868852459016395</v>
      </c>
      <c r="AC29" s="43">
        <f t="shared" si="0"/>
        <v>7.6499798684740314E-2</v>
      </c>
      <c r="AD29" s="44">
        <f t="shared" si="1"/>
        <v>38389.344262295082</v>
      </c>
      <c r="AE29" s="44">
        <f t="shared" si="2"/>
        <v>10375.49844926894</v>
      </c>
      <c r="AF29" s="80">
        <f t="shared" si="3"/>
        <v>4622.0493150684924</v>
      </c>
      <c r="AG29" s="80">
        <f t="shared" si="11"/>
        <v>5753.4491342004476</v>
      </c>
      <c r="AH29" s="80">
        <f t="shared" si="7"/>
        <v>6504.1389610405367</v>
      </c>
      <c r="AI29" s="80">
        <f t="shared" si="8"/>
        <v>5002.7593073603584</v>
      </c>
      <c r="AJ29" s="80">
        <f t="shared" si="12"/>
        <v>2200</v>
      </c>
      <c r="AK29" s="80">
        <f t="shared" si="9"/>
        <v>2200</v>
      </c>
      <c r="AL29" s="80">
        <f t="shared" si="9"/>
        <v>2200</v>
      </c>
      <c r="AM29" s="80">
        <f t="shared" si="10"/>
        <v>2200</v>
      </c>
      <c r="AN29" s="80">
        <f t="shared" si="5"/>
        <v>2200</v>
      </c>
      <c r="AO29" s="80">
        <f t="shared" si="5"/>
        <v>2200</v>
      </c>
      <c r="AP29" s="60"/>
    </row>
    <row r="30" spans="2:42" ht="23" x14ac:dyDescent="0.25">
      <c r="D30" s="77" t="s">
        <v>51</v>
      </c>
      <c r="E30" s="147">
        <v>119.26229508196721</v>
      </c>
      <c r="F30" s="86" t="s">
        <v>8</v>
      </c>
      <c r="N30" s="77"/>
      <c r="O30" s="78"/>
      <c r="P30" s="86"/>
      <c r="Q30" s="37"/>
      <c r="AA30" s="41">
        <v>44136</v>
      </c>
      <c r="AB30" s="42">
        <f t="shared" si="6"/>
        <v>37.568306010928957</v>
      </c>
      <c r="AC30" s="43">
        <f t="shared" si="0"/>
        <v>3.6907797611058918E-2</v>
      </c>
      <c r="AD30" s="44">
        <f t="shared" si="1"/>
        <v>18521.174863387976</v>
      </c>
      <c r="AE30" s="44">
        <f t="shared" si="2"/>
        <v>5005.7229360508045</v>
      </c>
      <c r="AF30" s="80">
        <f t="shared" si="3"/>
        <v>4622.0493150684924</v>
      </c>
      <c r="AG30" s="80">
        <f t="shared" si="11"/>
        <v>383.67362098231206</v>
      </c>
      <c r="AH30" s="80">
        <f t="shared" si="7"/>
        <v>60.408345178774482</v>
      </c>
      <c r="AI30" s="80">
        <f t="shared" si="8"/>
        <v>706.93889678584969</v>
      </c>
      <c r="AJ30" s="80">
        <f t="shared" si="12"/>
        <v>2200</v>
      </c>
      <c r="AK30" s="80">
        <f t="shared" si="9"/>
        <v>2200</v>
      </c>
      <c r="AL30" s="80">
        <f t="shared" si="9"/>
        <v>2200</v>
      </c>
      <c r="AM30" s="80">
        <f t="shared" si="10"/>
        <v>2200</v>
      </c>
      <c r="AN30" s="80">
        <f t="shared" si="5"/>
        <v>2200</v>
      </c>
      <c r="AO30" s="80">
        <f>IF(AL30&gt;0,AL30,0)</f>
        <v>2200</v>
      </c>
      <c r="AP30" s="60"/>
    </row>
    <row r="31" spans="2:42" ht="23" x14ac:dyDescent="0.25">
      <c r="D31" s="77" t="s">
        <v>52</v>
      </c>
      <c r="E31" s="147">
        <v>74.04371584699453</v>
      </c>
      <c r="F31" s="86" t="s">
        <v>8</v>
      </c>
      <c r="N31" s="77"/>
      <c r="O31" s="78"/>
      <c r="P31" s="86"/>
      <c r="Q31" s="37"/>
      <c r="AA31" s="41">
        <v>44166</v>
      </c>
      <c r="AB31" s="42">
        <f t="shared" si="6"/>
        <v>28.142076502732241</v>
      </c>
      <c r="AC31" s="43">
        <f t="shared" si="0"/>
        <v>2.7647295665011413E-2</v>
      </c>
      <c r="AD31" s="44">
        <f t="shared" si="1"/>
        <v>13874.043715846994</v>
      </c>
      <c r="AE31" s="44">
        <f t="shared" si="2"/>
        <v>3749.7415448235115</v>
      </c>
      <c r="AF31" s="80">
        <f t="shared" si="3"/>
        <v>4622.0493150684924</v>
      </c>
      <c r="AG31" s="80">
        <f t="shared" si="11"/>
        <v>-872.30777024498093</v>
      </c>
      <c r="AH31" s="80">
        <f t="shared" si="7"/>
        <v>-1446.769324293977</v>
      </c>
      <c r="AI31" s="80">
        <f t="shared" si="8"/>
        <v>-297.84621619598477</v>
      </c>
      <c r="AJ31" s="80">
        <f t="shared" si="12"/>
        <v>1327.6922297550191</v>
      </c>
      <c r="AK31" s="80">
        <f t="shared" si="9"/>
        <v>753.23067570602302</v>
      </c>
      <c r="AL31" s="80">
        <f t="shared" si="9"/>
        <v>1902.1537838040153</v>
      </c>
      <c r="AM31" s="80">
        <f t="shared" si="10"/>
        <v>1327.6922297550191</v>
      </c>
      <c r="AN31" s="80">
        <f t="shared" si="5"/>
        <v>753.23067570602302</v>
      </c>
      <c r="AO31" s="80">
        <f t="shared" si="5"/>
        <v>1902.1537838040153</v>
      </c>
      <c r="AP31" s="60"/>
    </row>
    <row r="32" spans="2:42" ht="23" x14ac:dyDescent="0.25">
      <c r="D32" s="77" t="s">
        <v>53</v>
      </c>
      <c r="E32" s="147">
        <v>142.62295081967213</v>
      </c>
      <c r="F32" s="86" t="s">
        <v>8</v>
      </c>
      <c r="N32" s="77"/>
      <c r="O32" s="78"/>
      <c r="P32" s="86"/>
      <c r="Q32" s="37"/>
      <c r="AA32" s="41">
        <v>44197</v>
      </c>
      <c r="AB32" s="42">
        <f>AB20</f>
        <v>21.857923497267759</v>
      </c>
      <c r="AC32" s="43">
        <f t="shared" si="0"/>
        <v>2.1473627700979738E-2</v>
      </c>
      <c r="AD32" s="44">
        <f t="shared" si="1"/>
        <v>10775.956284153006</v>
      </c>
      <c r="AE32" s="44">
        <f t="shared" si="2"/>
        <v>2912.4206173386501</v>
      </c>
      <c r="AF32" s="80">
        <f t="shared" si="3"/>
        <v>4622.0493150684924</v>
      </c>
      <c r="AG32" s="80">
        <f t="shared" si="11"/>
        <v>-1709.6286977298423</v>
      </c>
      <c r="AH32" s="80">
        <f t="shared" si="7"/>
        <v>-2451.5544372758109</v>
      </c>
      <c r="AI32" s="80">
        <f t="shared" si="8"/>
        <v>-967.70295818387399</v>
      </c>
      <c r="AJ32" s="80">
        <f t="shared" si="12"/>
        <v>-381.93646797482324</v>
      </c>
      <c r="AK32" s="80">
        <f t="shared" si="9"/>
        <v>-1698.3237615697878</v>
      </c>
      <c r="AL32" s="80">
        <f t="shared" si="9"/>
        <v>934.45082562014136</v>
      </c>
      <c r="AM32" s="80">
        <f t="shared" si="10"/>
        <v>0</v>
      </c>
      <c r="AN32" s="80">
        <f t="shared" si="5"/>
        <v>0</v>
      </c>
      <c r="AO32" s="80">
        <f t="shared" si="5"/>
        <v>934.45082562014136</v>
      </c>
      <c r="AP32" s="60"/>
    </row>
    <row r="33" spans="2:42" ht="23" x14ac:dyDescent="0.25">
      <c r="D33" s="77" t="s">
        <v>54</v>
      </c>
      <c r="E33" s="147">
        <v>127.04918032786885</v>
      </c>
      <c r="F33" s="86" t="s">
        <v>8</v>
      </c>
      <c r="N33" s="77"/>
      <c r="O33" s="78"/>
      <c r="P33" s="86"/>
      <c r="Q33" s="37"/>
      <c r="AA33" s="41">
        <v>44228</v>
      </c>
      <c r="AB33" s="42">
        <f t="shared" ref="AB33:AB43" si="13">AB21</f>
        <v>55.464480874316941</v>
      </c>
      <c r="AC33" s="43">
        <f t="shared" si="0"/>
        <v>5.4489330291236086E-2</v>
      </c>
      <c r="AD33" s="44">
        <f t="shared" si="1"/>
        <v>27343.98907103825</v>
      </c>
      <c r="AE33" s="44">
        <f t="shared" si="2"/>
        <v>7390.2673164968237</v>
      </c>
      <c r="AF33" s="80">
        <f t="shared" si="3"/>
        <v>4622.0493150684924</v>
      </c>
      <c r="AG33" s="80">
        <f t="shared" si="11"/>
        <v>2768.2180014283313</v>
      </c>
      <c r="AH33" s="80">
        <f t="shared" si="7"/>
        <v>2921.8616017139975</v>
      </c>
      <c r="AI33" s="80">
        <f t="shared" si="8"/>
        <v>2614.574401142665</v>
      </c>
      <c r="AJ33" s="80">
        <f t="shared" si="12"/>
        <v>2200</v>
      </c>
      <c r="AK33" s="80">
        <f t="shared" si="9"/>
        <v>1223.5378401442097</v>
      </c>
      <c r="AL33" s="80">
        <f t="shared" si="9"/>
        <v>2200</v>
      </c>
      <c r="AM33" s="80">
        <f t="shared" si="10"/>
        <v>2200</v>
      </c>
      <c r="AN33" s="80">
        <f t="shared" si="5"/>
        <v>1223.5378401442097</v>
      </c>
      <c r="AO33" s="80">
        <f t="shared" si="5"/>
        <v>2200</v>
      </c>
      <c r="AP33" s="60"/>
    </row>
    <row r="34" spans="2:42" ht="23" x14ac:dyDescent="0.25">
      <c r="D34" s="77" t="s">
        <v>55</v>
      </c>
      <c r="E34" s="147">
        <v>104.78142076502732</v>
      </c>
      <c r="F34" s="86" t="s">
        <v>8</v>
      </c>
      <c r="N34" s="77"/>
      <c r="O34" s="78"/>
      <c r="P34" s="86"/>
      <c r="Q34" s="37"/>
      <c r="AA34" s="41">
        <v>44256</v>
      </c>
      <c r="AB34" s="42">
        <f t="shared" si="13"/>
        <v>103.68852459016394</v>
      </c>
      <c r="AC34" s="43">
        <f t="shared" si="0"/>
        <v>0.10186552140652264</v>
      </c>
      <c r="AD34" s="44">
        <f t="shared" si="1"/>
        <v>51118.442622950824</v>
      </c>
      <c r="AE34" s="44">
        <f t="shared" si="2"/>
        <v>13815.795303500223</v>
      </c>
      <c r="AF34" s="80">
        <f t="shared" si="3"/>
        <v>4622.0493150684924</v>
      </c>
      <c r="AG34" s="80">
        <f t="shared" si="11"/>
        <v>9193.7459884317304</v>
      </c>
      <c r="AH34" s="80">
        <f t="shared" si="7"/>
        <v>10632.495186118076</v>
      </c>
      <c r="AI34" s="80">
        <f t="shared" si="8"/>
        <v>7754.9967907453847</v>
      </c>
      <c r="AJ34" s="80">
        <f t="shared" si="12"/>
        <v>2200</v>
      </c>
      <c r="AK34" s="80">
        <f t="shared" si="9"/>
        <v>2200</v>
      </c>
      <c r="AL34" s="80">
        <f t="shared" si="9"/>
        <v>2200</v>
      </c>
      <c r="AM34" s="80">
        <f t="shared" si="10"/>
        <v>2200</v>
      </c>
      <c r="AN34" s="80">
        <f t="shared" si="5"/>
        <v>2200</v>
      </c>
      <c r="AO34" s="80">
        <f t="shared" si="5"/>
        <v>2200</v>
      </c>
      <c r="AP34" s="60"/>
    </row>
    <row r="35" spans="2:42" ht="23" x14ac:dyDescent="0.25">
      <c r="D35" s="77" t="s">
        <v>56</v>
      </c>
      <c r="E35" s="147">
        <v>125.54644808743168</v>
      </c>
      <c r="F35" s="86" t="s">
        <v>8</v>
      </c>
      <c r="N35" s="77"/>
      <c r="O35" s="78"/>
      <c r="P35" s="86"/>
      <c r="Q35" s="37"/>
      <c r="AA35" s="41">
        <v>44287</v>
      </c>
      <c r="AB35" s="42">
        <f t="shared" si="13"/>
        <v>119.26229508196721</v>
      </c>
      <c r="AC35" s="43">
        <f t="shared" si="0"/>
        <v>0.11716548114347068</v>
      </c>
      <c r="AD35" s="44">
        <f t="shared" si="1"/>
        <v>58796.311475409835</v>
      </c>
      <c r="AE35" s="44">
        <f t="shared" si="2"/>
        <v>15890.894993354008</v>
      </c>
      <c r="AF35" s="80">
        <f t="shared" si="3"/>
        <v>4622.0493150684924</v>
      </c>
      <c r="AG35" s="80">
        <f t="shared" si="11"/>
        <v>11268.845678285516</v>
      </c>
      <c r="AH35" s="80">
        <f t="shared" si="7"/>
        <v>13122.614813942619</v>
      </c>
      <c r="AI35" s="80">
        <f t="shared" si="8"/>
        <v>9415.0765426284124</v>
      </c>
      <c r="AJ35" s="80">
        <f t="shared" si="12"/>
        <v>2200</v>
      </c>
      <c r="AK35" s="80">
        <f t="shared" si="9"/>
        <v>2200</v>
      </c>
      <c r="AL35" s="80">
        <f t="shared" si="9"/>
        <v>2200</v>
      </c>
      <c r="AM35" s="80">
        <f t="shared" si="10"/>
        <v>2200</v>
      </c>
      <c r="AN35" s="80">
        <f t="shared" si="5"/>
        <v>2200</v>
      </c>
      <c r="AO35" s="80">
        <f t="shared" si="5"/>
        <v>2200</v>
      </c>
      <c r="AP35" s="60"/>
    </row>
    <row r="36" spans="2:42" ht="23" x14ac:dyDescent="0.25">
      <c r="D36" s="77" t="s">
        <v>57</v>
      </c>
      <c r="E36" s="147">
        <v>77.868852459016395</v>
      </c>
      <c r="F36" s="86" t="s">
        <v>8</v>
      </c>
      <c r="N36" s="77"/>
      <c r="O36" s="78"/>
      <c r="P36" s="86"/>
      <c r="Q36" s="37"/>
      <c r="AA36" s="41">
        <v>44317</v>
      </c>
      <c r="AB36" s="42">
        <f t="shared" si="13"/>
        <v>74.04371584699453</v>
      </c>
      <c r="AC36" s="43">
        <f t="shared" si="0"/>
        <v>7.274191383706885E-2</v>
      </c>
      <c r="AD36" s="44">
        <f t="shared" si="1"/>
        <v>36503.551912568299</v>
      </c>
      <c r="AE36" s="44">
        <f t="shared" si="2"/>
        <v>9865.8248412346748</v>
      </c>
      <c r="AF36" s="80">
        <f t="shared" si="3"/>
        <v>4622.0493150684924</v>
      </c>
      <c r="AG36" s="80">
        <f t="shared" si="11"/>
        <v>5243.7755261661823</v>
      </c>
      <c r="AH36" s="80">
        <f t="shared" si="7"/>
        <v>5892.5306313994188</v>
      </c>
      <c r="AI36" s="80">
        <f t="shared" si="8"/>
        <v>4595.0204209329459</v>
      </c>
      <c r="AJ36" s="80">
        <f t="shared" si="12"/>
        <v>2200</v>
      </c>
      <c r="AK36" s="80">
        <f t="shared" si="9"/>
        <v>2200</v>
      </c>
      <c r="AL36" s="80">
        <f t="shared" si="9"/>
        <v>2200</v>
      </c>
      <c r="AM36" s="80">
        <f t="shared" si="10"/>
        <v>2200</v>
      </c>
      <c r="AN36" s="80">
        <f t="shared" si="10"/>
        <v>2200</v>
      </c>
      <c r="AO36" s="80">
        <f t="shared" si="10"/>
        <v>2200</v>
      </c>
      <c r="AP36" s="60"/>
    </row>
    <row r="37" spans="2:42" ht="23" x14ac:dyDescent="0.25">
      <c r="D37" s="77" t="s">
        <v>58</v>
      </c>
      <c r="E37" s="147">
        <v>37.568306010928957</v>
      </c>
      <c r="F37" s="86" t="s">
        <v>8</v>
      </c>
      <c r="N37" s="77"/>
      <c r="O37" s="78"/>
      <c r="P37" s="86"/>
      <c r="Q37" s="37"/>
      <c r="AA37" s="41">
        <v>44348</v>
      </c>
      <c r="AB37" s="42">
        <f t="shared" si="13"/>
        <v>142.62295081967213</v>
      </c>
      <c r="AC37" s="43">
        <f t="shared" si="0"/>
        <v>0.14011542074889277</v>
      </c>
      <c r="AD37" s="44">
        <f t="shared" si="1"/>
        <v>70313.114754098366</v>
      </c>
      <c r="AE37" s="44">
        <f t="shared" si="2"/>
        <v>19003.544528134691</v>
      </c>
      <c r="AF37" s="80">
        <f t="shared" si="3"/>
        <v>4622.0493150684924</v>
      </c>
      <c r="AG37" s="80">
        <f t="shared" si="11"/>
        <v>14381.495213066199</v>
      </c>
      <c r="AH37" s="80">
        <f t="shared" si="7"/>
        <v>16857.794255679437</v>
      </c>
      <c r="AI37" s="80">
        <f t="shared" si="8"/>
        <v>11905.19617045296</v>
      </c>
      <c r="AJ37" s="80">
        <f t="shared" si="12"/>
        <v>2200</v>
      </c>
      <c r="AK37" s="80">
        <f t="shared" si="12"/>
        <v>2200</v>
      </c>
      <c r="AL37" s="80">
        <f t="shared" si="12"/>
        <v>2200</v>
      </c>
      <c r="AM37" s="80">
        <f t="shared" si="10"/>
        <v>2200</v>
      </c>
      <c r="AN37" s="80">
        <f t="shared" si="10"/>
        <v>2200</v>
      </c>
      <c r="AO37" s="80">
        <f t="shared" si="10"/>
        <v>2200</v>
      </c>
      <c r="AP37" s="60"/>
    </row>
    <row r="38" spans="2:42" ht="23" x14ac:dyDescent="0.25">
      <c r="D38" s="77" t="s">
        <v>59</v>
      </c>
      <c r="E38" s="147">
        <v>28.142076502732241</v>
      </c>
      <c r="F38" s="86" t="s">
        <v>8</v>
      </c>
      <c r="N38" s="77"/>
      <c r="O38" s="78"/>
      <c r="P38" s="86"/>
      <c r="Q38" s="37"/>
      <c r="AA38" s="41">
        <v>44378</v>
      </c>
      <c r="AB38" s="42">
        <f t="shared" si="13"/>
        <v>127.04918032786885</v>
      </c>
      <c r="AC38" s="43">
        <f t="shared" si="0"/>
        <v>0.12481546101194473</v>
      </c>
      <c r="AD38" s="44">
        <f t="shared" si="1"/>
        <v>62635.24590163934</v>
      </c>
      <c r="AE38" s="44">
        <f t="shared" si="2"/>
        <v>16928.444838280902</v>
      </c>
      <c r="AF38" s="80">
        <f t="shared" si="3"/>
        <v>4622.0493150684924</v>
      </c>
      <c r="AG38" s="80">
        <f t="shared" si="11"/>
        <v>12306.39552321241</v>
      </c>
      <c r="AH38" s="80">
        <f t="shared" si="7"/>
        <v>14367.674627854891</v>
      </c>
      <c r="AI38" s="80">
        <f t="shared" si="8"/>
        <v>10245.116418569929</v>
      </c>
      <c r="AJ38" s="80">
        <f t="shared" ref="AJ38:AL43" si="14">IF(AJ37+AG38 &lt; $E$74,AJ37+AG38, $E$74)</f>
        <v>2200</v>
      </c>
      <c r="AK38" s="80">
        <f t="shared" si="14"/>
        <v>2200</v>
      </c>
      <c r="AL38" s="80">
        <f t="shared" si="14"/>
        <v>2200</v>
      </c>
      <c r="AM38" s="80">
        <f t="shared" si="10"/>
        <v>2200</v>
      </c>
      <c r="AN38" s="80">
        <f t="shared" si="10"/>
        <v>2200</v>
      </c>
      <c r="AO38" s="80">
        <f t="shared" si="10"/>
        <v>2200</v>
      </c>
      <c r="AP38" s="60"/>
    </row>
    <row r="39" spans="2:42" x14ac:dyDescent="0.25">
      <c r="D39" s="77"/>
      <c r="E39" s="85"/>
      <c r="F39" s="86"/>
      <c r="N39" s="77"/>
      <c r="O39" s="78"/>
      <c r="P39" s="86"/>
      <c r="Q39" s="37"/>
      <c r="AA39" s="41">
        <v>44409</v>
      </c>
      <c r="AB39" s="42">
        <f t="shared" si="13"/>
        <v>104.78142076502732</v>
      </c>
      <c r="AC39" s="43">
        <f t="shared" si="0"/>
        <v>0.10293920279157161</v>
      </c>
      <c r="AD39" s="44">
        <f t="shared" si="1"/>
        <v>51657.240437158471</v>
      </c>
      <c r="AE39" s="44">
        <f t="shared" si="2"/>
        <v>13961.416334367153</v>
      </c>
      <c r="AF39" s="80">
        <f t="shared" si="3"/>
        <v>4622.0493150684924</v>
      </c>
      <c r="AG39" s="80">
        <f t="shared" si="11"/>
        <v>9339.367019298661</v>
      </c>
      <c r="AH39" s="80">
        <f t="shared" si="7"/>
        <v>10807.240423158393</v>
      </c>
      <c r="AI39" s="80">
        <f t="shared" si="8"/>
        <v>7871.4936154389288</v>
      </c>
      <c r="AJ39" s="80">
        <f t="shared" si="14"/>
        <v>2200</v>
      </c>
      <c r="AK39" s="80">
        <f t="shared" si="14"/>
        <v>2200</v>
      </c>
      <c r="AL39" s="80">
        <f t="shared" si="14"/>
        <v>2200</v>
      </c>
      <c r="AM39" s="80">
        <f t="shared" si="10"/>
        <v>2200</v>
      </c>
      <c r="AN39" s="80">
        <f t="shared" si="10"/>
        <v>2200</v>
      </c>
      <c r="AO39" s="80">
        <f t="shared" si="10"/>
        <v>2200</v>
      </c>
      <c r="AP39" s="60"/>
    </row>
    <row r="40" spans="2:42" x14ac:dyDescent="0.25">
      <c r="D40" s="77" t="s">
        <v>61</v>
      </c>
      <c r="E40" s="85">
        <f>SUM(E27:E39)</f>
        <v>1017.8961748633878</v>
      </c>
      <c r="F40" s="86" t="s">
        <v>8</v>
      </c>
      <c r="N40" s="77"/>
      <c r="O40" s="78"/>
      <c r="P40" s="86"/>
      <c r="Q40" s="37"/>
      <c r="AA40" s="41">
        <v>44440</v>
      </c>
      <c r="AB40" s="42">
        <f t="shared" si="13"/>
        <v>125.54644808743168</v>
      </c>
      <c r="AC40" s="43">
        <f t="shared" si="0"/>
        <v>0.12333914910750235</v>
      </c>
      <c r="AD40" s="44">
        <f t="shared" si="1"/>
        <v>61894.398907103823</v>
      </c>
      <c r="AE40" s="44">
        <f t="shared" si="2"/>
        <v>16728.215920838869</v>
      </c>
      <c r="AF40" s="80">
        <f t="shared" si="3"/>
        <v>4622.0493150684924</v>
      </c>
      <c r="AG40" s="80">
        <f t="shared" si="11"/>
        <v>12106.166605770377</v>
      </c>
      <c r="AH40" s="80">
        <f t="shared" si="7"/>
        <v>14127.399926924452</v>
      </c>
      <c r="AI40" s="80">
        <f t="shared" si="8"/>
        <v>10084.933284616302</v>
      </c>
      <c r="AJ40" s="80">
        <f t="shared" si="14"/>
        <v>2200</v>
      </c>
      <c r="AK40" s="80">
        <f t="shared" si="14"/>
        <v>2200</v>
      </c>
      <c r="AL40" s="80">
        <f t="shared" si="14"/>
        <v>2200</v>
      </c>
      <c r="AM40" s="80">
        <f t="shared" si="10"/>
        <v>2200</v>
      </c>
      <c r="AN40" s="80">
        <f t="shared" si="10"/>
        <v>2200</v>
      </c>
      <c r="AO40" s="80">
        <f t="shared" si="10"/>
        <v>2200</v>
      </c>
    </row>
    <row r="41" spans="2:42" ht="22" thickBot="1" x14ac:dyDescent="0.3">
      <c r="D41" s="81"/>
      <c r="E41" s="82"/>
      <c r="F41" s="87"/>
      <c r="N41" s="81"/>
      <c r="O41" s="82"/>
      <c r="P41" s="87"/>
      <c r="Q41" s="37"/>
      <c r="AA41" s="41">
        <v>44470</v>
      </c>
      <c r="AB41" s="42">
        <f t="shared" si="13"/>
        <v>77.868852459016395</v>
      </c>
      <c r="AC41" s="43">
        <f t="shared" si="0"/>
        <v>7.6499798684740314E-2</v>
      </c>
      <c r="AD41" s="44">
        <f t="shared" si="1"/>
        <v>38389.344262295082</v>
      </c>
      <c r="AE41" s="44">
        <f t="shared" si="2"/>
        <v>10375.49844926894</v>
      </c>
      <c r="AF41" s="80">
        <f t="shared" si="3"/>
        <v>4622.0493150684924</v>
      </c>
      <c r="AG41" s="80">
        <f t="shared" si="11"/>
        <v>5753.4491342004476</v>
      </c>
      <c r="AH41" s="80">
        <f t="shared" si="7"/>
        <v>6504.1389610405367</v>
      </c>
      <c r="AI41" s="80">
        <f t="shared" si="8"/>
        <v>5002.7593073603584</v>
      </c>
      <c r="AJ41" s="80">
        <f t="shared" si="14"/>
        <v>2200</v>
      </c>
      <c r="AK41" s="80">
        <f t="shared" si="14"/>
        <v>2200</v>
      </c>
      <c r="AL41" s="80">
        <f t="shared" si="14"/>
        <v>2200</v>
      </c>
      <c r="AM41" s="80">
        <f t="shared" si="10"/>
        <v>2200</v>
      </c>
      <c r="AN41" s="80">
        <f t="shared" si="10"/>
        <v>2200</v>
      </c>
      <c r="AO41" s="80">
        <f t="shared" si="10"/>
        <v>2200</v>
      </c>
    </row>
    <row r="42" spans="2:42" ht="22" thickTop="1" x14ac:dyDescent="0.25">
      <c r="N42" s="32"/>
      <c r="O42" s="37"/>
      <c r="P42" s="36"/>
      <c r="Q42" s="37"/>
      <c r="AA42" s="41">
        <v>44501</v>
      </c>
      <c r="AB42" s="42">
        <f t="shared" si="13"/>
        <v>37.568306010928957</v>
      </c>
      <c r="AC42" s="43">
        <f t="shared" si="0"/>
        <v>3.6907797611058918E-2</v>
      </c>
      <c r="AD42" s="44">
        <f t="shared" si="1"/>
        <v>18521.174863387976</v>
      </c>
      <c r="AE42" s="44">
        <f t="shared" si="2"/>
        <v>5005.7229360508045</v>
      </c>
      <c r="AF42" s="80">
        <f t="shared" si="3"/>
        <v>4622.0493150684924</v>
      </c>
      <c r="AG42" s="80">
        <f t="shared" si="11"/>
        <v>383.67362098231206</v>
      </c>
      <c r="AH42" s="80">
        <f t="shared" si="7"/>
        <v>60.408345178774482</v>
      </c>
      <c r="AI42" s="80">
        <f t="shared" si="8"/>
        <v>706.93889678584969</v>
      </c>
      <c r="AJ42" s="80">
        <f t="shared" si="14"/>
        <v>2200</v>
      </c>
      <c r="AK42" s="80">
        <f t="shared" si="14"/>
        <v>2200</v>
      </c>
      <c r="AL42" s="80">
        <f t="shared" si="14"/>
        <v>2200</v>
      </c>
      <c r="AM42" s="80">
        <f t="shared" si="10"/>
        <v>2200</v>
      </c>
      <c r="AN42" s="80">
        <f t="shared" si="10"/>
        <v>2200</v>
      </c>
      <c r="AO42" s="80">
        <f t="shared" si="10"/>
        <v>2200</v>
      </c>
    </row>
    <row r="43" spans="2:42" x14ac:dyDescent="0.25">
      <c r="N43" s="32"/>
      <c r="O43" s="37"/>
      <c r="P43" s="36"/>
      <c r="Q43" s="37"/>
      <c r="AA43" s="41">
        <v>44531</v>
      </c>
      <c r="AB43" s="42">
        <f t="shared" si="13"/>
        <v>28.142076502732241</v>
      </c>
      <c r="AC43" s="43">
        <f t="shared" si="0"/>
        <v>2.7647295665011413E-2</v>
      </c>
      <c r="AD43" s="44">
        <f t="shared" si="1"/>
        <v>13874.043715846994</v>
      </c>
      <c r="AE43" s="44">
        <f t="shared" si="2"/>
        <v>3749.7415448235115</v>
      </c>
      <c r="AF43" s="80">
        <f t="shared" si="3"/>
        <v>4622.0493150684924</v>
      </c>
      <c r="AG43" s="80">
        <f t="shared" si="11"/>
        <v>-872.30777024498093</v>
      </c>
      <c r="AH43" s="80">
        <f t="shared" si="7"/>
        <v>-1446.769324293977</v>
      </c>
      <c r="AI43" s="80">
        <f t="shared" si="8"/>
        <v>-297.84621619598477</v>
      </c>
      <c r="AJ43" s="80">
        <f t="shared" si="14"/>
        <v>1327.6922297550191</v>
      </c>
      <c r="AK43" s="80">
        <f t="shared" si="14"/>
        <v>753.23067570602302</v>
      </c>
      <c r="AL43" s="80">
        <f t="shared" si="14"/>
        <v>1902.1537838040153</v>
      </c>
      <c r="AM43" s="80">
        <f t="shared" si="10"/>
        <v>1327.6922297550191</v>
      </c>
      <c r="AN43" s="80">
        <f t="shared" si="10"/>
        <v>753.23067570602302</v>
      </c>
      <c r="AO43" s="80">
        <f t="shared" si="10"/>
        <v>1902.1537838040153</v>
      </c>
    </row>
    <row r="44" spans="2:42" ht="27" thickBot="1" x14ac:dyDescent="0.35">
      <c r="B44" s="61" t="s">
        <v>62</v>
      </c>
      <c r="C44" s="62"/>
      <c r="D44" s="61" t="s">
        <v>63</v>
      </c>
      <c r="E44" s="63"/>
      <c r="F44" s="84"/>
      <c r="G44" s="84"/>
      <c r="H44" s="84"/>
      <c r="I44" s="63"/>
      <c r="J44" s="65"/>
      <c r="K44" s="64"/>
      <c r="L44" s="65"/>
      <c r="M44" s="64"/>
      <c r="N44" s="61" t="s">
        <v>63</v>
      </c>
      <c r="O44" s="65"/>
      <c r="P44" s="64"/>
      <c r="Q44" s="37"/>
      <c r="T44" s="61" t="s">
        <v>112</v>
      </c>
    </row>
    <row r="45" spans="2:42" ht="22" thickTop="1" x14ac:dyDescent="0.25">
      <c r="D45" s="73"/>
      <c r="E45" s="74"/>
      <c r="F45" s="75"/>
      <c r="N45" s="73"/>
      <c r="O45" s="74"/>
      <c r="P45" s="75"/>
      <c r="Q45" s="37"/>
      <c r="S45" s="88"/>
      <c r="T45" s="89"/>
      <c r="U45" s="89"/>
      <c r="V45" s="90"/>
      <c r="W45" s="91"/>
    </row>
    <row r="46" spans="2:42" x14ac:dyDescent="0.25">
      <c r="B46" s="76" t="s">
        <v>93</v>
      </c>
      <c r="D46" s="77" t="s">
        <v>111</v>
      </c>
      <c r="E46" s="119">
        <v>0.8</v>
      </c>
      <c r="F46" s="79"/>
      <c r="N46" s="77" t="s">
        <v>96</v>
      </c>
      <c r="O46" s="92">
        <f>E46</f>
        <v>0.8</v>
      </c>
      <c r="P46" s="79"/>
      <c r="Q46" s="37"/>
      <c r="S46" s="93"/>
      <c r="T46" s="94"/>
      <c r="U46" s="94"/>
      <c r="V46" s="95"/>
      <c r="W46" s="96"/>
    </row>
    <row r="47" spans="2:42" x14ac:dyDescent="0.25">
      <c r="B47" s="76" t="s">
        <v>92</v>
      </c>
      <c r="D47" s="77"/>
      <c r="E47" s="78"/>
      <c r="F47" s="79"/>
      <c r="N47" s="77" t="s">
        <v>97</v>
      </c>
      <c r="O47" s="92">
        <f>1-O46</f>
        <v>0.19999999999999996</v>
      </c>
      <c r="P47" s="79"/>
      <c r="Q47" s="37"/>
      <c r="S47" s="93"/>
      <c r="T47" s="94"/>
      <c r="U47" s="94"/>
      <c r="V47" s="95"/>
      <c r="W47" s="96"/>
    </row>
    <row r="48" spans="2:42" x14ac:dyDescent="0.25">
      <c r="B48" s="76" t="s">
        <v>94</v>
      </c>
      <c r="D48" s="77"/>
      <c r="E48" s="78"/>
      <c r="F48" s="79"/>
      <c r="N48" s="77"/>
      <c r="O48" s="78"/>
      <c r="P48" s="79"/>
      <c r="Q48" s="37"/>
      <c r="S48" s="93"/>
      <c r="T48" s="94"/>
      <c r="U48" s="94"/>
      <c r="V48" s="95"/>
      <c r="W48" s="96"/>
    </row>
    <row r="49" spans="2:23" x14ac:dyDescent="0.25">
      <c r="B49" s="76" t="s">
        <v>95</v>
      </c>
      <c r="D49" s="77"/>
      <c r="E49" s="78"/>
      <c r="F49" s="79"/>
      <c r="N49" s="77"/>
      <c r="O49" s="78"/>
      <c r="P49" s="79"/>
      <c r="Q49" s="37"/>
      <c r="S49" s="93"/>
      <c r="T49" s="94"/>
      <c r="U49" s="94"/>
      <c r="V49" s="95"/>
      <c r="W49" s="96"/>
    </row>
    <row r="50" spans="2:23" x14ac:dyDescent="0.25">
      <c r="B50" s="76"/>
      <c r="D50" s="77"/>
      <c r="E50" s="78"/>
      <c r="F50" s="79"/>
      <c r="N50" s="77"/>
      <c r="O50" s="78"/>
      <c r="P50" s="79"/>
      <c r="Q50" s="37"/>
      <c r="S50" s="93"/>
      <c r="T50" s="94"/>
      <c r="U50" s="94"/>
      <c r="V50" s="95"/>
      <c r="W50" s="96"/>
    </row>
    <row r="51" spans="2:23" x14ac:dyDescent="0.25">
      <c r="D51" s="77"/>
      <c r="E51" s="78"/>
      <c r="F51" s="79"/>
      <c r="N51" s="77"/>
      <c r="O51" s="78"/>
      <c r="P51" s="79"/>
      <c r="Q51" s="37"/>
      <c r="S51" s="93"/>
      <c r="T51" s="94"/>
      <c r="U51" s="94"/>
      <c r="V51" s="95"/>
      <c r="W51" s="96"/>
    </row>
    <row r="52" spans="2:23" x14ac:dyDescent="0.25">
      <c r="D52" s="77"/>
      <c r="E52" s="78"/>
      <c r="F52" s="79"/>
      <c r="N52" s="77"/>
      <c r="O52" s="78"/>
      <c r="P52" s="79"/>
      <c r="Q52" s="37"/>
      <c r="S52" s="93"/>
      <c r="T52" s="94"/>
      <c r="U52" s="94"/>
      <c r="V52" s="95"/>
      <c r="W52" s="96"/>
    </row>
    <row r="53" spans="2:23" x14ac:dyDescent="0.25">
      <c r="D53" s="77"/>
      <c r="E53" s="78"/>
      <c r="F53" s="79"/>
      <c r="N53" s="77"/>
      <c r="O53" s="78"/>
      <c r="P53" s="79"/>
      <c r="Q53" s="37"/>
      <c r="S53" s="93"/>
      <c r="T53" s="94"/>
      <c r="U53" s="94"/>
      <c r="V53" s="95"/>
      <c r="W53" s="96"/>
    </row>
    <row r="54" spans="2:23" x14ac:dyDescent="0.25">
      <c r="D54" s="77"/>
      <c r="E54" s="78"/>
      <c r="F54" s="79"/>
      <c r="N54" s="77"/>
      <c r="O54" s="78"/>
      <c r="P54" s="79"/>
      <c r="Q54" s="37"/>
      <c r="S54" s="93"/>
      <c r="T54" s="94"/>
      <c r="U54" s="94"/>
      <c r="V54" s="95"/>
      <c r="W54" s="96"/>
    </row>
    <row r="55" spans="2:23" x14ac:dyDescent="0.25">
      <c r="D55" s="77"/>
      <c r="E55" s="78"/>
      <c r="F55" s="79"/>
      <c r="N55" s="77"/>
      <c r="O55" s="78"/>
      <c r="P55" s="79"/>
      <c r="Q55" s="37"/>
      <c r="S55" s="93"/>
      <c r="T55" s="94"/>
      <c r="U55" s="94"/>
      <c r="V55" s="95"/>
      <c r="W55" s="96"/>
    </row>
    <row r="56" spans="2:23" x14ac:dyDescent="0.25">
      <c r="D56" s="77"/>
      <c r="E56" s="78"/>
      <c r="F56" s="79"/>
      <c r="N56" s="77"/>
      <c r="O56" s="78"/>
      <c r="P56" s="79"/>
      <c r="Q56" s="37"/>
      <c r="S56" s="93"/>
      <c r="T56" s="94"/>
      <c r="U56" s="94"/>
      <c r="V56" s="95"/>
      <c r="W56" s="96"/>
    </row>
    <row r="57" spans="2:23" x14ac:dyDescent="0.25">
      <c r="D57" s="77"/>
      <c r="E57" s="78"/>
      <c r="F57" s="79"/>
      <c r="N57" s="77"/>
      <c r="O57" s="78"/>
      <c r="P57" s="79"/>
      <c r="Q57" s="37"/>
      <c r="S57" s="93"/>
      <c r="T57" s="94"/>
      <c r="U57" s="94"/>
      <c r="V57" s="95"/>
      <c r="W57" s="96"/>
    </row>
    <row r="58" spans="2:23" x14ac:dyDescent="0.25">
      <c r="D58" s="77"/>
      <c r="E58" s="78"/>
      <c r="F58" s="79"/>
      <c r="N58" s="77"/>
      <c r="O58" s="78"/>
      <c r="P58" s="79"/>
      <c r="Q58" s="37"/>
      <c r="S58" s="93"/>
      <c r="T58" s="94"/>
      <c r="U58" s="94"/>
      <c r="V58" s="95"/>
      <c r="W58" s="96"/>
    </row>
    <row r="59" spans="2:23" x14ac:dyDescent="0.25">
      <c r="D59" s="77"/>
      <c r="E59" s="78"/>
      <c r="F59" s="79"/>
      <c r="N59" s="77"/>
      <c r="O59" s="78"/>
      <c r="P59" s="79"/>
      <c r="Q59" s="37"/>
      <c r="S59" s="93"/>
      <c r="T59" s="94"/>
      <c r="U59" s="94"/>
      <c r="V59" s="95"/>
      <c r="W59" s="96"/>
    </row>
    <row r="60" spans="2:23" x14ac:dyDescent="0.25">
      <c r="D60" s="77"/>
      <c r="E60" s="78"/>
      <c r="F60" s="79"/>
      <c r="N60" s="77"/>
      <c r="O60" s="78"/>
      <c r="P60" s="79"/>
      <c r="Q60" s="37"/>
      <c r="S60" s="93"/>
      <c r="T60" s="94"/>
      <c r="U60" s="94"/>
      <c r="V60" s="95"/>
      <c r="W60" s="96"/>
    </row>
    <row r="61" spans="2:23" x14ac:dyDescent="0.25">
      <c r="D61" s="77"/>
      <c r="E61" s="78"/>
      <c r="F61" s="79"/>
      <c r="N61" s="77"/>
      <c r="O61" s="78"/>
      <c r="P61" s="79"/>
      <c r="Q61" s="37"/>
      <c r="S61" s="93"/>
      <c r="T61" s="94"/>
      <c r="U61" s="94"/>
      <c r="V61" s="95"/>
      <c r="W61" s="96"/>
    </row>
    <row r="62" spans="2:23" ht="22" thickBot="1" x14ac:dyDescent="0.3">
      <c r="D62" s="81"/>
      <c r="E62" s="82"/>
      <c r="F62" s="83"/>
      <c r="N62" s="81"/>
      <c r="O62" s="82"/>
      <c r="P62" s="83"/>
      <c r="Q62" s="37"/>
      <c r="S62" s="93"/>
      <c r="T62" s="94"/>
      <c r="U62" s="94"/>
      <c r="V62" s="95"/>
      <c r="W62" s="96"/>
    </row>
    <row r="63" spans="2:23" ht="22" thickTop="1" x14ac:dyDescent="0.25">
      <c r="D63" s="78"/>
      <c r="E63" s="78"/>
      <c r="F63" s="97"/>
      <c r="N63" s="78"/>
      <c r="O63" s="78"/>
      <c r="P63" s="97"/>
      <c r="Q63" s="37"/>
      <c r="S63" s="93"/>
      <c r="T63" s="94"/>
      <c r="U63" s="94"/>
      <c r="V63" s="95"/>
      <c r="W63" s="96"/>
    </row>
    <row r="64" spans="2:23" x14ac:dyDescent="0.25">
      <c r="D64" s="78"/>
      <c r="E64" s="78"/>
      <c r="F64" s="97"/>
      <c r="I64" s="78"/>
      <c r="J64" s="78"/>
      <c r="K64" s="97"/>
      <c r="S64" s="93"/>
      <c r="T64" s="94"/>
      <c r="U64" s="94"/>
      <c r="V64" s="95"/>
      <c r="W64" s="96"/>
    </row>
    <row r="65" spans="2:31" ht="27" thickBot="1" x14ac:dyDescent="0.35">
      <c r="B65" s="61" t="s">
        <v>114</v>
      </c>
      <c r="C65" s="98"/>
      <c r="D65" s="61" t="s">
        <v>71</v>
      </c>
      <c r="E65" s="63"/>
      <c r="F65" s="64"/>
      <c r="G65" s="64"/>
      <c r="H65" s="64"/>
      <c r="I65" s="63"/>
      <c r="J65" s="65"/>
      <c r="K65" s="64"/>
      <c r="L65" s="65"/>
      <c r="M65" s="64"/>
      <c r="N65" s="61" t="s">
        <v>77</v>
      </c>
      <c r="O65" s="65"/>
      <c r="P65" s="64"/>
      <c r="Q65" s="37"/>
      <c r="S65" s="93"/>
      <c r="T65" s="94"/>
      <c r="U65" s="94"/>
      <c r="V65" s="95"/>
      <c r="W65" s="96"/>
    </row>
    <row r="66" spans="2:31" ht="22" thickTop="1" x14ac:dyDescent="0.25">
      <c r="B66" s="99"/>
      <c r="D66" s="73"/>
      <c r="E66" s="74"/>
      <c r="F66" s="75"/>
      <c r="N66" s="73"/>
      <c r="O66" s="74"/>
      <c r="P66" s="75"/>
      <c r="Q66" s="37"/>
      <c r="S66" s="93"/>
      <c r="T66" s="94"/>
      <c r="U66" s="94"/>
      <c r="V66" s="95"/>
      <c r="W66" s="96"/>
    </row>
    <row r="67" spans="2:31" x14ac:dyDescent="0.25">
      <c r="B67" s="76" t="s">
        <v>86</v>
      </c>
      <c r="D67" s="77" t="s">
        <v>47</v>
      </c>
      <c r="E67" s="118">
        <v>0.85</v>
      </c>
      <c r="F67" s="79"/>
      <c r="N67" s="77" t="s">
        <v>64</v>
      </c>
      <c r="O67" s="78">
        <f>O19*(1-E67)</f>
        <v>108.75000000000001</v>
      </c>
      <c r="P67" s="79" t="s">
        <v>17</v>
      </c>
      <c r="Q67" s="37"/>
      <c r="S67" s="93"/>
      <c r="T67" s="94"/>
      <c r="U67" s="94"/>
      <c r="V67" s="95"/>
      <c r="W67" s="96"/>
    </row>
    <row r="68" spans="2:31" ht="22" thickBot="1" x14ac:dyDescent="0.3">
      <c r="D68" s="81"/>
      <c r="E68" s="82"/>
      <c r="F68" s="83"/>
      <c r="N68" s="81"/>
      <c r="O68" s="82"/>
      <c r="P68" s="83"/>
      <c r="Q68" s="37"/>
      <c r="S68" s="93"/>
      <c r="T68" s="94"/>
      <c r="U68" s="94"/>
      <c r="V68" s="95"/>
      <c r="W68" s="96"/>
    </row>
    <row r="69" spans="2:31" ht="22" thickTop="1" x14ac:dyDescent="0.25">
      <c r="N69" s="32"/>
      <c r="O69" s="37"/>
      <c r="P69" s="36"/>
      <c r="Q69" s="37"/>
      <c r="S69" s="93"/>
      <c r="T69" s="94"/>
      <c r="U69" s="94"/>
      <c r="V69" s="95"/>
      <c r="W69" s="96"/>
    </row>
    <row r="70" spans="2:31" x14ac:dyDescent="0.25">
      <c r="S70" s="93"/>
      <c r="T70" s="94"/>
      <c r="U70" s="94"/>
      <c r="V70" s="95"/>
      <c r="W70" s="96"/>
    </row>
    <row r="71" spans="2:31" ht="27" thickBot="1" x14ac:dyDescent="0.35">
      <c r="B71" s="61" t="s">
        <v>65</v>
      </c>
      <c r="C71" s="62"/>
      <c r="D71" s="61" t="s">
        <v>72</v>
      </c>
      <c r="E71" s="63" t="s">
        <v>13</v>
      </c>
      <c r="F71" s="64"/>
      <c r="G71" s="64"/>
      <c r="H71" s="64"/>
      <c r="I71" s="61" t="s">
        <v>78</v>
      </c>
      <c r="J71" s="65"/>
      <c r="K71" s="64"/>
      <c r="L71" s="65"/>
      <c r="M71" s="64"/>
      <c r="N71" s="64"/>
      <c r="O71" s="66"/>
      <c r="P71" s="66"/>
      <c r="S71" s="93"/>
      <c r="T71" s="94"/>
      <c r="U71" s="94"/>
      <c r="V71" s="95"/>
      <c r="W71" s="96"/>
    </row>
    <row r="72" spans="2:31" ht="22" thickTop="1" x14ac:dyDescent="0.25">
      <c r="D72" s="73"/>
      <c r="E72" s="74"/>
      <c r="F72" s="75"/>
      <c r="I72" s="73"/>
      <c r="J72" s="74"/>
      <c r="K72" s="75"/>
      <c r="S72" s="93"/>
      <c r="T72" s="94"/>
      <c r="U72" s="94"/>
      <c r="V72" s="95"/>
      <c r="W72" s="96"/>
    </row>
    <row r="73" spans="2:31" x14ac:dyDescent="0.25">
      <c r="B73" s="76" t="s">
        <v>84</v>
      </c>
      <c r="D73" s="77" t="s">
        <v>12</v>
      </c>
      <c r="E73" s="118">
        <v>3.7</v>
      </c>
      <c r="F73" s="79" t="s">
        <v>11</v>
      </c>
      <c r="I73" s="77" t="s">
        <v>15</v>
      </c>
      <c r="J73" s="78">
        <f>E74*E73</f>
        <v>8140</v>
      </c>
      <c r="K73" s="79" t="s">
        <v>7</v>
      </c>
      <c r="S73" s="93"/>
      <c r="T73" s="94"/>
      <c r="U73" s="94"/>
      <c r="V73" s="95"/>
      <c r="W73" s="96"/>
    </row>
    <row r="74" spans="2:31" x14ac:dyDescent="0.25">
      <c r="B74" s="76" t="s">
        <v>84</v>
      </c>
      <c r="D74" s="77" t="s">
        <v>14</v>
      </c>
      <c r="E74" s="118">
        <v>2200</v>
      </c>
      <c r="F74" s="79" t="s">
        <v>0</v>
      </c>
      <c r="I74" s="77" t="s">
        <v>79</v>
      </c>
      <c r="J74" s="100">
        <f>E76/(365*24)</f>
        <v>0.14840182648401826</v>
      </c>
      <c r="K74" s="79" t="s">
        <v>1</v>
      </c>
      <c r="S74" s="93"/>
      <c r="T74" s="94"/>
      <c r="U74" s="94"/>
      <c r="V74" s="95"/>
      <c r="W74" s="96"/>
    </row>
    <row r="75" spans="2:31" x14ac:dyDescent="0.25">
      <c r="B75" s="76" t="s">
        <v>103</v>
      </c>
      <c r="D75" s="77" t="s">
        <v>104</v>
      </c>
      <c r="E75" s="118">
        <v>2000</v>
      </c>
      <c r="F75" s="79" t="s">
        <v>0</v>
      </c>
      <c r="I75" s="77"/>
      <c r="J75" s="100"/>
      <c r="K75" s="79"/>
      <c r="S75" s="93"/>
      <c r="T75" s="94"/>
      <c r="U75" s="94"/>
      <c r="V75" s="95"/>
      <c r="W75" s="96"/>
    </row>
    <row r="76" spans="2:31" x14ac:dyDescent="0.25">
      <c r="B76" s="76" t="s">
        <v>84</v>
      </c>
      <c r="D76" s="77" t="s">
        <v>41</v>
      </c>
      <c r="E76" s="118">
        <v>1300</v>
      </c>
      <c r="F76" s="79" t="s">
        <v>40</v>
      </c>
      <c r="I76" s="77"/>
      <c r="J76" s="78"/>
      <c r="K76" s="79"/>
      <c r="S76" s="93"/>
      <c r="T76" s="94"/>
      <c r="U76" s="94"/>
      <c r="V76" s="95"/>
      <c r="W76" s="96"/>
    </row>
    <row r="77" spans="2:31" ht="22" thickBot="1" x14ac:dyDescent="0.3">
      <c r="D77" s="81"/>
      <c r="E77" s="82"/>
      <c r="F77" s="83"/>
      <c r="I77" s="81"/>
      <c r="J77" s="82"/>
      <c r="K77" s="83"/>
      <c r="S77" s="93"/>
      <c r="T77" s="94"/>
      <c r="U77" s="94"/>
      <c r="V77" s="95"/>
      <c r="W77" s="96"/>
    </row>
    <row r="78" spans="2:31" ht="22" thickTop="1" x14ac:dyDescent="0.25">
      <c r="S78" s="93"/>
      <c r="T78" s="94"/>
      <c r="U78" s="94"/>
      <c r="V78" s="95"/>
      <c r="W78" s="96"/>
    </row>
    <row r="79" spans="2:31" ht="22" thickBot="1" x14ac:dyDescent="0.3">
      <c r="S79" s="101"/>
      <c r="T79" s="102"/>
      <c r="U79" s="102"/>
      <c r="V79" s="103"/>
      <c r="W79" s="104"/>
    </row>
    <row r="80" spans="2:31" s="105" customFormat="1" ht="28" thickTop="1" thickBot="1" x14ac:dyDescent="0.35">
      <c r="B80" s="61" t="s">
        <v>66</v>
      </c>
      <c r="C80" s="62"/>
      <c r="D80" s="61" t="s">
        <v>73</v>
      </c>
      <c r="E80" s="63"/>
      <c r="F80" s="84"/>
      <c r="G80" s="84"/>
      <c r="H80" s="84"/>
      <c r="I80" s="61" t="s">
        <v>82</v>
      </c>
      <c r="J80" s="84"/>
      <c r="K80" s="84"/>
      <c r="L80" s="84"/>
      <c r="M80" s="84"/>
      <c r="N80" s="84"/>
      <c r="O80" s="84"/>
      <c r="P80" s="38"/>
      <c r="Q80" s="38"/>
      <c r="R80" s="38"/>
      <c r="S80" s="38"/>
      <c r="AA80" s="106"/>
      <c r="AB80" s="107"/>
      <c r="AC80" s="108"/>
      <c r="AD80" s="109"/>
      <c r="AE80" s="109"/>
    </row>
    <row r="81" spans="2:43" ht="28" thickTop="1" thickBot="1" x14ac:dyDescent="0.35">
      <c r="D81" s="73"/>
      <c r="E81" s="110"/>
      <c r="F81" s="75"/>
      <c r="I81" s="73"/>
      <c r="J81" s="110"/>
      <c r="K81" s="75"/>
      <c r="S81" s="61"/>
      <c r="T81" s="61" t="s">
        <v>113</v>
      </c>
    </row>
    <row r="82" spans="2:43" ht="22" thickTop="1" x14ac:dyDescent="0.25">
      <c r="B82" s="76" t="s">
        <v>87</v>
      </c>
      <c r="D82" s="77" t="s">
        <v>23</v>
      </c>
      <c r="E82" s="120">
        <v>50</v>
      </c>
      <c r="F82" s="79" t="s">
        <v>1</v>
      </c>
      <c r="I82" s="77" t="s">
        <v>29</v>
      </c>
      <c r="J82" s="111">
        <f>E86*E90/60</f>
        <v>0.33333333333333331</v>
      </c>
      <c r="K82" s="79" t="s">
        <v>5</v>
      </c>
      <c r="S82" s="88"/>
      <c r="T82" s="89"/>
      <c r="U82" s="89"/>
      <c r="V82" s="90"/>
      <c r="W82" s="91"/>
    </row>
    <row r="83" spans="2:43" x14ac:dyDescent="0.25">
      <c r="B83" s="76" t="s">
        <v>87</v>
      </c>
      <c r="D83" s="77" t="s">
        <v>21</v>
      </c>
      <c r="E83" s="120">
        <v>6</v>
      </c>
      <c r="F83" s="79" t="s">
        <v>1</v>
      </c>
      <c r="I83" s="77" t="s">
        <v>33</v>
      </c>
      <c r="J83" s="111">
        <f>60-J82</f>
        <v>59.666666666666664</v>
      </c>
      <c r="K83" s="79" t="s">
        <v>5</v>
      </c>
      <c r="S83" s="93"/>
      <c r="T83" s="94"/>
      <c r="U83" s="94"/>
      <c r="V83" s="95"/>
      <c r="W83" s="96"/>
    </row>
    <row r="84" spans="2:43" x14ac:dyDescent="0.25">
      <c r="B84" s="76" t="s">
        <v>87</v>
      </c>
      <c r="D84" s="77" t="s">
        <v>22</v>
      </c>
      <c r="E84" s="120">
        <v>80</v>
      </c>
      <c r="F84" s="79" t="s">
        <v>1</v>
      </c>
      <c r="I84" s="77" t="s">
        <v>30</v>
      </c>
      <c r="J84" s="111">
        <f>E90*E87/60</f>
        <v>0.02</v>
      </c>
      <c r="K84" s="79" t="s">
        <v>5</v>
      </c>
      <c r="S84" s="93"/>
      <c r="T84" s="94"/>
      <c r="U84" s="94"/>
      <c r="V84" s="95"/>
      <c r="W84" s="96"/>
    </row>
    <row r="85" spans="2:43" x14ac:dyDescent="0.25">
      <c r="B85" s="76"/>
      <c r="D85" s="77"/>
      <c r="E85" s="111"/>
      <c r="F85" s="79"/>
      <c r="I85" s="77"/>
      <c r="J85" s="111"/>
      <c r="K85" s="79"/>
      <c r="S85" s="93"/>
      <c r="T85" s="94"/>
      <c r="U85" s="94"/>
      <c r="V85" s="95"/>
      <c r="W85" s="96"/>
    </row>
    <row r="86" spans="2:43" x14ac:dyDescent="0.25">
      <c r="B86" s="76" t="s">
        <v>88</v>
      </c>
      <c r="D86" s="77" t="s">
        <v>24</v>
      </c>
      <c r="E86" s="121">
        <v>1</v>
      </c>
      <c r="F86" s="79" t="s">
        <v>26</v>
      </c>
      <c r="I86" s="77" t="s">
        <v>31</v>
      </c>
      <c r="J86" s="112">
        <f>(E82*J82)/60</f>
        <v>0.27777777777777773</v>
      </c>
      <c r="K86" s="79" t="s">
        <v>0</v>
      </c>
      <c r="S86" s="93"/>
      <c r="T86" s="94"/>
      <c r="U86" s="94"/>
      <c r="V86" s="95"/>
      <c r="W86" s="96"/>
    </row>
    <row r="87" spans="2:43" x14ac:dyDescent="0.25">
      <c r="B87" s="76" t="s">
        <v>87</v>
      </c>
      <c r="D87" s="77" t="s">
        <v>25</v>
      </c>
      <c r="E87" s="121">
        <v>0.06</v>
      </c>
      <c r="F87" s="79" t="s">
        <v>26</v>
      </c>
      <c r="I87" s="77" t="s">
        <v>32</v>
      </c>
      <c r="J87" s="112">
        <f>E83*J83/60</f>
        <v>5.9666666666666668</v>
      </c>
      <c r="K87" s="79" t="s">
        <v>0</v>
      </c>
      <c r="S87" s="93"/>
      <c r="T87" s="94"/>
      <c r="U87" s="94"/>
      <c r="V87" s="95"/>
      <c r="W87" s="96"/>
    </row>
    <row r="88" spans="2:43" s="38" customFormat="1" x14ac:dyDescent="0.25">
      <c r="B88" s="76"/>
      <c r="C88" s="33"/>
      <c r="D88" s="77"/>
      <c r="E88" s="112"/>
      <c r="F88" s="79"/>
      <c r="G88" s="36"/>
      <c r="H88" s="36"/>
      <c r="I88" s="77" t="s">
        <v>34</v>
      </c>
      <c r="J88" s="112">
        <f>E84*J84/60</f>
        <v>2.6666666666666668E-2</v>
      </c>
      <c r="K88" s="79" t="s">
        <v>0</v>
      </c>
      <c r="L88" s="37"/>
      <c r="S88" s="93"/>
      <c r="T88" s="94"/>
      <c r="U88" s="94"/>
      <c r="V88" s="95"/>
      <c r="W88" s="96"/>
      <c r="X88" s="40"/>
      <c r="Y88" s="40"/>
      <c r="AA88" s="41"/>
      <c r="AB88" s="42"/>
      <c r="AC88" s="43"/>
      <c r="AD88" s="44"/>
      <c r="AE88" s="44"/>
      <c r="AQ88" s="36"/>
    </row>
    <row r="89" spans="2:43" s="38" customFormat="1" x14ac:dyDescent="0.25">
      <c r="B89" s="76"/>
      <c r="C89" s="33"/>
      <c r="D89" s="77"/>
      <c r="E89" s="112"/>
      <c r="F89" s="79"/>
      <c r="G89" s="36"/>
      <c r="H89" s="36"/>
      <c r="I89" s="77" t="s">
        <v>42</v>
      </c>
      <c r="J89" s="112">
        <f>E76/365/24</f>
        <v>0.14840182648401826</v>
      </c>
      <c r="K89" s="79" t="s">
        <v>0</v>
      </c>
      <c r="L89" s="37"/>
      <c r="S89" s="93"/>
      <c r="T89" s="94"/>
      <c r="U89" s="94"/>
      <c r="V89" s="95"/>
      <c r="W89" s="96"/>
      <c r="X89" s="40"/>
      <c r="Y89" s="40"/>
      <c r="AA89" s="41"/>
      <c r="AB89" s="42"/>
      <c r="AC89" s="43"/>
      <c r="AD89" s="44"/>
      <c r="AE89" s="44"/>
      <c r="AQ89" s="36"/>
    </row>
    <row r="90" spans="2:43" x14ac:dyDescent="0.25">
      <c r="B90" s="76" t="s">
        <v>88</v>
      </c>
      <c r="D90" s="77" t="s">
        <v>27</v>
      </c>
      <c r="E90" s="120">
        <v>20</v>
      </c>
      <c r="F90" s="79" t="s">
        <v>74</v>
      </c>
      <c r="I90" s="77"/>
      <c r="J90" s="111"/>
      <c r="K90" s="79"/>
      <c r="S90" s="93"/>
      <c r="T90" s="94"/>
      <c r="U90" s="94"/>
      <c r="V90" s="95"/>
      <c r="W90" s="96"/>
    </row>
    <row r="91" spans="2:43" s="38" customFormat="1" x14ac:dyDescent="0.25">
      <c r="B91" s="76"/>
      <c r="C91" s="33"/>
      <c r="D91" s="77"/>
      <c r="E91" s="111"/>
      <c r="F91" s="79"/>
      <c r="G91" s="36"/>
      <c r="H91" s="36"/>
      <c r="I91" s="77" t="s">
        <v>35</v>
      </c>
      <c r="J91" s="111">
        <f>SUM(J86:J89)</f>
        <v>6.4195129375951288</v>
      </c>
      <c r="K91" s="79" t="s">
        <v>0</v>
      </c>
      <c r="N91" s="113"/>
      <c r="S91" s="93"/>
      <c r="T91" s="94"/>
      <c r="U91" s="94"/>
      <c r="V91" s="95"/>
      <c r="W91" s="96"/>
      <c r="X91" s="40"/>
      <c r="Y91" s="40"/>
      <c r="AA91" s="41"/>
      <c r="AB91" s="42"/>
      <c r="AC91" s="43"/>
      <c r="AD91" s="44"/>
      <c r="AE91" s="44"/>
      <c r="AQ91" s="36"/>
    </row>
    <row r="92" spans="2:43" x14ac:dyDescent="0.25">
      <c r="B92" s="76"/>
      <c r="D92" s="77"/>
      <c r="E92" s="111"/>
      <c r="F92" s="79"/>
      <c r="I92" s="77" t="s">
        <v>36</v>
      </c>
      <c r="J92" s="111">
        <f>J91*24</f>
        <v>154.06831050228308</v>
      </c>
      <c r="K92" s="79" t="s">
        <v>0</v>
      </c>
      <c r="N92" s="113"/>
      <c r="S92" s="93"/>
      <c r="T92" s="94"/>
      <c r="U92" s="94"/>
      <c r="V92" s="95"/>
      <c r="W92" s="96"/>
    </row>
    <row r="93" spans="2:43" x14ac:dyDescent="0.25">
      <c r="B93" s="76"/>
      <c r="D93" s="77"/>
      <c r="E93" s="111"/>
      <c r="F93" s="79"/>
      <c r="I93" s="77" t="s">
        <v>37</v>
      </c>
      <c r="J93" s="111">
        <f>J91*24*30</f>
        <v>4622.0493150684924</v>
      </c>
      <c r="K93" s="79" t="s">
        <v>0</v>
      </c>
      <c r="N93" s="113"/>
      <c r="S93" s="93"/>
      <c r="T93" s="94"/>
      <c r="U93" s="94"/>
      <c r="V93" s="95"/>
      <c r="W93" s="96"/>
    </row>
    <row r="94" spans="2:43" x14ac:dyDescent="0.25">
      <c r="D94" s="77"/>
      <c r="E94" s="111"/>
      <c r="F94" s="79"/>
      <c r="I94" s="77" t="s">
        <v>38</v>
      </c>
      <c r="J94" s="111">
        <f>J91*24*365.25</f>
        <v>56273.450410958896</v>
      </c>
      <c r="K94" s="79" t="s">
        <v>0</v>
      </c>
      <c r="N94" s="113"/>
      <c r="S94" s="93"/>
      <c r="T94" s="94"/>
      <c r="U94" s="94"/>
      <c r="V94" s="95"/>
      <c r="W94" s="96"/>
    </row>
    <row r="95" spans="2:43" x14ac:dyDescent="0.25">
      <c r="D95" s="77"/>
      <c r="E95" s="111"/>
      <c r="F95" s="79"/>
      <c r="I95" s="77"/>
      <c r="J95" s="111"/>
      <c r="K95" s="79"/>
      <c r="N95" s="113"/>
      <c r="S95" s="93"/>
      <c r="T95" s="94"/>
      <c r="U95" s="94"/>
      <c r="V95" s="95"/>
      <c r="W95" s="96"/>
    </row>
    <row r="96" spans="2:43" x14ac:dyDescent="0.25">
      <c r="D96" s="77"/>
      <c r="E96" s="111"/>
      <c r="F96" s="79"/>
      <c r="I96" s="77" t="s">
        <v>35</v>
      </c>
      <c r="J96" s="111">
        <f>3.7*J91</f>
        <v>23.752197869101977</v>
      </c>
      <c r="K96" s="79" t="s">
        <v>7</v>
      </c>
      <c r="N96" s="113"/>
      <c r="S96" s="93"/>
      <c r="T96" s="94"/>
      <c r="U96" s="94"/>
      <c r="V96" s="95"/>
      <c r="W96" s="96"/>
    </row>
    <row r="97" spans="2:43" x14ac:dyDescent="0.25">
      <c r="D97" s="77"/>
      <c r="E97" s="111"/>
      <c r="F97" s="79"/>
      <c r="I97" s="77" t="s">
        <v>36</v>
      </c>
      <c r="J97" s="111">
        <f>3.7*J92</f>
        <v>570.05274885844744</v>
      </c>
      <c r="K97" s="79" t="s">
        <v>7</v>
      </c>
      <c r="N97" s="113"/>
      <c r="S97" s="93"/>
      <c r="T97" s="94"/>
      <c r="U97" s="94"/>
      <c r="V97" s="95"/>
      <c r="W97" s="96"/>
      <c r="Z97" s="114"/>
    </row>
    <row r="98" spans="2:43" x14ac:dyDescent="0.25">
      <c r="D98" s="77"/>
      <c r="E98" s="111"/>
      <c r="F98" s="79"/>
      <c r="I98" s="77" t="s">
        <v>37</v>
      </c>
      <c r="J98" s="111">
        <f>3.7*J93</f>
        <v>17101.582465753421</v>
      </c>
      <c r="K98" s="79" t="s">
        <v>7</v>
      </c>
      <c r="N98" s="113"/>
      <c r="S98" s="93"/>
      <c r="T98" s="94"/>
      <c r="U98" s="94"/>
      <c r="V98" s="95"/>
      <c r="W98" s="96"/>
    </row>
    <row r="99" spans="2:43" x14ac:dyDescent="0.25">
      <c r="D99" s="77"/>
      <c r="E99" s="111"/>
      <c r="F99" s="79"/>
      <c r="I99" s="77" t="s">
        <v>38</v>
      </c>
      <c r="J99" s="111">
        <f>3.7*J94</f>
        <v>208211.76652054791</v>
      </c>
      <c r="K99" s="79" t="s">
        <v>7</v>
      </c>
      <c r="N99" s="113"/>
      <c r="S99" s="93"/>
      <c r="T99" s="94"/>
      <c r="U99" s="94"/>
      <c r="V99" s="95"/>
      <c r="W99" s="96"/>
      <c r="AF99" s="60"/>
      <c r="AG99" s="60"/>
      <c r="AH99" s="60"/>
      <c r="AI99" s="60"/>
      <c r="AJ99" s="60"/>
      <c r="AK99" s="60"/>
      <c r="AL99" s="60"/>
      <c r="AM99" s="60"/>
      <c r="AN99" s="60"/>
      <c r="AO99" s="60"/>
    </row>
    <row r="100" spans="2:43" x14ac:dyDescent="0.25">
      <c r="D100" s="77"/>
      <c r="E100" s="111"/>
      <c r="F100" s="79"/>
      <c r="I100" s="77"/>
      <c r="J100" s="111"/>
      <c r="K100" s="79"/>
      <c r="S100" s="93"/>
      <c r="T100" s="94"/>
      <c r="U100" s="94"/>
      <c r="V100" s="95"/>
      <c r="W100" s="96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</row>
    <row r="101" spans="2:43" s="38" customFormat="1" x14ac:dyDescent="0.25">
      <c r="B101" s="32"/>
      <c r="C101" s="33"/>
      <c r="D101" s="77"/>
      <c r="E101" s="111"/>
      <c r="F101" s="79"/>
      <c r="G101" s="36"/>
      <c r="H101" s="36"/>
      <c r="I101" s="77" t="s">
        <v>75</v>
      </c>
      <c r="J101" s="111">
        <f>E74/J91</f>
        <v>342.70512753638309</v>
      </c>
      <c r="K101" s="79" t="s">
        <v>2</v>
      </c>
      <c r="S101" s="93"/>
      <c r="T101" s="94"/>
      <c r="U101" s="94"/>
      <c r="V101" s="95"/>
      <c r="W101" s="96"/>
      <c r="X101" s="40"/>
      <c r="Y101" s="40"/>
      <c r="Z101" s="40"/>
      <c r="AA101" s="41"/>
      <c r="AB101" s="42"/>
      <c r="AC101" s="43"/>
      <c r="AD101" s="44"/>
      <c r="AE101" s="44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Q101" s="36"/>
    </row>
    <row r="102" spans="2:43" x14ac:dyDescent="0.25">
      <c r="D102" s="77"/>
      <c r="E102" s="111"/>
      <c r="F102" s="79"/>
      <c r="I102" s="77" t="s">
        <v>39</v>
      </c>
      <c r="J102" s="111">
        <f>E74/J92</f>
        <v>14.279380314015963</v>
      </c>
      <c r="K102" s="79" t="s">
        <v>4</v>
      </c>
      <c r="S102" s="93"/>
      <c r="T102" s="94"/>
      <c r="U102" s="94"/>
      <c r="V102" s="95"/>
      <c r="W102" s="96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</row>
    <row r="103" spans="2:43" s="38" customFormat="1" x14ac:dyDescent="0.25">
      <c r="B103" s="32"/>
      <c r="C103" s="33"/>
      <c r="D103" s="77"/>
      <c r="E103" s="111"/>
      <c r="F103" s="79"/>
      <c r="G103" s="36"/>
      <c r="H103" s="36"/>
      <c r="I103" s="77"/>
      <c r="J103" s="111"/>
      <c r="K103" s="79"/>
      <c r="L103" s="37"/>
      <c r="M103" s="36"/>
      <c r="N103" s="36"/>
      <c r="S103" s="93"/>
      <c r="T103" s="94"/>
      <c r="U103" s="94"/>
      <c r="V103" s="95"/>
      <c r="W103" s="96"/>
      <c r="X103" s="40"/>
      <c r="Y103" s="40"/>
      <c r="Z103" s="40"/>
      <c r="AA103" s="41"/>
      <c r="AB103" s="42"/>
      <c r="AC103" s="43"/>
      <c r="AD103" s="44"/>
      <c r="AE103" s="44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Q103" s="36"/>
    </row>
    <row r="104" spans="2:43" s="38" customFormat="1" x14ac:dyDescent="0.25">
      <c r="B104" s="32"/>
      <c r="C104" s="33"/>
      <c r="D104" s="93"/>
      <c r="E104" s="94"/>
      <c r="F104" s="115"/>
      <c r="G104" s="36"/>
      <c r="H104" s="36"/>
      <c r="I104" s="116" t="s">
        <v>83</v>
      </c>
      <c r="J104" s="94"/>
      <c r="K104" s="115"/>
      <c r="L104" s="37"/>
      <c r="M104" s="36"/>
      <c r="N104" s="36"/>
      <c r="S104" s="93"/>
      <c r="T104" s="94"/>
      <c r="U104" s="94"/>
      <c r="V104" s="95"/>
      <c r="W104" s="96"/>
      <c r="X104" s="40"/>
      <c r="Y104" s="40"/>
      <c r="Z104" s="40"/>
      <c r="AA104" s="41"/>
      <c r="AB104" s="42"/>
      <c r="AC104" s="43"/>
      <c r="AD104" s="44"/>
      <c r="AE104" s="44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Q104" s="36"/>
    </row>
    <row r="105" spans="2:43" s="38" customFormat="1" x14ac:dyDescent="0.25">
      <c r="B105" s="32"/>
      <c r="C105" s="33"/>
      <c r="D105" s="77"/>
      <c r="E105" s="100"/>
      <c r="F105" s="79"/>
      <c r="G105" s="36"/>
      <c r="H105" s="36"/>
      <c r="I105" s="77" t="s">
        <v>45</v>
      </c>
      <c r="J105" s="100">
        <f>E90*E87/36</f>
        <v>3.3333333333333333E-2</v>
      </c>
      <c r="K105" s="79" t="s">
        <v>6</v>
      </c>
      <c r="L105" s="37"/>
      <c r="M105" s="36"/>
      <c r="N105" s="36"/>
      <c r="S105" s="93"/>
      <c r="T105" s="94"/>
      <c r="U105" s="94"/>
      <c r="V105" s="95"/>
      <c r="W105" s="96"/>
      <c r="X105" s="40"/>
      <c r="Y105" s="40"/>
      <c r="Z105" s="40"/>
      <c r="AA105" s="41"/>
      <c r="AB105" s="42"/>
      <c r="AC105" s="43"/>
      <c r="AD105" s="44"/>
      <c r="AE105" s="44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Q105" s="36"/>
    </row>
    <row r="106" spans="2:43" x14ac:dyDescent="0.25">
      <c r="D106" s="77"/>
      <c r="E106" s="100"/>
      <c r="F106" s="79"/>
      <c r="I106" s="77" t="s">
        <v>46</v>
      </c>
      <c r="J106" s="100">
        <f>E90*E87*24</f>
        <v>28.799999999999997</v>
      </c>
      <c r="K106" s="79" t="s">
        <v>3</v>
      </c>
      <c r="S106" s="93"/>
      <c r="T106" s="94"/>
      <c r="U106" s="94"/>
      <c r="V106" s="95"/>
      <c r="W106" s="96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</row>
    <row r="107" spans="2:43" s="38" customFormat="1" ht="22" thickBot="1" x14ac:dyDescent="0.3">
      <c r="B107" s="32"/>
      <c r="C107" s="33"/>
      <c r="D107" s="101"/>
      <c r="E107" s="102"/>
      <c r="F107" s="117"/>
      <c r="G107" s="36"/>
      <c r="H107" s="36"/>
      <c r="I107" s="101"/>
      <c r="J107" s="102"/>
      <c r="K107" s="117"/>
      <c r="M107" s="36"/>
      <c r="N107" s="36"/>
      <c r="S107" s="101"/>
      <c r="T107" s="102"/>
      <c r="U107" s="102"/>
      <c r="V107" s="103"/>
      <c r="W107" s="104"/>
      <c r="X107" s="40"/>
      <c r="Y107" s="40"/>
      <c r="Z107" s="40"/>
      <c r="AA107" s="41"/>
      <c r="AB107" s="42"/>
      <c r="AC107" s="43"/>
      <c r="AD107" s="44"/>
      <c r="AE107" s="44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Q107" s="36"/>
    </row>
    <row r="108" spans="2:43" ht="22" thickTop="1" x14ac:dyDescent="0.25"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</row>
    <row r="109" spans="2:43" x14ac:dyDescent="0.25">
      <c r="X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</row>
    <row r="110" spans="2:43" ht="27" thickBot="1" x14ac:dyDescent="0.35">
      <c r="B110" s="61" t="s">
        <v>151</v>
      </c>
      <c r="C110" s="62"/>
      <c r="D110" s="61" t="s">
        <v>153</v>
      </c>
      <c r="E110" s="63"/>
      <c r="F110" s="64"/>
      <c r="G110" s="64"/>
      <c r="H110" s="64"/>
      <c r="I110" s="61" t="s">
        <v>154</v>
      </c>
      <c r="J110" s="65"/>
      <c r="K110" s="64"/>
      <c r="L110" s="65"/>
      <c r="X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</row>
    <row r="111" spans="2:43" ht="22" thickTop="1" x14ac:dyDescent="0.25">
      <c r="D111" s="73"/>
      <c r="E111" s="74"/>
      <c r="F111" s="75"/>
      <c r="I111" s="73"/>
      <c r="J111" s="74"/>
      <c r="K111" s="75"/>
      <c r="X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</row>
    <row r="112" spans="2:43" x14ac:dyDescent="0.25">
      <c r="B112" s="76" t="s">
        <v>152</v>
      </c>
      <c r="D112" s="77" t="s">
        <v>157</v>
      </c>
      <c r="E112" s="118">
        <v>400</v>
      </c>
      <c r="F112" s="79" t="s">
        <v>0</v>
      </c>
      <c r="I112" s="77" t="s">
        <v>155</v>
      </c>
      <c r="J112" s="145">
        <f>E112/J92</f>
        <v>2.5962509661847206</v>
      </c>
      <c r="K112" s="79" t="s">
        <v>156</v>
      </c>
      <c r="X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</row>
    <row r="113" spans="2:41" x14ac:dyDescent="0.25">
      <c r="B113" s="76" t="s">
        <v>159</v>
      </c>
      <c r="D113" s="77" t="s">
        <v>158</v>
      </c>
      <c r="E113" s="118">
        <v>-20</v>
      </c>
      <c r="F113" s="79" t="s">
        <v>6</v>
      </c>
      <c r="I113" s="77"/>
      <c r="J113" s="145"/>
      <c r="K113" s="79"/>
      <c r="X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</row>
    <row r="114" spans="2:41" x14ac:dyDescent="0.25">
      <c r="B114" s="76"/>
      <c r="D114" s="77"/>
      <c r="E114" s="118"/>
      <c r="F114" s="79"/>
      <c r="I114" s="77"/>
      <c r="J114" s="78"/>
      <c r="K114" s="79"/>
      <c r="X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</row>
    <row r="115" spans="2:41" ht="22" thickBot="1" x14ac:dyDescent="0.3">
      <c r="D115" s="81"/>
      <c r="E115" s="82"/>
      <c r="F115" s="83"/>
      <c r="I115" s="81"/>
      <c r="J115" s="82"/>
      <c r="K115" s="83"/>
      <c r="X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</row>
    <row r="116" spans="2:41" ht="22" thickTop="1" x14ac:dyDescent="0.25">
      <c r="X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</row>
    <row r="117" spans="2:41" x14ac:dyDescent="0.25">
      <c r="X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</row>
    <row r="118" spans="2:41" x14ac:dyDescent="0.25">
      <c r="X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</row>
    <row r="119" spans="2:41" x14ac:dyDescent="0.25">
      <c r="X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</row>
  </sheetData>
  <sheetProtection sheet="1" objects="1" scenarios="1" selectLockedCells="1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49E5-BF77-2942-A469-223C4B2482EA}">
  <dimension ref="B1:AJ36"/>
  <sheetViews>
    <sheetView workbookViewId="0">
      <selection activeCell="E12" sqref="E12"/>
    </sheetView>
  </sheetViews>
  <sheetFormatPr baseColWidth="10" defaultRowHeight="24" x14ac:dyDescent="0.3"/>
  <cols>
    <col min="1" max="1" width="10.83203125" style="14"/>
    <col min="2" max="2" width="31.83203125" style="12" customWidth="1"/>
    <col min="3" max="3" width="3" style="12" customWidth="1"/>
    <col min="4" max="4" width="11.33203125" style="13" bestFit="1" customWidth="1"/>
    <col min="5" max="5" width="14" style="13" customWidth="1"/>
    <col min="6" max="13" width="11.33203125" style="13" bestFit="1" customWidth="1"/>
    <col min="14" max="14" width="10.83203125" style="14"/>
    <col min="15" max="15" width="15.1640625" style="15" customWidth="1"/>
    <col min="16" max="16" width="17" style="15" customWidth="1"/>
    <col min="17" max="17" width="14.33203125" style="16" customWidth="1"/>
    <col min="18" max="18" width="10.83203125" style="14"/>
    <col min="19" max="19" width="26.83203125" style="14" customWidth="1"/>
    <col min="20" max="16384" width="10.83203125" style="14"/>
  </cols>
  <sheetData>
    <row r="1" spans="2:36" s="10" customFormat="1" ht="21" x14ac:dyDescent="0.25">
      <c r="B1" s="1"/>
      <c r="C1" s="2"/>
      <c r="D1" s="1"/>
      <c r="E1" s="1"/>
      <c r="I1" s="1"/>
      <c r="J1" s="11"/>
      <c r="L1" s="11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6"/>
      <c r="AB1" s="7"/>
      <c r="AC1" s="8"/>
      <c r="AD1" s="9"/>
      <c r="AE1" s="9"/>
      <c r="AF1" s="3"/>
      <c r="AG1" s="3"/>
      <c r="AH1" s="3"/>
      <c r="AI1" s="3"/>
      <c r="AJ1" s="3"/>
    </row>
    <row r="2" spans="2:36" s="10" customFormat="1" ht="21" x14ac:dyDescent="0.25">
      <c r="B2" s="1"/>
      <c r="C2" s="2"/>
      <c r="D2" s="1"/>
      <c r="E2" s="1"/>
      <c r="I2" s="1"/>
      <c r="J2" s="11"/>
      <c r="L2" s="11"/>
      <c r="O2" s="3"/>
      <c r="P2" s="3"/>
      <c r="Q2" s="3"/>
      <c r="R2" s="3"/>
      <c r="S2" s="3"/>
      <c r="T2" s="3"/>
      <c r="U2" s="3"/>
      <c r="V2" s="4"/>
      <c r="W2" s="5"/>
      <c r="X2" s="5"/>
      <c r="Y2" s="5"/>
      <c r="Z2" s="5"/>
      <c r="AA2" s="6"/>
      <c r="AB2" s="7"/>
      <c r="AC2" s="8"/>
      <c r="AD2" s="9"/>
      <c r="AE2" s="9"/>
      <c r="AF2" s="3"/>
      <c r="AG2" s="3"/>
      <c r="AH2" s="3"/>
      <c r="AI2" s="3"/>
      <c r="AJ2" s="3"/>
    </row>
    <row r="3" spans="2:36" s="10" customFormat="1" ht="21" x14ac:dyDescent="0.25">
      <c r="B3" s="1"/>
      <c r="C3" s="2"/>
      <c r="D3" s="27"/>
      <c r="E3" s="28"/>
      <c r="F3" s="28"/>
      <c r="G3" s="27"/>
      <c r="I3" s="1"/>
      <c r="J3" s="11"/>
      <c r="L3" s="11"/>
      <c r="O3" s="3"/>
      <c r="P3" s="3"/>
      <c r="Q3" s="3"/>
      <c r="R3" s="3"/>
      <c r="S3" s="3"/>
      <c r="T3" s="3"/>
      <c r="U3" s="3"/>
      <c r="V3" s="4"/>
      <c r="W3" s="5"/>
      <c r="X3" s="5"/>
      <c r="Y3" s="5"/>
      <c r="Z3" s="5"/>
      <c r="AA3" s="6"/>
      <c r="AB3" s="7"/>
      <c r="AC3" s="8"/>
      <c r="AD3" s="9"/>
      <c r="AE3" s="9"/>
      <c r="AF3" s="3"/>
      <c r="AG3" s="3"/>
      <c r="AH3" s="3"/>
      <c r="AI3" s="3"/>
      <c r="AJ3" s="3"/>
    </row>
    <row r="4" spans="2:36" s="10" customFormat="1" ht="21" x14ac:dyDescent="0.25">
      <c r="B4" s="1"/>
      <c r="C4" s="2"/>
      <c r="D4" s="27"/>
      <c r="E4" s="28"/>
      <c r="F4" s="28"/>
      <c r="G4" s="27"/>
      <c r="I4" s="1"/>
      <c r="J4" s="11"/>
      <c r="L4" s="11"/>
      <c r="O4" s="3"/>
      <c r="P4" s="3"/>
      <c r="Q4" s="3"/>
      <c r="R4" s="3"/>
      <c r="S4" s="3"/>
      <c r="T4" s="3"/>
      <c r="U4" s="3"/>
      <c r="V4" s="4"/>
      <c r="W4" s="5"/>
      <c r="X4" s="5"/>
      <c r="Y4" s="5"/>
      <c r="Z4" s="5"/>
      <c r="AA4" s="6"/>
      <c r="AB4" s="7"/>
      <c r="AC4" s="8"/>
      <c r="AD4" s="9"/>
      <c r="AE4" s="9"/>
      <c r="AF4" s="3"/>
      <c r="AG4" s="3"/>
      <c r="AH4" s="3"/>
      <c r="AI4" s="3"/>
      <c r="AJ4" s="3"/>
    </row>
    <row r="5" spans="2:36" s="10" customFormat="1" ht="21" x14ac:dyDescent="0.25">
      <c r="B5" s="1"/>
      <c r="C5" s="2"/>
      <c r="D5" s="27"/>
      <c r="E5" s="28"/>
      <c r="F5" s="28"/>
      <c r="G5" s="27"/>
      <c r="I5" s="1"/>
      <c r="J5" s="11"/>
      <c r="L5" s="11"/>
      <c r="O5" s="3"/>
      <c r="P5" s="3"/>
      <c r="Q5" s="3"/>
      <c r="R5" s="3"/>
      <c r="S5" s="3"/>
      <c r="T5" s="3"/>
      <c r="U5" s="3"/>
      <c r="V5" s="4"/>
      <c r="W5" s="5"/>
      <c r="X5" s="5"/>
      <c r="Y5" s="5"/>
      <c r="Z5" s="5"/>
      <c r="AA5" s="6"/>
      <c r="AB5" s="7"/>
      <c r="AC5" s="8"/>
      <c r="AD5" s="9"/>
      <c r="AE5" s="9"/>
      <c r="AF5" s="3"/>
      <c r="AG5" s="3"/>
      <c r="AH5" s="3"/>
      <c r="AI5" s="3"/>
      <c r="AJ5" s="3"/>
    </row>
    <row r="6" spans="2:36" s="10" customFormat="1" ht="21" x14ac:dyDescent="0.25">
      <c r="B6" s="1"/>
      <c r="C6" s="2"/>
      <c r="D6" s="27"/>
      <c r="E6" s="28"/>
      <c r="G6" s="27"/>
      <c r="J6" s="2"/>
      <c r="L6" s="11"/>
      <c r="O6" s="3"/>
      <c r="P6" s="3"/>
      <c r="Q6" s="3"/>
      <c r="R6" s="3"/>
      <c r="S6" s="3"/>
      <c r="T6" s="3"/>
      <c r="U6" s="3"/>
      <c r="V6" s="4"/>
      <c r="W6" s="5"/>
      <c r="X6" s="5"/>
      <c r="Y6" s="5"/>
      <c r="Z6" s="5"/>
      <c r="AA6" s="6"/>
      <c r="AB6" s="7"/>
      <c r="AC6" s="8"/>
      <c r="AD6" s="9"/>
      <c r="AE6" s="9"/>
      <c r="AF6" s="3"/>
      <c r="AG6" s="3"/>
      <c r="AH6" s="3"/>
      <c r="AI6" s="3"/>
      <c r="AJ6" s="3"/>
    </row>
    <row r="7" spans="2:36" s="10" customFormat="1" ht="21" x14ac:dyDescent="0.25">
      <c r="B7" s="1"/>
      <c r="C7" s="2"/>
      <c r="D7" s="27"/>
      <c r="E7" s="28"/>
      <c r="G7" s="27"/>
      <c r="J7" s="2" t="s">
        <v>140</v>
      </c>
      <c r="L7" s="11"/>
      <c r="O7" s="3"/>
      <c r="P7" s="3"/>
      <c r="Q7" s="3"/>
      <c r="R7" s="3"/>
      <c r="S7" s="3"/>
      <c r="T7" s="3"/>
      <c r="U7" s="3"/>
      <c r="V7" s="4"/>
      <c r="W7" s="5"/>
      <c r="X7" s="5"/>
      <c r="Y7" s="5"/>
      <c r="Z7" s="5"/>
      <c r="AA7" s="6"/>
      <c r="AB7" s="7"/>
      <c r="AC7" s="8"/>
      <c r="AD7" s="9"/>
      <c r="AE7" s="9"/>
      <c r="AF7" s="3"/>
      <c r="AG7" s="3"/>
      <c r="AH7" s="3"/>
      <c r="AI7" s="3"/>
      <c r="AJ7" s="3"/>
    </row>
    <row r="8" spans="2:36" s="10" customFormat="1" ht="21" x14ac:dyDescent="0.25">
      <c r="B8" s="1"/>
      <c r="C8" s="2"/>
      <c r="D8" s="29"/>
      <c r="E8" s="30"/>
      <c r="G8" s="29"/>
      <c r="J8" s="2" t="s">
        <v>139</v>
      </c>
      <c r="L8" s="11"/>
      <c r="O8" s="3"/>
      <c r="P8" s="3"/>
      <c r="Q8" s="3"/>
      <c r="R8" s="3"/>
      <c r="S8" s="3"/>
      <c r="T8" s="3"/>
      <c r="U8" s="3"/>
      <c r="V8" s="4"/>
      <c r="W8" s="5"/>
      <c r="X8" s="5"/>
      <c r="Y8" s="5"/>
      <c r="Z8" s="5"/>
      <c r="AA8" s="6"/>
      <c r="AB8" s="7"/>
      <c r="AC8" s="8"/>
      <c r="AD8" s="9"/>
      <c r="AE8" s="9"/>
      <c r="AF8" s="3"/>
      <c r="AG8" s="3"/>
      <c r="AH8" s="3"/>
      <c r="AI8" s="3"/>
      <c r="AJ8" s="3"/>
    </row>
    <row r="9" spans="2:36" s="10" customFormat="1" ht="21" x14ac:dyDescent="0.25">
      <c r="B9" s="1"/>
      <c r="C9" s="2"/>
      <c r="D9" s="29"/>
      <c r="E9" s="27"/>
      <c r="F9" s="30"/>
      <c r="G9" s="29"/>
      <c r="I9" s="1"/>
      <c r="J9" s="11"/>
      <c r="L9" s="11"/>
      <c r="O9" s="3"/>
      <c r="P9" s="3"/>
      <c r="Q9" s="3"/>
      <c r="R9" s="3"/>
      <c r="S9" s="3"/>
      <c r="T9" s="3"/>
      <c r="U9" s="3"/>
      <c r="V9" s="4"/>
      <c r="W9" s="5"/>
      <c r="X9" s="5"/>
      <c r="Y9" s="5"/>
      <c r="Z9" s="5"/>
      <c r="AA9" s="6"/>
      <c r="AB9" s="7"/>
      <c r="AC9" s="8"/>
      <c r="AD9" s="9"/>
      <c r="AE9" s="9"/>
      <c r="AF9" s="3"/>
      <c r="AG9" s="3"/>
      <c r="AH9" s="3"/>
      <c r="AI9" s="3"/>
      <c r="AJ9" s="3"/>
    </row>
    <row r="10" spans="2:36" s="10" customFormat="1" ht="21" x14ac:dyDescent="0.25">
      <c r="B10" s="1"/>
      <c r="C10" s="2"/>
      <c r="D10" s="31" t="s">
        <v>135</v>
      </c>
      <c r="E10" s="1"/>
      <c r="F10" s="27"/>
      <c r="G10" s="27"/>
      <c r="I10" s="1"/>
      <c r="J10" s="11"/>
      <c r="L10" s="11"/>
      <c r="O10" s="3"/>
      <c r="P10" s="3"/>
      <c r="Q10" s="3"/>
      <c r="R10" s="3"/>
      <c r="S10" s="3"/>
      <c r="T10" s="3"/>
      <c r="U10" s="3"/>
      <c r="V10" s="4"/>
      <c r="W10" s="5"/>
      <c r="X10" s="5"/>
      <c r="Y10" s="5"/>
      <c r="Z10" s="5"/>
      <c r="AA10" s="6"/>
      <c r="AB10" s="7"/>
      <c r="AC10" s="8"/>
      <c r="AD10" s="9"/>
      <c r="AE10" s="9"/>
      <c r="AF10" s="3"/>
      <c r="AG10" s="3"/>
      <c r="AH10" s="3"/>
      <c r="AI10" s="3"/>
      <c r="AJ10" s="3"/>
    </row>
    <row r="12" spans="2:36" ht="34" x14ac:dyDescent="0.4">
      <c r="B12" s="24"/>
      <c r="C12" s="24" t="s">
        <v>130</v>
      </c>
    </row>
    <row r="13" spans="2:36" ht="34" x14ac:dyDescent="0.4">
      <c r="B13" s="24"/>
      <c r="C13" s="24" t="s">
        <v>125</v>
      </c>
    </row>
    <row r="14" spans="2:36" ht="34" x14ac:dyDescent="0.4">
      <c r="B14" s="24"/>
      <c r="C14" s="24" t="s">
        <v>126</v>
      </c>
    </row>
    <row r="15" spans="2:36" ht="20" customHeight="1" x14ac:dyDescent="0.4">
      <c r="B15" s="24"/>
      <c r="C15" s="24"/>
    </row>
    <row r="16" spans="2:36" s="18" customFormat="1" ht="20" customHeight="1" x14ac:dyDescent="0.35">
      <c r="D16" s="19"/>
      <c r="E16" s="19"/>
      <c r="F16" s="19"/>
      <c r="G16" s="19"/>
      <c r="H16" s="19"/>
      <c r="I16" s="19"/>
      <c r="J16" s="19"/>
      <c r="K16" s="19"/>
      <c r="L16" s="19"/>
      <c r="M16" s="19"/>
      <c r="O16" s="20"/>
      <c r="P16" s="20"/>
      <c r="Q16" s="21"/>
      <c r="S16" s="18" t="s">
        <v>128</v>
      </c>
    </row>
    <row r="17" spans="2:19" s="18" customFormat="1" ht="38" customHeight="1" x14ac:dyDescent="0.35">
      <c r="B17" s="25"/>
      <c r="C17" s="25"/>
      <c r="D17" s="22">
        <v>2011</v>
      </c>
      <c r="E17" s="22">
        <v>2012</v>
      </c>
      <c r="F17" s="22">
        <v>2013</v>
      </c>
      <c r="G17" s="22">
        <v>2014</v>
      </c>
      <c r="H17" s="22">
        <v>2015</v>
      </c>
      <c r="I17" s="22">
        <v>2016</v>
      </c>
      <c r="J17" s="22">
        <v>2017</v>
      </c>
      <c r="K17" s="22">
        <v>2018</v>
      </c>
      <c r="L17" s="22">
        <v>2019</v>
      </c>
      <c r="M17" s="22">
        <v>2020</v>
      </c>
      <c r="O17" s="20" t="s">
        <v>122</v>
      </c>
      <c r="P17" s="20" t="s">
        <v>123</v>
      </c>
      <c r="Q17" s="21" t="s">
        <v>124</v>
      </c>
      <c r="S17" s="18" t="s">
        <v>127</v>
      </c>
    </row>
    <row r="18" spans="2:19" s="18" customFormat="1" ht="14" customHeight="1" x14ac:dyDescent="0.35">
      <c r="B18" s="25"/>
      <c r="C18" s="25"/>
      <c r="D18" s="22"/>
      <c r="E18" s="22"/>
      <c r="F18" s="22"/>
      <c r="G18" s="22"/>
      <c r="H18" s="22"/>
      <c r="I18" s="22"/>
      <c r="J18" s="22"/>
      <c r="K18" s="22"/>
      <c r="L18" s="22"/>
      <c r="M18" s="22"/>
      <c r="O18" s="20"/>
      <c r="P18" s="20"/>
      <c r="Q18" s="21"/>
    </row>
    <row r="19" spans="2:19" ht="28" x14ac:dyDescent="0.3">
      <c r="B19" s="25" t="s">
        <v>48</v>
      </c>
      <c r="C19" s="25"/>
      <c r="D19" s="17">
        <v>25.706930921939282</v>
      </c>
      <c r="E19" s="17">
        <v>39.696457014909505</v>
      </c>
      <c r="F19" s="17">
        <v>16.349472454801759</v>
      </c>
      <c r="G19" s="17">
        <v>39.697836710755304</v>
      </c>
      <c r="H19" s="17">
        <v>39.19060608057746</v>
      </c>
      <c r="I19" s="17">
        <v>34.555902296175759</v>
      </c>
      <c r="J19" s="17">
        <v>29.038968033341266</v>
      </c>
      <c r="K19" s="17">
        <v>44.933299197505185</v>
      </c>
      <c r="L19" s="17">
        <v>26.180606469904504</v>
      </c>
      <c r="M19" s="17">
        <v>51.564581569710484</v>
      </c>
      <c r="O19" s="15">
        <f>AVERAGE(D19:N19)</f>
        <v>34.691466074962044</v>
      </c>
      <c r="P19" s="15">
        <f>AVEDEV(D19:M19)</f>
        <v>8.3250900397295364</v>
      </c>
      <c r="Q19" s="16">
        <f>P19/O19</f>
        <v>0.23997515762927135</v>
      </c>
      <c r="S19" s="15">
        <f>O19-P19</f>
        <v>26.366376035232506</v>
      </c>
    </row>
    <row r="20" spans="2:19" ht="28" x14ac:dyDescent="0.3">
      <c r="B20" s="25" t="s">
        <v>49</v>
      </c>
      <c r="C20" s="25"/>
      <c r="D20" s="17">
        <v>50.858318684135796</v>
      </c>
      <c r="E20" s="17">
        <v>43.827630062287199</v>
      </c>
      <c r="F20" s="17">
        <v>26.595783845670137</v>
      </c>
      <c r="G20" s="17">
        <v>68.490045524502264</v>
      </c>
      <c r="H20" s="17">
        <v>55.208663888175302</v>
      </c>
      <c r="I20" s="17">
        <v>55.631287134390888</v>
      </c>
      <c r="J20" s="17">
        <v>64.128530678728538</v>
      </c>
      <c r="K20" s="17">
        <v>31.256542479672611</v>
      </c>
      <c r="L20" s="17">
        <v>87.273775072454129</v>
      </c>
      <c r="M20" s="17">
        <v>65.584196934664092</v>
      </c>
      <c r="O20" s="15">
        <f t="shared" ref="O20:O30" si="0">AVERAGE(D20:N20)</f>
        <v>54.885477430468086</v>
      </c>
      <c r="P20" s="15">
        <f t="shared" ref="P20:P30" si="1">AVEDEV(D20:M20)</f>
        <v>13.40072693002133</v>
      </c>
      <c r="Q20" s="16">
        <f t="shared" ref="Q20:Q30" si="2">P20/O20</f>
        <v>0.24415797324525601</v>
      </c>
      <c r="S20" s="15">
        <f t="shared" ref="S20:S30" si="3">O20-P20</f>
        <v>41.484750500446758</v>
      </c>
    </row>
    <row r="21" spans="2:19" ht="28" x14ac:dyDescent="0.3">
      <c r="B21" s="25" t="s">
        <v>121</v>
      </c>
      <c r="C21" s="25"/>
      <c r="D21" s="17">
        <v>104.64545433805006</v>
      </c>
      <c r="E21" s="17">
        <v>103.07561234022137</v>
      </c>
      <c r="F21" s="17">
        <v>73.821087894278648</v>
      </c>
      <c r="G21" s="17">
        <v>113.37770596055306</v>
      </c>
      <c r="H21" s="17">
        <v>87.959051370865467</v>
      </c>
      <c r="I21" s="17">
        <v>75.600627048492427</v>
      </c>
      <c r="J21" s="17">
        <v>93.443150898059514</v>
      </c>
      <c r="K21" s="17">
        <v>77.917874276569336</v>
      </c>
      <c r="L21" s="17">
        <v>97.688899555988613</v>
      </c>
      <c r="M21" s="17">
        <v>98.80853649497277</v>
      </c>
      <c r="O21" s="15">
        <f t="shared" si="0"/>
        <v>92.633800017805129</v>
      </c>
      <c r="P21" s="15">
        <f t="shared" si="1"/>
        <v>11.047311896202924</v>
      </c>
      <c r="Q21" s="16">
        <f t="shared" si="2"/>
        <v>0.11925789392294736</v>
      </c>
      <c r="S21" s="15">
        <f t="shared" si="3"/>
        <v>81.586488121602201</v>
      </c>
    </row>
    <row r="22" spans="2:19" ht="28" x14ac:dyDescent="0.3">
      <c r="B22" s="25" t="s">
        <v>51</v>
      </c>
      <c r="C22" s="25"/>
      <c r="D22" s="17">
        <v>130.78204563295932</v>
      </c>
      <c r="E22" s="17">
        <v>86.040688499386874</v>
      </c>
      <c r="F22" s="17">
        <v>80.199743810826135</v>
      </c>
      <c r="G22" s="17">
        <v>101.90203252725611</v>
      </c>
      <c r="H22" s="17">
        <v>128.25262615720877</v>
      </c>
      <c r="I22" s="17">
        <v>101.36026333901859</v>
      </c>
      <c r="J22" s="17">
        <v>93.208242416151009</v>
      </c>
      <c r="K22" s="17">
        <v>135.73772372460016</v>
      </c>
      <c r="L22" s="17">
        <v>107.21490366640265</v>
      </c>
      <c r="M22" s="17">
        <v>147.23244737670356</v>
      </c>
      <c r="O22" s="15">
        <f t="shared" si="0"/>
        <v>111.19307171505132</v>
      </c>
      <c r="P22" s="15">
        <f t="shared" si="1"/>
        <v>19.446511206253309</v>
      </c>
      <c r="Q22" s="16">
        <f t="shared" si="2"/>
        <v>0.17488959434530119</v>
      </c>
      <c r="S22" s="15">
        <f t="shared" si="3"/>
        <v>91.746560508798012</v>
      </c>
    </row>
    <row r="23" spans="2:19" ht="28" x14ac:dyDescent="0.3">
      <c r="B23" s="25" t="s">
        <v>52</v>
      </c>
      <c r="C23" s="25"/>
      <c r="D23" s="17">
        <v>129.27937343544667</v>
      </c>
      <c r="E23" s="17">
        <v>119.95273582157355</v>
      </c>
      <c r="F23" s="17">
        <v>91.997858618978299</v>
      </c>
      <c r="G23" s="17">
        <v>109.60598937615387</v>
      </c>
      <c r="H23" s="17">
        <v>103.60800678203987</v>
      </c>
      <c r="I23" s="17">
        <v>112.75663523360151</v>
      </c>
      <c r="J23" s="17">
        <v>132.41529847960911</v>
      </c>
      <c r="K23" s="17">
        <v>126.74319593988986</v>
      </c>
      <c r="L23" s="17">
        <v>101.37772201738856</v>
      </c>
      <c r="M23" s="17">
        <v>115.84650063652195</v>
      </c>
      <c r="O23" s="15">
        <f t="shared" si="0"/>
        <v>114.35833163412033</v>
      </c>
      <c r="P23" s="15">
        <f t="shared" si="1"/>
        <v>10.489089228487902</v>
      </c>
      <c r="Q23" s="16">
        <f t="shared" si="2"/>
        <v>9.1721250901480825E-2</v>
      </c>
      <c r="S23" s="15">
        <f t="shared" si="3"/>
        <v>103.86924240563243</v>
      </c>
    </row>
    <row r="24" spans="2:19" ht="28" x14ac:dyDescent="0.3">
      <c r="B24" s="25" t="s">
        <v>53</v>
      </c>
      <c r="C24" s="25"/>
      <c r="D24" s="17">
        <v>96.160795513475904</v>
      </c>
      <c r="E24" s="17">
        <v>69.567453856476476</v>
      </c>
      <c r="F24" s="17">
        <v>106.68690585319465</v>
      </c>
      <c r="G24" s="17">
        <v>136.20503872741631</v>
      </c>
      <c r="H24" s="17">
        <v>121.03795911653235</v>
      </c>
      <c r="I24" s="17">
        <v>110.75510863663338</v>
      </c>
      <c r="J24" s="17">
        <v>129.40709581597471</v>
      </c>
      <c r="K24" s="17">
        <v>114.02275769591095</v>
      </c>
      <c r="L24" s="17">
        <v>134.1936718747352</v>
      </c>
      <c r="M24" s="17">
        <v>97.059801895986197</v>
      </c>
      <c r="O24" s="15">
        <f t="shared" si="0"/>
        <v>111.5096588986336</v>
      </c>
      <c r="P24" s="15">
        <f t="shared" si="1"/>
        <v>15.463645747480294</v>
      </c>
      <c r="Q24" s="16">
        <f t="shared" si="2"/>
        <v>0.1386753927885056</v>
      </c>
      <c r="S24" s="15">
        <f t="shared" si="3"/>
        <v>96.046013151153304</v>
      </c>
    </row>
    <row r="25" spans="2:19" ht="28" x14ac:dyDescent="0.3">
      <c r="B25" s="25" t="s">
        <v>54</v>
      </c>
      <c r="C25" s="25"/>
      <c r="D25" s="17">
        <v>102.1330243176875</v>
      </c>
      <c r="E25" s="17">
        <v>93.466464551449917</v>
      </c>
      <c r="F25" s="17">
        <v>147.61494744076685</v>
      </c>
      <c r="G25" s="17">
        <v>89.762489677097221</v>
      </c>
      <c r="H25" s="17">
        <v>128.85820789748453</v>
      </c>
      <c r="I25" s="17">
        <v>122.98852780610812</v>
      </c>
      <c r="J25" s="17">
        <v>120.48022906932998</v>
      </c>
      <c r="K25" s="17">
        <v>139.46332765850136</v>
      </c>
      <c r="L25" s="17">
        <v>120.24645431826285</v>
      </c>
      <c r="M25" s="17">
        <v>129.38393340045459</v>
      </c>
      <c r="O25" s="15">
        <f t="shared" si="0"/>
        <v>119.4397606137143</v>
      </c>
      <c r="P25" s="15">
        <f t="shared" si="1"/>
        <v>14.591460658981646</v>
      </c>
      <c r="Q25" s="16">
        <f t="shared" si="2"/>
        <v>0.12216585652890388</v>
      </c>
      <c r="S25" s="15">
        <f t="shared" si="3"/>
        <v>104.84829995473265</v>
      </c>
    </row>
    <row r="26" spans="2:19" ht="28" x14ac:dyDescent="0.3">
      <c r="B26" s="25" t="s">
        <v>55</v>
      </c>
      <c r="C26" s="25"/>
      <c r="D26" s="17">
        <v>120.23681566250947</v>
      </c>
      <c r="E26" s="17">
        <v>117.57840103409066</v>
      </c>
      <c r="F26" s="17">
        <v>136.94975945763551</v>
      </c>
      <c r="G26" s="17">
        <v>102.00309461902724</v>
      </c>
      <c r="H26" s="17">
        <v>129.6810289569878</v>
      </c>
      <c r="I26" s="17">
        <v>112.97389648863221</v>
      </c>
      <c r="J26" s="17">
        <v>121.07114116263175</v>
      </c>
      <c r="K26" s="17">
        <v>117.93082166700133</v>
      </c>
      <c r="L26" s="17">
        <v>108.53745406653792</v>
      </c>
      <c r="M26" s="17">
        <v>109.07883368926764</v>
      </c>
      <c r="O26" s="15">
        <f t="shared" si="0"/>
        <v>117.60412468043216</v>
      </c>
      <c r="P26" s="15">
        <f t="shared" si="1"/>
        <v>7.569788700921019</v>
      </c>
      <c r="Q26" s="16">
        <f t="shared" si="2"/>
        <v>6.4366693953044118E-2</v>
      </c>
      <c r="S26" s="15">
        <f t="shared" si="3"/>
        <v>110.03433597951114</v>
      </c>
    </row>
    <row r="27" spans="2:19" ht="28" x14ac:dyDescent="0.3">
      <c r="B27" s="25" t="s">
        <v>56</v>
      </c>
      <c r="C27" s="25"/>
      <c r="D27" s="17">
        <v>101.48378069124004</v>
      </c>
      <c r="E27" s="17">
        <v>84.104257147612742</v>
      </c>
      <c r="F27" s="17">
        <v>71.282097099590601</v>
      </c>
      <c r="G27" s="17">
        <v>82.753802098801074</v>
      </c>
      <c r="H27" s="17">
        <v>92.481775268883467</v>
      </c>
      <c r="I27" s="17">
        <v>131.05893247125746</v>
      </c>
      <c r="J27" s="17">
        <v>81.386041513537137</v>
      </c>
      <c r="K27" s="17">
        <v>122.81805137753186</v>
      </c>
      <c r="L27" s="17">
        <v>107.55432912379629</v>
      </c>
      <c r="M27" s="17">
        <v>102.04457674088022</v>
      </c>
      <c r="O27" s="15">
        <f t="shared" si="0"/>
        <v>97.696764353313085</v>
      </c>
      <c r="P27" s="15">
        <f t="shared" si="1"/>
        <v>15.295169727628087</v>
      </c>
      <c r="Q27" s="16">
        <f t="shared" si="2"/>
        <v>0.15655758743773993</v>
      </c>
      <c r="S27" s="15">
        <f t="shared" si="3"/>
        <v>82.401594625684993</v>
      </c>
    </row>
    <row r="28" spans="2:19" ht="28" x14ac:dyDescent="0.3">
      <c r="B28" s="25" t="s">
        <v>57</v>
      </c>
      <c r="C28" s="25"/>
      <c r="D28" s="17">
        <v>86.25794510442752</v>
      </c>
      <c r="E28" s="17">
        <v>66.430657414753497</v>
      </c>
      <c r="F28" s="17">
        <v>64.050902956016301</v>
      </c>
      <c r="G28" s="17">
        <v>64.697551393996022</v>
      </c>
      <c r="H28" s="17">
        <v>52.288552620583509</v>
      </c>
      <c r="I28" s="17">
        <v>61.329826717771091</v>
      </c>
      <c r="J28" s="17">
        <v>84.60219942379787</v>
      </c>
      <c r="K28" s="17">
        <v>86.254022832985768</v>
      </c>
      <c r="L28" s="17">
        <v>71.251809161317226</v>
      </c>
      <c r="M28" s="17">
        <v>56.446523628752047</v>
      </c>
      <c r="O28" s="15">
        <f t="shared" si="0"/>
        <v>69.360999125440088</v>
      </c>
      <c r="P28" s="15">
        <f t="shared" si="1"/>
        <v>10.184396004153609</v>
      </c>
      <c r="Q28" s="16">
        <f t="shared" si="2"/>
        <v>0.1468317373245305</v>
      </c>
      <c r="S28" s="15">
        <f t="shared" si="3"/>
        <v>59.176603121286476</v>
      </c>
    </row>
    <row r="29" spans="2:19" ht="28" x14ac:dyDescent="0.3">
      <c r="B29" s="25" t="s">
        <v>58</v>
      </c>
      <c r="C29" s="25"/>
      <c r="D29" s="17">
        <v>54.376583209506052</v>
      </c>
      <c r="E29" s="17">
        <v>36.898721682604879</v>
      </c>
      <c r="F29" s="17">
        <v>31.050716900299431</v>
      </c>
      <c r="G29" s="17">
        <v>32.99154473894891</v>
      </c>
      <c r="H29" s="17">
        <v>57.39394050707903</v>
      </c>
      <c r="I29" s="17">
        <v>40.766770336755883</v>
      </c>
      <c r="J29" s="17">
        <v>32.299254954598574</v>
      </c>
      <c r="K29" s="17">
        <v>43.963152190257688</v>
      </c>
      <c r="L29" s="17">
        <v>30.182131610277629</v>
      </c>
      <c r="M29" s="17">
        <v>43.423159819624296</v>
      </c>
      <c r="O29" s="15">
        <f t="shared" si="0"/>
        <v>40.334597594995238</v>
      </c>
      <c r="P29" s="15">
        <f t="shared" si="1"/>
        <v>7.6501236176493519</v>
      </c>
      <c r="Q29" s="16">
        <f t="shared" si="2"/>
        <v>0.18966654122758839</v>
      </c>
      <c r="S29" s="15">
        <f t="shared" si="3"/>
        <v>32.684473977345888</v>
      </c>
    </row>
    <row r="30" spans="2:19" ht="28" x14ac:dyDescent="0.3">
      <c r="B30" s="25" t="s">
        <v>59</v>
      </c>
      <c r="C30" s="25"/>
      <c r="D30" s="17">
        <v>28.535268828447858</v>
      </c>
      <c r="E30" s="17">
        <v>23.96836977795941</v>
      </c>
      <c r="F30" s="17">
        <v>55.076300346953346</v>
      </c>
      <c r="G30" s="17">
        <v>22.996611235469199</v>
      </c>
      <c r="H30" s="17">
        <v>62.34311669685421</v>
      </c>
      <c r="I30" s="17">
        <v>44.210822095388167</v>
      </c>
      <c r="J30" s="17">
        <v>28.080810113242013</v>
      </c>
      <c r="K30" s="17">
        <v>25.256877169420584</v>
      </c>
      <c r="L30" s="17">
        <v>44.532908585424174</v>
      </c>
      <c r="M30" s="17">
        <v>31.506969670468031</v>
      </c>
      <c r="O30" s="15">
        <f t="shared" si="0"/>
        <v>36.650805451962704</v>
      </c>
      <c r="P30" s="15">
        <f t="shared" si="1"/>
        <v>11.911985183353819</v>
      </c>
      <c r="Q30" s="16">
        <f t="shared" si="2"/>
        <v>0.32501291680933342</v>
      </c>
      <c r="S30" s="15">
        <f t="shared" si="3"/>
        <v>24.738820268608883</v>
      </c>
    </row>
    <row r="31" spans="2:19" ht="16" customHeight="1" x14ac:dyDescent="0.35">
      <c r="B31" s="26"/>
      <c r="C31" s="26"/>
    </row>
    <row r="32" spans="2:19" ht="29" x14ac:dyDescent="0.35">
      <c r="B32" s="26"/>
      <c r="C32" s="26"/>
      <c r="O32" s="15">
        <f>SUM(O19:O31)</f>
        <v>1000.358857590898</v>
      </c>
      <c r="S32" s="15">
        <f>SUM(S19:S31)</f>
        <v>854.98355865003521</v>
      </c>
    </row>
    <row r="33" spans="2:17" ht="18" customHeight="1" x14ac:dyDescent="0.35">
      <c r="B33" s="26"/>
      <c r="C33" s="26"/>
    </row>
    <row r="34" spans="2:17" ht="29" x14ac:dyDescent="0.35">
      <c r="B34" s="26"/>
      <c r="C34" s="26"/>
      <c r="D34" s="13">
        <f>SUM(D19:D33)</f>
        <v>1030.4563363398254</v>
      </c>
      <c r="E34" s="13">
        <f t="shared" ref="E34:L34" si="4">SUM(E19:E33)</f>
        <v>884.60744920332615</v>
      </c>
      <c r="F34" s="13">
        <f t="shared" si="4"/>
        <v>901.67557667901167</v>
      </c>
      <c r="G34" s="13">
        <f t="shared" si="4"/>
        <v>964.48374258997671</v>
      </c>
      <c r="H34" s="13">
        <f t="shared" si="4"/>
        <v>1058.3035353432717</v>
      </c>
      <c r="I34" s="13">
        <f t="shared" si="4"/>
        <v>1003.9885996042254</v>
      </c>
      <c r="J34" s="13">
        <f t="shared" si="4"/>
        <v>1009.5609625590015</v>
      </c>
      <c r="K34" s="13">
        <f t="shared" si="4"/>
        <v>1066.2976462098466</v>
      </c>
      <c r="L34" s="13">
        <f t="shared" si="4"/>
        <v>1036.2346655224899</v>
      </c>
      <c r="M34" s="13">
        <f>SUM(M19:M33)</f>
        <v>1047.9800618580059</v>
      </c>
      <c r="O34" s="15">
        <f t="shared" ref="O34" si="5">AVERAGE(D34:N34)</f>
        <v>1000.3588575908982</v>
      </c>
      <c r="P34" s="15">
        <f t="shared" ref="P34" si="6">AVEDEV(D34:M34)</f>
        <v>50.061960860075907</v>
      </c>
      <c r="Q34" s="16">
        <f t="shared" ref="Q34" si="7">P34/O34</f>
        <v>5.0044002190011094E-2</v>
      </c>
    </row>
    <row r="35" spans="2:17" ht="29" x14ac:dyDescent="0.35">
      <c r="B35" s="23"/>
      <c r="C35" s="23"/>
    </row>
    <row r="36" spans="2:17" x14ac:dyDescent="0.3">
      <c r="B36" s="14"/>
      <c r="C36" s="14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1EB9-39E7-E942-9FF7-8F3FF794B98B}">
  <dimension ref="B1:AM36"/>
  <sheetViews>
    <sheetView zoomScale="140" zoomScaleNormal="140" workbookViewId="0">
      <selection activeCell="P26" sqref="P26"/>
    </sheetView>
  </sheetViews>
  <sheetFormatPr baseColWidth="10" defaultRowHeight="21" x14ac:dyDescent="0.25"/>
  <cols>
    <col min="1" max="1" width="7" style="3" customWidth="1"/>
    <col min="2" max="2" width="3.5" style="2" customWidth="1"/>
    <col min="3" max="3" width="11.5" style="151" customWidth="1"/>
    <col min="4" max="4" width="12" style="160" customWidth="1"/>
    <col min="5" max="5" width="6.83203125" style="160" customWidth="1"/>
    <col min="6" max="6" width="10.33203125" style="160" customWidth="1"/>
    <col min="7" max="7" width="8.5" style="161" customWidth="1"/>
    <col min="8" max="9" width="2.83203125" style="9" customWidth="1"/>
    <col min="10" max="10" width="11.5" style="9" customWidth="1"/>
    <col min="11" max="11" width="7.83203125" style="9" customWidth="1"/>
    <col min="12" max="12" width="10.1640625" style="9" customWidth="1"/>
    <col min="13" max="13" width="7.5" style="9" customWidth="1"/>
    <col min="14" max="14" width="7.33203125" style="9" customWidth="1"/>
    <col min="15" max="15" width="10" style="9" customWidth="1"/>
    <col min="16" max="16" width="7.1640625" style="9" customWidth="1"/>
    <col min="17" max="17" width="11" style="9" customWidth="1"/>
    <col min="18" max="19" width="17.5" style="9" customWidth="1"/>
    <col min="20" max="20" width="14.33203125" style="163" customWidth="1"/>
    <col min="21" max="21" width="10.83203125" style="3"/>
    <col min="22" max="22" width="26.83203125" style="3" customWidth="1"/>
    <col min="23" max="16384" width="10.83203125" style="3"/>
  </cols>
  <sheetData>
    <row r="1" spans="2:39" s="10" customFormat="1" x14ac:dyDescent="0.25">
      <c r="B1" s="1"/>
      <c r="C1" s="151"/>
      <c r="D1" s="1"/>
      <c r="E1" s="1"/>
      <c r="F1" s="1"/>
      <c r="G1" s="2"/>
      <c r="J1" s="1"/>
      <c r="K1" s="1"/>
      <c r="L1" s="11"/>
      <c r="N1" s="11"/>
      <c r="O1" s="11"/>
      <c r="P1" s="11"/>
      <c r="Q1" s="11"/>
      <c r="R1" s="11"/>
      <c r="S1" s="11"/>
      <c r="T1" s="3"/>
      <c r="U1" s="3"/>
      <c r="V1" s="3"/>
      <c r="W1" s="3"/>
      <c r="X1" s="3"/>
      <c r="Y1" s="4"/>
      <c r="Z1" s="5"/>
      <c r="AA1" s="5"/>
      <c r="AB1" s="5"/>
      <c r="AC1" s="5"/>
      <c r="AD1" s="6"/>
      <c r="AE1" s="7"/>
      <c r="AF1" s="8"/>
      <c r="AG1" s="9"/>
      <c r="AH1" s="9"/>
      <c r="AI1" s="3"/>
      <c r="AJ1" s="3"/>
      <c r="AK1" s="3"/>
      <c r="AL1" s="3"/>
      <c r="AM1" s="3"/>
    </row>
    <row r="2" spans="2:39" s="152" customFormat="1" x14ac:dyDescent="0.25">
      <c r="B2" s="151"/>
      <c r="C2" s="151"/>
      <c r="D2" s="151" t="s">
        <v>162</v>
      </c>
      <c r="E2" s="151"/>
      <c r="F2" s="151">
        <v>7.32</v>
      </c>
      <c r="G2" s="148" t="s">
        <v>8</v>
      </c>
      <c r="J2" s="151" t="s">
        <v>162</v>
      </c>
      <c r="K2" s="151"/>
      <c r="L2" s="164">
        <v>1</v>
      </c>
      <c r="M2" s="148" t="s">
        <v>8</v>
      </c>
      <c r="N2" s="153"/>
      <c r="O2" s="164"/>
      <c r="P2" s="164"/>
      <c r="Q2" s="164"/>
      <c r="R2" s="164"/>
      <c r="S2" s="164"/>
      <c r="T2" s="149"/>
      <c r="U2" s="149"/>
      <c r="V2" s="149"/>
      <c r="W2" s="149"/>
      <c r="X2" s="149"/>
      <c r="Y2" s="154"/>
      <c r="Z2" s="155"/>
      <c r="AA2" s="155"/>
      <c r="AB2" s="155"/>
      <c r="AC2" s="155"/>
      <c r="AD2" s="156"/>
      <c r="AE2" s="157"/>
      <c r="AF2" s="158"/>
      <c r="AG2" s="159"/>
      <c r="AH2" s="159"/>
      <c r="AI2" s="149"/>
      <c r="AJ2" s="149"/>
      <c r="AK2" s="149"/>
      <c r="AL2" s="149"/>
      <c r="AM2" s="149"/>
    </row>
    <row r="3" spans="2:39" s="10" customFormat="1" x14ac:dyDescent="0.25">
      <c r="B3" s="1"/>
      <c r="C3" s="151"/>
      <c r="D3" s="1"/>
      <c r="E3" s="1"/>
      <c r="F3" s="1"/>
      <c r="G3" s="2"/>
      <c r="J3" s="1"/>
      <c r="K3" s="1"/>
      <c r="L3" s="1"/>
      <c r="M3" s="2"/>
      <c r="N3" s="11"/>
      <c r="O3" s="1"/>
      <c r="P3" s="1"/>
      <c r="Q3" s="1"/>
      <c r="R3" s="1"/>
      <c r="S3" s="1"/>
      <c r="T3" s="3"/>
      <c r="U3" s="3"/>
      <c r="V3" s="3"/>
      <c r="W3" s="3"/>
      <c r="X3" s="3"/>
      <c r="Y3" s="4"/>
      <c r="Z3" s="5"/>
      <c r="AA3" s="5"/>
      <c r="AB3" s="5"/>
      <c r="AC3" s="5"/>
      <c r="AD3" s="6"/>
      <c r="AE3" s="7"/>
      <c r="AF3" s="8"/>
      <c r="AG3" s="9"/>
      <c r="AH3" s="9"/>
      <c r="AI3" s="3"/>
      <c r="AJ3" s="3"/>
      <c r="AK3" s="3"/>
      <c r="AL3" s="3"/>
      <c r="AM3" s="3"/>
    </row>
    <row r="4" spans="2:39" s="10" customFormat="1" x14ac:dyDescent="0.25">
      <c r="B4" s="1"/>
      <c r="C4" s="151"/>
      <c r="D4" s="151">
        <v>2021</v>
      </c>
      <c r="E4" s="151"/>
      <c r="F4" s="151">
        <v>2021</v>
      </c>
      <c r="G4" s="2"/>
      <c r="J4" s="151">
        <v>2021</v>
      </c>
      <c r="K4" s="151"/>
      <c r="L4" s="151">
        <v>2021</v>
      </c>
      <c r="M4" s="2"/>
      <c r="N4" s="11"/>
      <c r="O4" s="151" t="s">
        <v>163</v>
      </c>
      <c r="P4" s="151"/>
      <c r="Q4" s="151"/>
      <c r="R4" s="151"/>
      <c r="S4" s="151"/>
      <c r="T4" s="3"/>
      <c r="U4" s="3"/>
      <c r="V4" s="3"/>
      <c r="W4" s="3"/>
      <c r="X4" s="3"/>
      <c r="Y4" s="4"/>
      <c r="Z4" s="5"/>
      <c r="AA4" s="5"/>
      <c r="AB4" s="5"/>
      <c r="AC4" s="5"/>
      <c r="AD4" s="6"/>
      <c r="AE4" s="7"/>
      <c r="AF4" s="8"/>
      <c r="AG4" s="9"/>
      <c r="AH4" s="9"/>
      <c r="AI4" s="3"/>
      <c r="AJ4" s="3"/>
      <c r="AK4" s="3"/>
      <c r="AL4" s="3"/>
      <c r="AM4" s="3"/>
    </row>
    <row r="5" spans="2:39" s="152" customFormat="1" x14ac:dyDescent="0.25">
      <c r="B5" s="151"/>
      <c r="C5" s="151"/>
      <c r="D5" s="151" t="s">
        <v>160</v>
      </c>
      <c r="E5" s="151"/>
      <c r="F5" s="151" t="s">
        <v>161</v>
      </c>
      <c r="G5" s="148"/>
      <c r="J5" s="151" t="s">
        <v>160</v>
      </c>
      <c r="K5" s="151"/>
      <c r="L5" s="151" t="s">
        <v>161</v>
      </c>
      <c r="M5" s="148"/>
      <c r="N5" s="153"/>
      <c r="O5" s="151" t="s">
        <v>167</v>
      </c>
      <c r="P5" s="151"/>
      <c r="Q5" s="151" t="s">
        <v>164</v>
      </c>
      <c r="R5" s="151"/>
      <c r="S5" s="151"/>
      <c r="T5" s="149"/>
      <c r="U5" s="149"/>
      <c r="V5" s="149"/>
      <c r="W5" s="149"/>
      <c r="X5" s="149"/>
      <c r="Y5" s="154"/>
      <c r="Z5" s="155"/>
      <c r="AA5" s="155"/>
      <c r="AB5" s="155"/>
      <c r="AC5" s="155"/>
      <c r="AD5" s="156"/>
      <c r="AE5" s="157"/>
      <c r="AF5" s="158"/>
      <c r="AG5" s="159"/>
      <c r="AH5" s="159"/>
      <c r="AI5" s="149"/>
      <c r="AJ5" s="149"/>
      <c r="AK5" s="149"/>
      <c r="AL5" s="149"/>
      <c r="AM5" s="149"/>
    </row>
    <row r="6" spans="2:39" s="10" customFormat="1" ht="12" customHeight="1" x14ac:dyDescent="0.25">
      <c r="B6" s="1"/>
      <c r="C6" s="151"/>
      <c r="D6" s="1"/>
      <c r="E6" s="1"/>
      <c r="F6" s="1"/>
      <c r="G6" s="2"/>
      <c r="L6" s="2"/>
      <c r="N6" s="11"/>
      <c r="O6" s="2"/>
      <c r="P6" s="2"/>
      <c r="Q6" s="2"/>
      <c r="R6" s="2"/>
      <c r="S6" s="2"/>
      <c r="T6" s="3"/>
      <c r="U6" s="3"/>
      <c r="V6" s="3"/>
      <c r="W6" s="3"/>
      <c r="X6" s="3"/>
      <c r="Y6" s="4"/>
      <c r="Z6" s="5"/>
      <c r="AA6" s="5"/>
      <c r="AB6" s="5"/>
      <c r="AC6" s="5"/>
      <c r="AD6" s="6"/>
      <c r="AE6" s="7"/>
      <c r="AF6" s="8"/>
      <c r="AG6" s="9"/>
      <c r="AH6" s="9"/>
      <c r="AI6" s="3"/>
      <c r="AJ6" s="3"/>
      <c r="AK6" s="3"/>
      <c r="AL6" s="3"/>
      <c r="AM6" s="3"/>
    </row>
    <row r="7" spans="2:39" s="10" customFormat="1" ht="21" customHeight="1" x14ac:dyDescent="0.25">
      <c r="B7" s="1"/>
      <c r="C7" s="151" t="s">
        <v>48</v>
      </c>
      <c r="D7" s="171">
        <v>138</v>
      </c>
      <c r="E7" s="172" t="s">
        <v>166</v>
      </c>
      <c r="F7" s="171">
        <v>160</v>
      </c>
      <c r="G7" s="172" t="s">
        <v>166</v>
      </c>
      <c r="H7" s="173"/>
      <c r="I7" s="173"/>
      <c r="J7" s="177">
        <f t="shared" ref="J7:J18" si="0">D7/$F$2</f>
        <v>18.852459016393443</v>
      </c>
      <c r="K7" s="172" t="s">
        <v>166</v>
      </c>
      <c r="L7" s="182">
        <f t="shared" ref="L7:L18" si="1">F7/$F$2</f>
        <v>21.857923497267759</v>
      </c>
      <c r="M7" s="172" t="s">
        <v>166</v>
      </c>
      <c r="N7" s="173"/>
      <c r="O7" s="182">
        <v>39.696457014909505</v>
      </c>
      <c r="P7" s="172" t="s">
        <v>166</v>
      </c>
      <c r="Q7" s="177">
        <f>L7-O7</f>
        <v>-17.838533517641746</v>
      </c>
      <c r="R7" s="172" t="s">
        <v>166</v>
      </c>
      <c r="S7" s="177"/>
      <c r="T7" s="5"/>
      <c r="U7" s="5"/>
      <c r="V7" s="5"/>
      <c r="W7" s="3"/>
      <c r="X7" s="3"/>
      <c r="Y7" s="4"/>
      <c r="Z7" s="5"/>
      <c r="AA7" s="5"/>
      <c r="AB7" s="5"/>
      <c r="AC7" s="5"/>
      <c r="AD7" s="6"/>
      <c r="AE7" s="7"/>
      <c r="AF7" s="8"/>
      <c r="AG7" s="9"/>
      <c r="AH7" s="9"/>
      <c r="AI7" s="3"/>
      <c r="AJ7" s="3"/>
      <c r="AK7" s="3"/>
      <c r="AL7" s="3"/>
      <c r="AM7" s="3"/>
    </row>
    <row r="8" spans="2:39" s="10" customFormat="1" ht="21" customHeight="1" x14ac:dyDescent="0.25">
      <c r="B8" s="1"/>
      <c r="C8" s="151" t="s">
        <v>49</v>
      </c>
      <c r="D8" s="171">
        <v>413</v>
      </c>
      <c r="E8" s="172" t="s">
        <v>166</v>
      </c>
      <c r="F8" s="171">
        <v>406</v>
      </c>
      <c r="G8" s="172" t="s">
        <v>166</v>
      </c>
      <c r="H8" s="173"/>
      <c r="I8" s="173"/>
      <c r="J8" s="177">
        <f t="shared" si="0"/>
        <v>56.420765027322403</v>
      </c>
      <c r="K8" s="172" t="s">
        <v>166</v>
      </c>
      <c r="L8" s="182">
        <f t="shared" si="1"/>
        <v>55.464480874316941</v>
      </c>
      <c r="M8" s="172" t="s">
        <v>166</v>
      </c>
      <c r="N8" s="173"/>
      <c r="O8" s="182">
        <v>43.827630062287199</v>
      </c>
      <c r="P8" s="172" t="s">
        <v>166</v>
      </c>
      <c r="Q8" s="177">
        <f t="shared" ref="Q8:Q18" si="2">L8-O8</f>
        <v>11.636850812029742</v>
      </c>
      <c r="R8" s="172" t="s">
        <v>166</v>
      </c>
      <c r="S8" s="177"/>
      <c r="T8" s="5"/>
      <c r="U8" s="5"/>
      <c r="V8" s="5"/>
      <c r="W8" s="3"/>
      <c r="X8" s="3"/>
      <c r="Y8" s="4"/>
      <c r="Z8" s="5"/>
      <c r="AA8" s="5"/>
      <c r="AB8" s="5"/>
      <c r="AC8" s="5"/>
      <c r="AD8" s="6"/>
      <c r="AE8" s="7"/>
      <c r="AF8" s="8"/>
      <c r="AG8" s="9"/>
      <c r="AH8" s="9"/>
      <c r="AI8" s="3"/>
      <c r="AJ8" s="3"/>
      <c r="AK8" s="3"/>
      <c r="AL8" s="3"/>
      <c r="AM8" s="3"/>
    </row>
    <row r="9" spans="2:39" s="10" customFormat="1" ht="21" customHeight="1" x14ac:dyDescent="0.25">
      <c r="B9" s="1"/>
      <c r="C9" s="151" t="s">
        <v>121</v>
      </c>
      <c r="D9" s="171">
        <v>619</v>
      </c>
      <c r="E9" s="172" t="s">
        <v>166</v>
      </c>
      <c r="F9" s="171">
        <v>759</v>
      </c>
      <c r="G9" s="172" t="s">
        <v>166</v>
      </c>
      <c r="H9" s="173"/>
      <c r="I9" s="173"/>
      <c r="J9" s="177">
        <f t="shared" si="0"/>
        <v>84.562841530054641</v>
      </c>
      <c r="K9" s="172" t="s">
        <v>166</v>
      </c>
      <c r="L9" s="182">
        <f t="shared" si="1"/>
        <v>103.68852459016394</v>
      </c>
      <c r="M9" s="172" t="s">
        <v>166</v>
      </c>
      <c r="N9" s="173"/>
      <c r="O9" s="182">
        <v>103.07561234022137</v>
      </c>
      <c r="P9" s="172" t="s">
        <v>166</v>
      </c>
      <c r="Q9" s="177">
        <f t="shared" si="2"/>
        <v>0.61291224994256766</v>
      </c>
      <c r="R9" s="172" t="s">
        <v>166</v>
      </c>
      <c r="S9" s="177"/>
      <c r="T9" s="5"/>
      <c r="U9" s="5"/>
      <c r="V9" s="5"/>
      <c r="W9" s="3"/>
      <c r="X9" s="3"/>
      <c r="Y9" s="4"/>
      <c r="Z9" s="5"/>
      <c r="AA9" s="5"/>
      <c r="AB9" s="5"/>
      <c r="AC9" s="5"/>
      <c r="AD9" s="6"/>
      <c r="AE9" s="7"/>
      <c r="AF9" s="8"/>
      <c r="AG9" s="9"/>
      <c r="AH9" s="9"/>
      <c r="AI9" s="3"/>
      <c r="AJ9" s="3"/>
      <c r="AK9" s="3"/>
      <c r="AL9" s="3"/>
      <c r="AM9" s="3"/>
    </row>
    <row r="10" spans="2:39" s="10" customFormat="1" ht="21" customHeight="1" x14ac:dyDescent="0.25">
      <c r="B10" s="1"/>
      <c r="C10" s="151" t="s">
        <v>51</v>
      </c>
      <c r="D10" s="171">
        <v>757</v>
      </c>
      <c r="E10" s="172" t="s">
        <v>166</v>
      </c>
      <c r="F10" s="171">
        <v>873</v>
      </c>
      <c r="G10" s="172" t="s">
        <v>166</v>
      </c>
      <c r="H10" s="173"/>
      <c r="I10" s="173"/>
      <c r="J10" s="177">
        <f t="shared" si="0"/>
        <v>103.41530054644808</v>
      </c>
      <c r="K10" s="172" t="s">
        <v>166</v>
      </c>
      <c r="L10" s="182">
        <f t="shared" si="1"/>
        <v>119.26229508196721</v>
      </c>
      <c r="M10" s="172" t="s">
        <v>166</v>
      </c>
      <c r="N10" s="173"/>
      <c r="O10" s="182">
        <v>86.040688499386874</v>
      </c>
      <c r="P10" s="172" t="s">
        <v>166</v>
      </c>
      <c r="Q10" s="177">
        <f t="shared" si="2"/>
        <v>33.221606582580335</v>
      </c>
      <c r="R10" s="172" t="s">
        <v>166</v>
      </c>
      <c r="S10" s="177"/>
      <c r="T10" s="5"/>
      <c r="U10" s="5"/>
      <c r="V10" s="5"/>
      <c r="W10" s="3"/>
      <c r="X10" s="3"/>
      <c r="Y10" s="4"/>
      <c r="Z10" s="5"/>
      <c r="AA10" s="5"/>
      <c r="AB10" s="5"/>
      <c r="AC10" s="5"/>
      <c r="AD10" s="6"/>
      <c r="AE10" s="7"/>
      <c r="AF10" s="8"/>
      <c r="AG10" s="9"/>
      <c r="AH10" s="9"/>
      <c r="AI10" s="3"/>
      <c r="AJ10" s="3"/>
      <c r="AK10" s="3"/>
      <c r="AL10" s="3"/>
      <c r="AM10" s="3"/>
    </row>
    <row r="11" spans="2:39" ht="21" customHeight="1" x14ac:dyDescent="0.25">
      <c r="C11" s="151" t="s">
        <v>52</v>
      </c>
      <c r="D11" s="171">
        <v>757</v>
      </c>
      <c r="E11" s="172" t="s">
        <v>166</v>
      </c>
      <c r="F11" s="171">
        <v>542</v>
      </c>
      <c r="G11" s="172" t="s">
        <v>166</v>
      </c>
      <c r="H11" s="5"/>
      <c r="I11" s="5"/>
      <c r="J11" s="177">
        <f t="shared" si="0"/>
        <v>103.41530054644808</v>
      </c>
      <c r="K11" s="172" t="s">
        <v>166</v>
      </c>
      <c r="L11" s="182">
        <f t="shared" si="1"/>
        <v>74.04371584699453</v>
      </c>
      <c r="M11" s="172" t="s">
        <v>166</v>
      </c>
      <c r="N11" s="5"/>
      <c r="O11" s="182">
        <v>119.95273582157355</v>
      </c>
      <c r="P11" s="172" t="s">
        <v>166</v>
      </c>
      <c r="Q11" s="177">
        <f t="shared" si="2"/>
        <v>-45.909019974579024</v>
      </c>
      <c r="R11" s="172" t="s">
        <v>166</v>
      </c>
      <c r="S11" s="177"/>
      <c r="T11" s="174"/>
      <c r="U11" s="5"/>
      <c r="V11" s="5"/>
    </row>
    <row r="12" spans="2:39" ht="21" customHeight="1" x14ac:dyDescent="0.25">
      <c r="B12" s="148"/>
      <c r="C12" s="151" t="s">
        <v>53</v>
      </c>
      <c r="D12" s="171">
        <v>895</v>
      </c>
      <c r="E12" s="172" t="s">
        <v>166</v>
      </c>
      <c r="F12" s="171">
        <v>1044</v>
      </c>
      <c r="G12" s="172" t="s">
        <v>166</v>
      </c>
      <c r="H12" s="5"/>
      <c r="I12" s="5"/>
      <c r="J12" s="177">
        <f t="shared" si="0"/>
        <v>122.26775956284152</v>
      </c>
      <c r="K12" s="172" t="s">
        <v>166</v>
      </c>
      <c r="L12" s="182">
        <f t="shared" si="1"/>
        <v>142.62295081967213</v>
      </c>
      <c r="M12" s="172" t="s">
        <v>166</v>
      </c>
      <c r="N12" s="5"/>
      <c r="O12" s="182">
        <v>69.567453856476476</v>
      </c>
      <c r="P12" s="172" t="s">
        <v>166</v>
      </c>
      <c r="Q12" s="177">
        <f t="shared" si="2"/>
        <v>73.055496963195651</v>
      </c>
      <c r="R12" s="172" t="s">
        <v>166</v>
      </c>
      <c r="S12" s="177"/>
      <c r="T12" s="174"/>
      <c r="U12" s="5"/>
      <c r="V12" s="5"/>
    </row>
    <row r="13" spans="2:39" ht="21" customHeight="1" x14ac:dyDescent="0.25">
      <c r="B13" s="148"/>
      <c r="C13" s="151" t="s">
        <v>54</v>
      </c>
      <c r="D13" s="171">
        <v>895</v>
      </c>
      <c r="E13" s="172" t="s">
        <v>166</v>
      </c>
      <c r="F13" s="171">
        <v>930</v>
      </c>
      <c r="G13" s="172" t="s">
        <v>166</v>
      </c>
      <c r="H13" s="5"/>
      <c r="I13" s="5"/>
      <c r="J13" s="177">
        <f t="shared" si="0"/>
        <v>122.26775956284152</v>
      </c>
      <c r="K13" s="172" t="s">
        <v>166</v>
      </c>
      <c r="L13" s="182">
        <f t="shared" si="1"/>
        <v>127.04918032786885</v>
      </c>
      <c r="M13" s="172" t="s">
        <v>166</v>
      </c>
      <c r="N13" s="5"/>
      <c r="O13" s="182">
        <v>93.466464551449917</v>
      </c>
      <c r="P13" s="172" t="s">
        <v>166</v>
      </c>
      <c r="Q13" s="177">
        <f t="shared" si="2"/>
        <v>33.582715776418937</v>
      </c>
      <c r="R13" s="172" t="s">
        <v>166</v>
      </c>
      <c r="S13" s="177"/>
      <c r="T13" s="174"/>
      <c r="U13" s="5"/>
      <c r="V13" s="5"/>
    </row>
    <row r="14" spans="2:39" ht="21" customHeight="1" x14ac:dyDescent="0.25">
      <c r="B14" s="148"/>
      <c r="C14" s="151" t="s">
        <v>55</v>
      </c>
      <c r="D14" s="171">
        <v>826</v>
      </c>
      <c r="E14" s="172" t="s">
        <v>166</v>
      </c>
      <c r="F14" s="171">
        <v>767</v>
      </c>
      <c r="G14" s="172" t="s">
        <v>166</v>
      </c>
      <c r="H14" s="5"/>
      <c r="I14" s="5"/>
      <c r="J14" s="177">
        <f t="shared" si="0"/>
        <v>112.84153005464481</v>
      </c>
      <c r="K14" s="172" t="s">
        <v>166</v>
      </c>
      <c r="L14" s="182">
        <f t="shared" si="1"/>
        <v>104.78142076502732</v>
      </c>
      <c r="M14" s="172" t="s">
        <v>166</v>
      </c>
      <c r="N14" s="5"/>
      <c r="O14" s="182">
        <v>117.57840103409066</v>
      </c>
      <c r="P14" s="172" t="s">
        <v>166</v>
      </c>
      <c r="Q14" s="177">
        <f t="shared" si="2"/>
        <v>-12.79698026906334</v>
      </c>
      <c r="R14" s="172" t="s">
        <v>166</v>
      </c>
      <c r="S14" s="177"/>
      <c r="T14" s="174"/>
      <c r="U14" s="5"/>
      <c r="V14" s="5"/>
    </row>
    <row r="15" spans="2:39" ht="21" customHeight="1" x14ac:dyDescent="0.25">
      <c r="B15" s="148"/>
      <c r="C15" s="151" t="s">
        <v>56</v>
      </c>
      <c r="D15" s="171">
        <v>688</v>
      </c>
      <c r="E15" s="172" t="s">
        <v>166</v>
      </c>
      <c r="F15" s="171">
        <v>919</v>
      </c>
      <c r="G15" s="172" t="s">
        <v>166</v>
      </c>
      <c r="H15" s="5"/>
      <c r="I15" s="5"/>
      <c r="J15" s="177">
        <f t="shared" si="0"/>
        <v>93.989071038251367</v>
      </c>
      <c r="K15" s="172" t="s">
        <v>166</v>
      </c>
      <c r="L15" s="182">
        <f t="shared" si="1"/>
        <v>125.54644808743168</v>
      </c>
      <c r="M15" s="172" t="s">
        <v>166</v>
      </c>
      <c r="N15" s="5"/>
      <c r="O15" s="182">
        <v>84.104257147612742</v>
      </c>
      <c r="P15" s="172" t="s">
        <v>166</v>
      </c>
      <c r="Q15" s="177">
        <f t="shared" si="2"/>
        <v>41.442190939818943</v>
      </c>
      <c r="R15" s="172" t="s">
        <v>166</v>
      </c>
      <c r="S15" s="177"/>
      <c r="T15" s="174"/>
      <c r="U15" s="5"/>
      <c r="V15" s="5"/>
    </row>
    <row r="16" spans="2:39" s="149" customFormat="1" ht="21" customHeight="1" x14ac:dyDescent="0.25">
      <c r="C16" s="151" t="s">
        <v>57</v>
      </c>
      <c r="D16" s="171">
        <v>415</v>
      </c>
      <c r="E16" s="172" t="s">
        <v>166</v>
      </c>
      <c r="F16" s="171">
        <v>570</v>
      </c>
      <c r="G16" s="172" t="s">
        <v>166</v>
      </c>
      <c r="H16" s="5"/>
      <c r="I16" s="5"/>
      <c r="J16" s="177">
        <f t="shared" si="0"/>
        <v>56.693989071038246</v>
      </c>
      <c r="K16" s="172" t="s">
        <v>166</v>
      </c>
      <c r="L16" s="182">
        <f t="shared" si="1"/>
        <v>77.868852459016395</v>
      </c>
      <c r="M16" s="172" t="s">
        <v>166</v>
      </c>
      <c r="N16" s="5"/>
      <c r="O16" s="182">
        <v>66.430657414753497</v>
      </c>
      <c r="P16" s="172" t="s">
        <v>166</v>
      </c>
      <c r="Q16" s="177">
        <f t="shared" si="2"/>
        <v>11.438195044262898</v>
      </c>
      <c r="R16" s="172" t="s">
        <v>166</v>
      </c>
      <c r="S16" s="177"/>
      <c r="T16" s="174"/>
      <c r="U16" s="155"/>
      <c r="V16" s="155"/>
    </row>
    <row r="17" spans="2:22" s="149" customFormat="1" ht="21" customHeight="1" x14ac:dyDescent="0.25">
      <c r="B17" s="150"/>
      <c r="C17" s="150" t="s">
        <v>58</v>
      </c>
      <c r="D17" s="175">
        <v>275</v>
      </c>
      <c r="E17" s="172" t="s">
        <v>166</v>
      </c>
      <c r="F17" s="175"/>
      <c r="G17" s="172" t="s">
        <v>166</v>
      </c>
      <c r="H17" s="176"/>
      <c r="I17" s="176"/>
      <c r="J17" s="182">
        <f t="shared" si="0"/>
        <v>37.568306010928957</v>
      </c>
      <c r="K17" s="172" t="s">
        <v>166</v>
      </c>
      <c r="L17" s="182">
        <f t="shared" si="1"/>
        <v>0</v>
      </c>
      <c r="M17" s="172" t="s">
        <v>166</v>
      </c>
      <c r="N17" s="176"/>
      <c r="O17" s="182">
        <v>36.898721682604879</v>
      </c>
      <c r="P17" s="172" t="s">
        <v>166</v>
      </c>
      <c r="Q17" s="177">
        <f t="shared" si="2"/>
        <v>-36.898721682604879</v>
      </c>
      <c r="R17" s="172" t="s">
        <v>166</v>
      </c>
      <c r="S17" s="177"/>
      <c r="T17" s="174"/>
      <c r="U17" s="155"/>
      <c r="V17" s="155"/>
    </row>
    <row r="18" spans="2:22" s="149" customFormat="1" ht="21" customHeight="1" x14ac:dyDescent="0.25">
      <c r="B18" s="150"/>
      <c r="C18" s="150" t="s">
        <v>59</v>
      </c>
      <c r="D18" s="175">
        <v>206</v>
      </c>
      <c r="E18" s="172" t="s">
        <v>166</v>
      </c>
      <c r="F18" s="175"/>
      <c r="G18" s="172" t="s">
        <v>166</v>
      </c>
      <c r="H18" s="176"/>
      <c r="I18" s="176"/>
      <c r="J18" s="182">
        <f t="shared" si="0"/>
        <v>28.142076502732241</v>
      </c>
      <c r="K18" s="172" t="s">
        <v>166</v>
      </c>
      <c r="L18" s="182">
        <f t="shared" si="1"/>
        <v>0</v>
      </c>
      <c r="M18" s="172" t="s">
        <v>166</v>
      </c>
      <c r="N18" s="176"/>
      <c r="O18" s="182">
        <v>23.96836977795941</v>
      </c>
      <c r="P18" s="172" t="s">
        <v>166</v>
      </c>
      <c r="Q18" s="177">
        <f t="shared" si="2"/>
        <v>-23.96836977795941</v>
      </c>
      <c r="R18" s="172" t="s">
        <v>166</v>
      </c>
      <c r="S18" s="177"/>
      <c r="T18" s="174"/>
      <c r="U18" s="155"/>
      <c r="V18" s="155"/>
    </row>
    <row r="19" spans="2:22" x14ac:dyDescent="0.25">
      <c r="B19" s="150"/>
      <c r="C19" s="150"/>
      <c r="D19" s="168"/>
      <c r="E19" s="170"/>
      <c r="F19" s="168"/>
      <c r="G19" s="169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V19" s="162"/>
    </row>
    <row r="20" spans="2:22" s="149" customFormat="1" x14ac:dyDescent="0.25">
      <c r="B20" s="150"/>
      <c r="C20" s="150" t="s">
        <v>165</v>
      </c>
      <c r="D20" s="178">
        <f>SUM(D7:D19)</f>
        <v>6884</v>
      </c>
      <c r="E20" s="172" t="s">
        <v>166</v>
      </c>
      <c r="F20" s="178">
        <f>SUM(F7:F19)</f>
        <v>6970</v>
      </c>
      <c r="G20" s="172" t="s">
        <v>166</v>
      </c>
      <c r="H20" s="179"/>
      <c r="I20" s="179"/>
      <c r="J20" s="178">
        <f>SUM(J7:J19)</f>
        <v>940.4371584699453</v>
      </c>
      <c r="K20" s="172" t="s">
        <v>166</v>
      </c>
      <c r="L20" s="178">
        <f>SUM(L7:L19)</f>
        <v>952.18579234972663</v>
      </c>
      <c r="M20" s="172" t="s">
        <v>166</v>
      </c>
      <c r="N20" s="179"/>
      <c r="O20" s="178">
        <f>SUM(O7:O19)</f>
        <v>884.60744920332615</v>
      </c>
      <c r="P20" s="172" t="s">
        <v>166</v>
      </c>
      <c r="Q20" s="178">
        <f>SUM(Q7:Q19)</f>
        <v>67.578343146400684</v>
      </c>
      <c r="R20" s="172" t="s">
        <v>166</v>
      </c>
      <c r="S20" s="179"/>
      <c r="T20" s="180"/>
      <c r="V20" s="181"/>
    </row>
    <row r="21" spans="2:22" x14ac:dyDescent="0.25">
      <c r="B21" s="150"/>
      <c r="C21" s="150"/>
      <c r="D21" s="168"/>
      <c r="E21" s="168"/>
      <c r="F21" s="168"/>
      <c r="G21" s="169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V21" s="162"/>
    </row>
    <row r="22" spans="2:22" x14ac:dyDescent="0.25">
      <c r="B22" s="150"/>
      <c r="C22" s="150"/>
      <c r="D22" s="168"/>
      <c r="E22" s="168"/>
      <c r="F22" s="168"/>
      <c r="G22" s="169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V22" s="162"/>
    </row>
    <row r="23" spans="2:22" x14ac:dyDescent="0.25">
      <c r="B23" s="150"/>
      <c r="C23" s="150"/>
      <c r="D23" s="165"/>
      <c r="E23" s="165"/>
      <c r="F23" s="165"/>
      <c r="G23" s="166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V23" s="162"/>
    </row>
    <row r="24" spans="2:22" x14ac:dyDescent="0.25">
      <c r="B24" s="150"/>
      <c r="C24" s="150"/>
      <c r="D24" s="165"/>
      <c r="E24" s="165"/>
      <c r="F24" s="165"/>
      <c r="G24" s="166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V24" s="162"/>
    </row>
    <row r="25" spans="2:22" x14ac:dyDescent="0.25">
      <c r="B25" s="150"/>
      <c r="C25" s="150"/>
      <c r="D25" s="165"/>
      <c r="E25" s="165"/>
      <c r="F25" s="165"/>
      <c r="G25" s="166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V25" s="162"/>
    </row>
    <row r="26" spans="2:22" x14ac:dyDescent="0.25">
      <c r="B26" s="150"/>
      <c r="C26" s="150"/>
      <c r="D26" s="165"/>
      <c r="E26" s="165"/>
      <c r="F26" s="165"/>
      <c r="G26" s="166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V26" s="162"/>
    </row>
    <row r="27" spans="2:22" x14ac:dyDescent="0.25">
      <c r="B27" s="150"/>
      <c r="C27" s="150"/>
      <c r="D27" s="165"/>
      <c r="E27" s="165"/>
      <c r="F27" s="165"/>
      <c r="G27" s="166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V27" s="162"/>
    </row>
    <row r="28" spans="2:22" x14ac:dyDescent="0.25">
      <c r="B28" s="150"/>
      <c r="C28" s="150"/>
      <c r="D28" s="165"/>
      <c r="E28" s="165"/>
      <c r="F28" s="165"/>
      <c r="G28" s="166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V28" s="162"/>
    </row>
    <row r="29" spans="2:22" x14ac:dyDescent="0.25">
      <c r="B29" s="150"/>
      <c r="C29" s="150"/>
      <c r="D29" s="165"/>
      <c r="E29" s="165"/>
      <c r="F29" s="165"/>
      <c r="G29" s="166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V29" s="162"/>
    </row>
    <row r="30" spans="2:22" x14ac:dyDescent="0.25">
      <c r="B30" s="150"/>
      <c r="C30" s="150"/>
      <c r="D30" s="165"/>
      <c r="E30" s="165"/>
      <c r="F30" s="165"/>
      <c r="G30" s="166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V30" s="162"/>
    </row>
    <row r="31" spans="2:22" ht="16" customHeight="1" x14ac:dyDescent="0.25">
      <c r="B31" s="1"/>
    </row>
    <row r="32" spans="2:22" x14ac:dyDescent="0.25">
      <c r="B32" s="1"/>
      <c r="V32" s="162"/>
    </row>
    <row r="33" spans="2:2" ht="18" customHeight="1" x14ac:dyDescent="0.25">
      <c r="B33" s="1"/>
    </row>
    <row r="34" spans="2:2" x14ac:dyDescent="0.25">
      <c r="B34" s="1"/>
    </row>
    <row r="35" spans="2:2" x14ac:dyDescent="0.25">
      <c r="B35" s="3"/>
    </row>
    <row r="36" spans="2:2" x14ac:dyDescent="0.25">
      <c r="B36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Cover</vt:lpstr>
      <vt:lpstr>Solar Dimensioning &amp; Var</vt:lpstr>
      <vt:lpstr>Germany Solar Harvest</vt:lpstr>
      <vt:lpstr>2021 Stuttgart Solar Harvest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KS</dc:creator>
  <cp:keywords/>
  <dc:description/>
  <cp:lastModifiedBy>Microsoft Office User</cp:lastModifiedBy>
  <dcterms:created xsi:type="dcterms:W3CDTF">2021-02-18T10:18:52Z</dcterms:created>
  <dcterms:modified xsi:type="dcterms:W3CDTF">2022-05-07T11:55:55Z</dcterms:modified>
  <cp:category/>
</cp:coreProperties>
</file>