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23 Winter Experience Solar Generator /50 Downloads GitHub/Spreadsheet Tools/"/>
    </mc:Choice>
  </mc:AlternateContent>
  <xr:revisionPtr revIDLastSave="0" documentId="13_ncr:1_{B9342DC0-A117-2642-965A-FAA63F57E6E0}" xr6:coauthVersionLast="47" xr6:coauthVersionMax="47" xr10:uidLastSave="{00000000-0000-0000-0000-000000000000}"/>
  <bookViews>
    <workbookView xWindow="1560" yWindow="500" windowWidth="28900" windowHeight="20720" activeTab="3" xr2:uid="{9F71D7F5-11E0-E741-A832-3CACC62159F1}"/>
  </bookViews>
  <sheets>
    <sheet name="Cover" sheetId="22" r:id="rId1"/>
    <sheet name="1 Pan - Best Case" sheetId="25" r:id="rId2"/>
    <sheet name="2 Pan - Worst Case" sheetId="26" r:id="rId3"/>
    <sheet name="2 Pan - Av Case - 44% Var" sheetId="27" r:id="rId4"/>
    <sheet name="1 Pan - 2021 Data" sheetId="21" r:id="rId5"/>
    <sheet name="2 Pan - 2021 Data" sheetId="28" r:id="rId6"/>
    <sheet name="2 Pan - 30% Unc - 2021 Dat" sheetId="29" r:id="rId7"/>
    <sheet name="2 Bat - 2 Pan - 30% Unc - 2021" sheetId="30" r:id="rId8"/>
    <sheet name="1 Pan - 2021 Data Low Power" sheetId="31" r:id="rId9"/>
    <sheet name="2011-2020 Germany Solar Harvest" sheetId="20" r:id="rId10"/>
    <sheet name="2021 Michaels Data" sheetId="23" r:id="rId11"/>
    <sheet name="2021 SFV Data Stuttgart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" i="31" l="1"/>
  <c r="J105" i="31"/>
  <c r="J89" i="31"/>
  <c r="J88" i="31"/>
  <c r="J84" i="31"/>
  <c r="J82" i="31"/>
  <c r="J86" i="31" s="1"/>
  <c r="J74" i="31"/>
  <c r="J73" i="31"/>
  <c r="O67" i="31"/>
  <c r="O46" i="31"/>
  <c r="O47" i="31" s="1"/>
  <c r="AB43" i="31"/>
  <c r="AC43" i="31" s="1"/>
  <c r="AB41" i="31"/>
  <c r="E40" i="31"/>
  <c r="AC39" i="31"/>
  <c r="AB38" i="31"/>
  <c r="AC38" i="31" s="1"/>
  <c r="AD35" i="31"/>
  <c r="AE35" i="31" s="1"/>
  <c r="AC35" i="31"/>
  <c r="AC33" i="31"/>
  <c r="AD31" i="31"/>
  <c r="AE31" i="31" s="1"/>
  <c r="AC31" i="31"/>
  <c r="AB31" i="31"/>
  <c r="AB30" i="31"/>
  <c r="AD29" i="31"/>
  <c r="AE29" i="31" s="1"/>
  <c r="AC29" i="31"/>
  <c r="AB29" i="31"/>
  <c r="AB28" i="31"/>
  <c r="AC27" i="31"/>
  <c r="AB27" i="31"/>
  <c r="AB39" i="31" s="1"/>
  <c r="AD39" i="31" s="1"/>
  <c r="AE39" i="31" s="1"/>
  <c r="AB26" i="31"/>
  <c r="AC26" i="31" s="1"/>
  <c r="AD25" i="31"/>
  <c r="AE25" i="31" s="1"/>
  <c r="AC25" i="31"/>
  <c r="AB25" i="31"/>
  <c r="AB37" i="31" s="1"/>
  <c r="AC37" i="31" s="1"/>
  <c r="AB24" i="31"/>
  <c r="AC24" i="31" s="1"/>
  <c r="AD23" i="31"/>
  <c r="AE23" i="31" s="1"/>
  <c r="AC23" i="31"/>
  <c r="AB23" i="31"/>
  <c r="AB35" i="31" s="1"/>
  <c r="AB22" i="31"/>
  <c r="AC22" i="31" s="1"/>
  <c r="AD21" i="31"/>
  <c r="AE21" i="31" s="1"/>
  <c r="AC21" i="31"/>
  <c r="AB21" i="31"/>
  <c r="AB33" i="31" s="1"/>
  <c r="AB20" i="31"/>
  <c r="AB32" i="31" s="1"/>
  <c r="AC32" i="31" s="1"/>
  <c r="O20" i="31"/>
  <c r="O19" i="31"/>
  <c r="AH15" i="31"/>
  <c r="J106" i="30"/>
  <c r="J105" i="30"/>
  <c r="J89" i="30"/>
  <c r="J84" i="30"/>
  <c r="J88" i="30" s="1"/>
  <c r="J82" i="30"/>
  <c r="J86" i="30" s="1"/>
  <c r="J74" i="30"/>
  <c r="J73" i="30"/>
  <c r="O47" i="30"/>
  <c r="O46" i="30"/>
  <c r="E40" i="30"/>
  <c r="AC20" i="30" s="1"/>
  <c r="AB37" i="30"/>
  <c r="AD32" i="30"/>
  <c r="AE32" i="30" s="1"/>
  <c r="AB31" i="30"/>
  <c r="AB30" i="30"/>
  <c r="AB42" i="30" s="1"/>
  <c r="AC42" i="30" s="1"/>
  <c r="AB29" i="30"/>
  <c r="AB28" i="30"/>
  <c r="AB40" i="30" s="1"/>
  <c r="AC40" i="30" s="1"/>
  <c r="AB27" i="30"/>
  <c r="AB26" i="30"/>
  <c r="AD25" i="30"/>
  <c r="AE25" i="30" s="1"/>
  <c r="AB25" i="30"/>
  <c r="AC25" i="30" s="1"/>
  <c r="AB24" i="30"/>
  <c r="AB23" i="30"/>
  <c r="AC23" i="30" s="1"/>
  <c r="AB22" i="30"/>
  <c r="AB21" i="30"/>
  <c r="AB33" i="30" s="1"/>
  <c r="AC33" i="30" s="1"/>
  <c r="AB20" i="30"/>
  <c r="AB32" i="30" s="1"/>
  <c r="AC32" i="30" s="1"/>
  <c r="O20" i="30"/>
  <c r="O19" i="30"/>
  <c r="AH15" i="30"/>
  <c r="J106" i="29"/>
  <c r="J105" i="29"/>
  <c r="J89" i="29"/>
  <c r="J88" i="29"/>
  <c r="J84" i="29"/>
  <c r="J82" i="29"/>
  <c r="J86" i="29" s="1"/>
  <c r="J74" i="29"/>
  <c r="J73" i="29"/>
  <c r="O47" i="29"/>
  <c r="O46" i="29"/>
  <c r="AB43" i="29"/>
  <c r="AC43" i="29" s="1"/>
  <c r="E40" i="29"/>
  <c r="AB37" i="29"/>
  <c r="AC37" i="29" s="1"/>
  <c r="AC35" i="29"/>
  <c r="AB35" i="29"/>
  <c r="AB32" i="29"/>
  <c r="AC32" i="29" s="1"/>
  <c r="AB31" i="29"/>
  <c r="AC31" i="29" s="1"/>
  <c r="AB30" i="29"/>
  <c r="AB29" i="29"/>
  <c r="AB41" i="29" s="1"/>
  <c r="AC41" i="29" s="1"/>
  <c r="AB28" i="29"/>
  <c r="AC27" i="29"/>
  <c r="AB27" i="29"/>
  <c r="AB39" i="29" s="1"/>
  <c r="AC39" i="29" s="1"/>
  <c r="AB26" i="29"/>
  <c r="AC25" i="29"/>
  <c r="AB25" i="29"/>
  <c r="AB24" i="29"/>
  <c r="AC24" i="29" s="1"/>
  <c r="AB23" i="29"/>
  <c r="AC23" i="29" s="1"/>
  <c r="AB22" i="29"/>
  <c r="AC22" i="29" s="1"/>
  <c r="AB21" i="29"/>
  <c r="AB33" i="29" s="1"/>
  <c r="AC33" i="29" s="1"/>
  <c r="AC20" i="29"/>
  <c r="AB20" i="29"/>
  <c r="O20" i="29"/>
  <c r="O19" i="29"/>
  <c r="AH15" i="29"/>
  <c r="J106" i="28"/>
  <c r="J105" i="28"/>
  <c r="J89" i="28"/>
  <c r="J86" i="28"/>
  <c r="J91" i="28" s="1"/>
  <c r="J84" i="28"/>
  <c r="J88" i="28" s="1"/>
  <c r="J82" i="28"/>
  <c r="J83" i="28" s="1"/>
  <c r="J87" i="28" s="1"/>
  <c r="J74" i="28"/>
  <c r="J73" i="28"/>
  <c r="O46" i="28"/>
  <c r="O47" i="28" s="1"/>
  <c r="AB42" i="28"/>
  <c r="AC42" i="28" s="1"/>
  <c r="AB40" i="28"/>
  <c r="AC40" i="28" s="1"/>
  <c r="E40" i="28"/>
  <c r="AB31" i="28"/>
  <c r="AB43" i="28" s="1"/>
  <c r="AC43" i="28" s="1"/>
  <c r="AC30" i="28"/>
  <c r="AB30" i="28"/>
  <c r="AB29" i="28"/>
  <c r="AB41" i="28" s="1"/>
  <c r="AC41" i="28" s="1"/>
  <c r="AC28" i="28"/>
  <c r="AB28" i="28"/>
  <c r="AB27" i="28"/>
  <c r="AC27" i="28" s="1"/>
  <c r="AC26" i="28"/>
  <c r="AB26" i="28"/>
  <c r="AB38" i="28" s="1"/>
  <c r="AC38" i="28" s="1"/>
  <c r="AB25" i="28"/>
  <c r="AC25" i="28" s="1"/>
  <c r="AC24" i="28"/>
  <c r="AB24" i="28"/>
  <c r="AB36" i="28" s="1"/>
  <c r="AC36" i="28" s="1"/>
  <c r="AB23" i="28"/>
  <c r="AC23" i="28" s="1"/>
  <c r="AB22" i="28"/>
  <c r="AB34" i="28" s="1"/>
  <c r="AC34" i="28" s="1"/>
  <c r="AB21" i="28"/>
  <c r="AB33" i="28" s="1"/>
  <c r="AC33" i="28" s="1"/>
  <c r="AB20" i="28"/>
  <c r="AB32" i="28" s="1"/>
  <c r="AC32" i="28" s="1"/>
  <c r="O20" i="28"/>
  <c r="O19" i="28"/>
  <c r="AD20" i="28" s="1"/>
  <c r="AE20" i="28" s="1"/>
  <c r="AH15" i="28"/>
  <c r="V21" i="24"/>
  <c r="V20" i="24"/>
  <c r="L23" i="24"/>
  <c r="L11" i="24"/>
  <c r="L12" i="24"/>
  <c r="L13" i="24"/>
  <c r="L14" i="24"/>
  <c r="L15" i="24"/>
  <c r="L16" i="24"/>
  <c r="L17" i="24"/>
  <c r="L18" i="24"/>
  <c r="L19" i="24"/>
  <c r="L20" i="24"/>
  <c r="L21" i="24"/>
  <c r="L10" i="24"/>
  <c r="J10" i="24"/>
  <c r="L19" i="23"/>
  <c r="J19" i="24"/>
  <c r="J10" i="23"/>
  <c r="J106" i="27"/>
  <c r="J105" i="27"/>
  <c r="J89" i="27"/>
  <c r="J84" i="27"/>
  <c r="J88" i="27" s="1"/>
  <c r="J83" i="27"/>
  <c r="J87" i="27" s="1"/>
  <c r="J82" i="27"/>
  <c r="J86" i="27" s="1"/>
  <c r="J74" i="27"/>
  <c r="J73" i="27"/>
  <c r="O47" i="27"/>
  <c r="O46" i="27"/>
  <c r="AB41" i="27"/>
  <c r="AC41" i="27" s="1"/>
  <c r="E40" i="27"/>
  <c r="AB39" i="27"/>
  <c r="AB36" i="27"/>
  <c r="AC36" i="27" s="1"/>
  <c r="AB34" i="27"/>
  <c r="AC34" i="27" s="1"/>
  <c r="AB31" i="27"/>
  <c r="AB43" i="27" s="1"/>
  <c r="AC43" i="27" s="1"/>
  <c r="AB30" i="27"/>
  <c r="AB29" i="27"/>
  <c r="AC29" i="27" s="1"/>
  <c r="AB28" i="27"/>
  <c r="AB27" i="27"/>
  <c r="AC27" i="27" s="1"/>
  <c r="AB26" i="27"/>
  <c r="AC26" i="27" s="1"/>
  <c r="AB25" i="27"/>
  <c r="AB37" i="27" s="1"/>
  <c r="AB24" i="27"/>
  <c r="AC24" i="27" s="1"/>
  <c r="AB23" i="27"/>
  <c r="AC23" i="27" s="1"/>
  <c r="AB22" i="27"/>
  <c r="AC22" i="27" s="1"/>
  <c r="AB21" i="27"/>
  <c r="AB33" i="27" s="1"/>
  <c r="AC33" i="27" s="1"/>
  <c r="AB20" i="27"/>
  <c r="AB32" i="27" s="1"/>
  <c r="O20" i="27"/>
  <c r="O19" i="27"/>
  <c r="O67" i="27" s="1"/>
  <c r="AH15" i="27"/>
  <c r="T32" i="20"/>
  <c r="S32" i="20"/>
  <c r="S34" i="20"/>
  <c r="E34" i="20"/>
  <c r="J106" i="26"/>
  <c r="J105" i="26"/>
  <c r="J89" i="26"/>
  <c r="J88" i="26"/>
  <c r="J84" i="26"/>
  <c r="J83" i="26"/>
  <c r="J87" i="26" s="1"/>
  <c r="J82" i="26"/>
  <c r="J86" i="26" s="1"/>
  <c r="J74" i="26"/>
  <c r="J73" i="26"/>
  <c r="O47" i="26"/>
  <c r="O46" i="26"/>
  <c r="E40" i="26"/>
  <c r="AB31" i="26"/>
  <c r="AB43" i="26" s="1"/>
  <c r="AC43" i="26" s="1"/>
  <c r="AB30" i="26"/>
  <c r="AC29" i="26"/>
  <c r="AB29" i="26"/>
  <c r="AB41" i="26" s="1"/>
  <c r="AC41" i="26" s="1"/>
  <c r="AB28" i="26"/>
  <c r="AB27" i="26"/>
  <c r="AC27" i="26" s="1"/>
  <c r="AB26" i="26"/>
  <c r="AB25" i="26"/>
  <c r="AB37" i="26" s="1"/>
  <c r="AB24" i="26"/>
  <c r="AB23" i="26"/>
  <c r="AB22" i="26"/>
  <c r="AC22" i="26" s="1"/>
  <c r="AB21" i="26"/>
  <c r="AB33" i="26" s="1"/>
  <c r="AC33" i="26" s="1"/>
  <c r="AB20" i="26"/>
  <c r="AB32" i="26" s="1"/>
  <c r="O20" i="26"/>
  <c r="O19" i="26"/>
  <c r="AD29" i="26" s="1"/>
  <c r="AE29" i="26" s="1"/>
  <c r="AH15" i="26"/>
  <c r="J106" i="25"/>
  <c r="J105" i="25"/>
  <c r="J89" i="25"/>
  <c r="J84" i="25"/>
  <c r="J88" i="25" s="1"/>
  <c r="J83" i="25"/>
  <c r="J87" i="25" s="1"/>
  <c r="J82" i="25"/>
  <c r="J86" i="25" s="1"/>
  <c r="J74" i="25"/>
  <c r="J73" i="25"/>
  <c r="O47" i="25"/>
  <c r="O46" i="25"/>
  <c r="E40" i="25"/>
  <c r="AB31" i="25"/>
  <c r="AB43" i="25" s="1"/>
  <c r="AB30" i="25"/>
  <c r="AB29" i="25"/>
  <c r="AB41" i="25" s="1"/>
  <c r="AB28" i="25"/>
  <c r="AB27" i="25"/>
  <c r="AB26" i="25"/>
  <c r="AC26" i="25" s="1"/>
  <c r="AB25" i="25"/>
  <c r="AB37" i="25" s="1"/>
  <c r="AB24" i="25"/>
  <c r="AB23" i="25"/>
  <c r="AB35" i="25" s="1"/>
  <c r="AB22" i="25"/>
  <c r="AB34" i="25" s="1"/>
  <c r="AB21" i="25"/>
  <c r="AB20" i="25"/>
  <c r="AB32" i="25" s="1"/>
  <c r="O20" i="25"/>
  <c r="O19" i="25"/>
  <c r="O67" i="25" s="1"/>
  <c r="AH15" i="25"/>
  <c r="E36" i="20"/>
  <c r="F36" i="20"/>
  <c r="G36" i="20"/>
  <c r="P36" i="20" s="1"/>
  <c r="H36" i="20"/>
  <c r="T36" i="20" s="1"/>
  <c r="I36" i="20"/>
  <c r="J36" i="20"/>
  <c r="K36" i="20"/>
  <c r="L36" i="20"/>
  <c r="M36" i="20"/>
  <c r="E38" i="20"/>
  <c r="F38" i="20"/>
  <c r="P38" i="20" s="1"/>
  <c r="G38" i="20"/>
  <c r="T38" i="20" s="1"/>
  <c r="H38" i="20"/>
  <c r="I38" i="20"/>
  <c r="J38" i="20"/>
  <c r="K38" i="20"/>
  <c r="L38" i="20"/>
  <c r="M38" i="20"/>
  <c r="E40" i="20"/>
  <c r="P40" i="20" s="1"/>
  <c r="F40" i="20"/>
  <c r="T40" i="20" s="1"/>
  <c r="G40" i="20"/>
  <c r="H40" i="20"/>
  <c r="I40" i="20"/>
  <c r="J40" i="20"/>
  <c r="K40" i="20"/>
  <c r="L40" i="20"/>
  <c r="M40" i="20"/>
  <c r="D40" i="20"/>
  <c r="D38" i="20"/>
  <c r="D36" i="20"/>
  <c r="S40" i="20"/>
  <c r="S38" i="20"/>
  <c r="S36" i="20"/>
  <c r="J20" i="24"/>
  <c r="V13" i="24"/>
  <c r="V14" i="24"/>
  <c r="V15" i="24"/>
  <c r="V16" i="24"/>
  <c r="V17" i="24"/>
  <c r="V18" i="24"/>
  <c r="V19" i="24"/>
  <c r="V12" i="24"/>
  <c r="S13" i="23"/>
  <c r="S14" i="23"/>
  <c r="S15" i="23"/>
  <c r="S16" i="23"/>
  <c r="S17" i="23"/>
  <c r="S18" i="23"/>
  <c r="S12" i="23"/>
  <c r="R23" i="24"/>
  <c r="F23" i="24"/>
  <c r="D23" i="24"/>
  <c r="T21" i="24"/>
  <c r="J21" i="24"/>
  <c r="T20" i="24"/>
  <c r="J18" i="24"/>
  <c r="J17" i="24"/>
  <c r="J16" i="24"/>
  <c r="J15" i="24"/>
  <c r="J14" i="24"/>
  <c r="J13" i="24"/>
  <c r="J12" i="24"/>
  <c r="V11" i="24"/>
  <c r="J11" i="24"/>
  <c r="S20" i="20"/>
  <c r="T20" i="20"/>
  <c r="S21" i="20"/>
  <c r="T21" i="20"/>
  <c r="S22" i="20"/>
  <c r="T22" i="20"/>
  <c r="S23" i="20"/>
  <c r="T23" i="20"/>
  <c r="S24" i="20"/>
  <c r="T24" i="20"/>
  <c r="S25" i="20"/>
  <c r="T25" i="20"/>
  <c r="S26" i="20"/>
  <c r="T26" i="20"/>
  <c r="S27" i="20"/>
  <c r="T27" i="20"/>
  <c r="S28" i="20"/>
  <c r="T28" i="20"/>
  <c r="S29" i="20"/>
  <c r="T29" i="20"/>
  <c r="S30" i="20"/>
  <c r="T30" i="20"/>
  <c r="T19" i="20"/>
  <c r="S19" i="20"/>
  <c r="S21" i="23"/>
  <c r="S20" i="23"/>
  <c r="S11" i="23"/>
  <c r="S19" i="23"/>
  <c r="S10" i="23"/>
  <c r="O23" i="23"/>
  <c r="F23" i="23"/>
  <c r="D23" i="23"/>
  <c r="L20" i="23"/>
  <c r="Q20" i="23" s="1"/>
  <c r="L21" i="23"/>
  <c r="Q21" i="23" s="1"/>
  <c r="AB30" i="21"/>
  <c r="AB42" i="21" s="1"/>
  <c r="AB26" i="21"/>
  <c r="AB38" i="21" s="1"/>
  <c r="AB22" i="21"/>
  <c r="AB34" i="21" s="1"/>
  <c r="L10" i="23"/>
  <c r="Q10" i="23" s="1"/>
  <c r="L11" i="23"/>
  <c r="Q11" i="23" s="1"/>
  <c r="L12" i="23"/>
  <c r="Q12" i="23" s="1"/>
  <c r="L13" i="23"/>
  <c r="Q13" i="23" s="1"/>
  <c r="L14" i="23"/>
  <c r="Q14" i="23" s="1"/>
  <c r="L15" i="23"/>
  <c r="Q15" i="23" s="1"/>
  <c r="L16" i="23"/>
  <c r="Q16" i="23" s="1"/>
  <c r="L17" i="23"/>
  <c r="Q17" i="23" s="1"/>
  <c r="L18" i="23"/>
  <c r="Q18" i="23" s="1"/>
  <c r="Q19" i="23"/>
  <c r="J11" i="23"/>
  <c r="J12" i="23"/>
  <c r="J13" i="23"/>
  <c r="J14" i="23"/>
  <c r="J15" i="23"/>
  <c r="J16" i="23"/>
  <c r="J17" i="23"/>
  <c r="J18" i="23"/>
  <c r="J19" i="23"/>
  <c r="J20" i="23"/>
  <c r="J21" i="23"/>
  <c r="AB29" i="21"/>
  <c r="AB41" i="21" s="1"/>
  <c r="AB28" i="21"/>
  <c r="AB40" i="21" s="1"/>
  <c r="AB25" i="21"/>
  <c r="AB37" i="21" s="1"/>
  <c r="AB24" i="21"/>
  <c r="AB36" i="21" s="1"/>
  <c r="AB21" i="21"/>
  <c r="AB20" i="21"/>
  <c r="AB32" i="21" s="1"/>
  <c r="AH15" i="21"/>
  <c r="J106" i="21"/>
  <c r="J105" i="21"/>
  <c r="J89" i="21"/>
  <c r="J84" i="21"/>
  <c r="J88" i="21" s="1"/>
  <c r="J82" i="21"/>
  <c r="J83" i="21" s="1"/>
  <c r="J87" i="21" s="1"/>
  <c r="J74" i="21"/>
  <c r="J73" i="21"/>
  <c r="O46" i="21"/>
  <c r="O47" i="21" s="1"/>
  <c r="AB31" i="21"/>
  <c r="AB27" i="21"/>
  <c r="AB23" i="21"/>
  <c r="AB35" i="21" s="1"/>
  <c r="O20" i="21"/>
  <c r="O19" i="21"/>
  <c r="M34" i="20"/>
  <c r="J83" i="31" l="1"/>
  <c r="J87" i="31" s="1"/>
  <c r="AB40" i="31"/>
  <c r="AC28" i="31"/>
  <c r="AB42" i="31"/>
  <c r="AC42" i="31" s="1"/>
  <c r="AC30" i="31"/>
  <c r="AB34" i="31"/>
  <c r="AC34" i="31" s="1"/>
  <c r="AC20" i="31"/>
  <c r="AD43" i="31"/>
  <c r="AE43" i="31" s="1"/>
  <c r="AD41" i="31"/>
  <c r="AE41" i="31" s="1"/>
  <c r="AD38" i="31"/>
  <c r="AE38" i="31" s="1"/>
  <c r="AD34" i="31"/>
  <c r="AE34" i="31" s="1"/>
  <c r="AD32" i="31"/>
  <c r="AE32" i="31" s="1"/>
  <c r="AD30" i="31"/>
  <c r="AE30" i="31" s="1"/>
  <c r="AD28" i="31"/>
  <c r="AE28" i="31" s="1"/>
  <c r="AD26" i="31"/>
  <c r="AE26" i="31" s="1"/>
  <c r="AD24" i="31"/>
  <c r="AE24" i="31" s="1"/>
  <c r="AD22" i="31"/>
  <c r="AE22" i="31" s="1"/>
  <c r="AD20" i="31"/>
  <c r="AE20" i="31" s="1"/>
  <c r="AD27" i="31"/>
  <c r="AE27" i="31" s="1"/>
  <c r="AD33" i="31"/>
  <c r="AE33" i="31" s="1"/>
  <c r="AB36" i="31"/>
  <c r="AC36" i="31" s="1"/>
  <c r="AD37" i="31"/>
  <c r="AE37" i="31" s="1"/>
  <c r="AC41" i="31"/>
  <c r="J91" i="31"/>
  <c r="AC37" i="30"/>
  <c r="AC27" i="30"/>
  <c r="AC24" i="30"/>
  <c r="AB36" i="30"/>
  <c r="AC36" i="30" s="1"/>
  <c r="AD39" i="30"/>
  <c r="AE39" i="30" s="1"/>
  <c r="AD37" i="30"/>
  <c r="AE37" i="30" s="1"/>
  <c r="AD33" i="30"/>
  <c r="AE33" i="30" s="1"/>
  <c r="AD31" i="30"/>
  <c r="AE31" i="30" s="1"/>
  <c r="AD29" i="30"/>
  <c r="AE29" i="30" s="1"/>
  <c r="AD27" i="30"/>
  <c r="AE27" i="30" s="1"/>
  <c r="O67" i="30"/>
  <c r="AD42" i="30"/>
  <c r="AE42" i="30" s="1"/>
  <c r="AD40" i="30"/>
  <c r="AE40" i="30" s="1"/>
  <c r="AD24" i="30"/>
  <c r="AE24" i="30" s="1"/>
  <c r="AD28" i="30"/>
  <c r="AE28" i="30" s="1"/>
  <c r="AD30" i="30"/>
  <c r="AE30" i="30" s="1"/>
  <c r="AB41" i="30"/>
  <c r="AC41" i="30" s="1"/>
  <c r="AC29" i="30"/>
  <c r="AB43" i="30"/>
  <c r="AC43" i="30" s="1"/>
  <c r="AC31" i="30"/>
  <c r="AB39" i="30"/>
  <c r="AC39" i="30" s="1"/>
  <c r="AD20" i="30"/>
  <c r="AE20" i="30" s="1"/>
  <c r="AD38" i="30"/>
  <c r="AE38" i="30" s="1"/>
  <c r="AC21" i="30"/>
  <c r="AC22" i="30"/>
  <c r="AB34" i="30"/>
  <c r="AC34" i="30" s="1"/>
  <c r="AD23" i="30"/>
  <c r="AE23" i="30" s="1"/>
  <c r="AC26" i="30"/>
  <c r="AB38" i="30"/>
  <c r="AC38" i="30" s="1"/>
  <c r="AB35" i="30"/>
  <c r="AC35" i="30" s="1"/>
  <c r="AD36" i="30"/>
  <c r="AE36" i="30" s="1"/>
  <c r="AD21" i="30"/>
  <c r="AE21" i="30" s="1"/>
  <c r="AD22" i="30"/>
  <c r="AE22" i="30" s="1"/>
  <c r="AD26" i="30"/>
  <c r="AE26" i="30" s="1"/>
  <c r="J83" i="30"/>
  <c r="J87" i="30" s="1"/>
  <c r="J91" i="30" s="1"/>
  <c r="AC28" i="30"/>
  <c r="AC30" i="30"/>
  <c r="AD23" i="29"/>
  <c r="AE23" i="29" s="1"/>
  <c r="AD28" i="29"/>
  <c r="AE28" i="29" s="1"/>
  <c r="AB42" i="29"/>
  <c r="AC42" i="29" s="1"/>
  <c r="AC30" i="29"/>
  <c r="AD31" i="29"/>
  <c r="AE31" i="29" s="1"/>
  <c r="AD36" i="29"/>
  <c r="AE36" i="29" s="1"/>
  <c r="AD20" i="29"/>
  <c r="AE20" i="29" s="1"/>
  <c r="AD25" i="29"/>
  <c r="AE25" i="29" s="1"/>
  <c r="J91" i="29"/>
  <c r="AD43" i="29"/>
  <c r="AE43" i="29" s="1"/>
  <c r="AD41" i="29"/>
  <c r="AE41" i="29" s="1"/>
  <c r="AD39" i="29"/>
  <c r="AE39" i="29" s="1"/>
  <c r="AD37" i="29"/>
  <c r="AE37" i="29" s="1"/>
  <c r="AD22" i="29"/>
  <c r="AE22" i="29" s="1"/>
  <c r="AD30" i="29"/>
  <c r="AE30" i="29" s="1"/>
  <c r="AD33" i="29"/>
  <c r="AE33" i="29" s="1"/>
  <c r="AC21" i="29"/>
  <c r="AD24" i="29"/>
  <c r="AE24" i="29" s="1"/>
  <c r="AC26" i="29"/>
  <c r="AB38" i="29"/>
  <c r="AC38" i="29" s="1"/>
  <c r="AD27" i="29"/>
  <c r="AE27" i="29" s="1"/>
  <c r="AC29" i="29"/>
  <c r="AD32" i="29"/>
  <c r="AE32" i="29" s="1"/>
  <c r="AB34" i="29"/>
  <c r="AC34" i="29" s="1"/>
  <c r="AD35" i="29"/>
  <c r="AE35" i="29" s="1"/>
  <c r="O67" i="29"/>
  <c r="J83" i="29"/>
  <c r="J87" i="29" s="1"/>
  <c r="AD21" i="29"/>
  <c r="AE21" i="29" s="1"/>
  <c r="AD26" i="29"/>
  <c r="AE26" i="29" s="1"/>
  <c r="AB40" i="29"/>
  <c r="AC40" i="29" s="1"/>
  <c r="AC28" i="29"/>
  <c r="AD29" i="29"/>
  <c r="AE29" i="29" s="1"/>
  <c r="AD34" i="29"/>
  <c r="AE34" i="29" s="1"/>
  <c r="AB36" i="29"/>
  <c r="AC36" i="29" s="1"/>
  <c r="AD42" i="29"/>
  <c r="AE42" i="29" s="1"/>
  <c r="AD21" i="28"/>
  <c r="AE21" i="28" s="1"/>
  <c r="J101" i="28"/>
  <c r="J96" i="28"/>
  <c r="J94" i="28"/>
  <c r="J99" i="28" s="1"/>
  <c r="J93" i="28"/>
  <c r="J92" i="28"/>
  <c r="AC20" i="28"/>
  <c r="AC22" i="28"/>
  <c r="AD43" i="28"/>
  <c r="AE43" i="28" s="1"/>
  <c r="AD41" i="28"/>
  <c r="AE41" i="28" s="1"/>
  <c r="AD33" i="28"/>
  <c r="AE33" i="28" s="1"/>
  <c r="AD31" i="28"/>
  <c r="AE31" i="28" s="1"/>
  <c r="AD29" i="28"/>
  <c r="AE29" i="28" s="1"/>
  <c r="AD27" i="28"/>
  <c r="AE27" i="28" s="1"/>
  <c r="AD25" i="28"/>
  <c r="AE25" i="28" s="1"/>
  <c r="AD23" i="28"/>
  <c r="AE23" i="28" s="1"/>
  <c r="O67" i="28"/>
  <c r="AD42" i="28"/>
  <c r="AE42" i="28" s="1"/>
  <c r="AD40" i="28"/>
  <c r="AE40" i="28" s="1"/>
  <c r="AD38" i="28"/>
  <c r="AE38" i="28" s="1"/>
  <c r="AD36" i="28"/>
  <c r="AE36" i="28" s="1"/>
  <c r="AD34" i="28"/>
  <c r="AE34" i="28" s="1"/>
  <c r="AD32" i="28"/>
  <c r="AE32" i="28" s="1"/>
  <c r="AD30" i="28"/>
  <c r="AE30" i="28" s="1"/>
  <c r="AD28" i="28"/>
  <c r="AE28" i="28" s="1"/>
  <c r="AD26" i="28"/>
  <c r="AE26" i="28" s="1"/>
  <c r="AD24" i="28"/>
  <c r="AE24" i="28" s="1"/>
  <c r="AC21" i="28"/>
  <c r="AD22" i="28"/>
  <c r="AE22" i="28" s="1"/>
  <c r="AB35" i="28"/>
  <c r="AC35" i="28" s="1"/>
  <c r="AB37" i="28"/>
  <c r="AC37" i="28" s="1"/>
  <c r="AB39" i="28"/>
  <c r="AC39" i="28" s="1"/>
  <c r="AC29" i="28"/>
  <c r="AC31" i="28"/>
  <c r="AD29" i="27"/>
  <c r="AE29" i="27" s="1"/>
  <c r="AD21" i="27"/>
  <c r="AE21" i="27" s="1"/>
  <c r="AD24" i="27"/>
  <c r="AE24" i="27" s="1"/>
  <c r="AD27" i="27"/>
  <c r="AE27" i="27" s="1"/>
  <c r="AD39" i="27"/>
  <c r="AE39" i="27" s="1"/>
  <c r="AC21" i="27"/>
  <c r="AC32" i="27"/>
  <c r="AD32" i="27"/>
  <c r="AE32" i="27" s="1"/>
  <c r="AD37" i="27"/>
  <c r="AE37" i="27" s="1"/>
  <c r="AC37" i="27"/>
  <c r="AD26" i="27"/>
  <c r="AE26" i="27" s="1"/>
  <c r="AB40" i="27"/>
  <c r="AC28" i="27"/>
  <c r="AC31" i="27"/>
  <c r="AD34" i="27"/>
  <c r="AE34" i="27" s="1"/>
  <c r="AC39" i="27"/>
  <c r="AC20" i="27"/>
  <c r="AD23" i="27"/>
  <c r="AE23" i="27" s="1"/>
  <c r="AD28" i="27"/>
  <c r="AE28" i="27" s="1"/>
  <c r="AB35" i="27"/>
  <c r="AD36" i="27"/>
  <c r="AE36" i="27" s="1"/>
  <c r="AC25" i="27"/>
  <c r="AB42" i="27"/>
  <c r="AC30" i="27"/>
  <c r="AD31" i="27"/>
  <c r="AE31" i="27" s="1"/>
  <c r="AB38" i="27"/>
  <c r="AC38" i="27" s="1"/>
  <c r="AD43" i="27"/>
  <c r="AE43" i="27" s="1"/>
  <c r="AD41" i="27"/>
  <c r="AE41" i="27" s="1"/>
  <c r="AD20" i="27"/>
  <c r="AE20" i="27" s="1"/>
  <c r="AD22" i="27"/>
  <c r="AE22" i="27" s="1"/>
  <c r="AD25" i="27"/>
  <c r="AE25" i="27" s="1"/>
  <c r="AD30" i="27"/>
  <c r="AE30" i="27" s="1"/>
  <c r="AD33" i="27"/>
  <c r="AE33" i="27" s="1"/>
  <c r="AD38" i="27"/>
  <c r="AE38" i="27" s="1"/>
  <c r="J91" i="27"/>
  <c r="AD23" i="26"/>
  <c r="AE23" i="26" s="1"/>
  <c r="O67" i="26"/>
  <c r="AB34" i="26"/>
  <c r="AC34" i="26" s="1"/>
  <c r="AB39" i="26"/>
  <c r="AC39" i="26" s="1"/>
  <c r="AC21" i="26"/>
  <c r="AC37" i="26"/>
  <c r="AD21" i="25"/>
  <c r="AE21" i="25" s="1"/>
  <c r="AD21" i="26"/>
  <c r="AE21" i="26" s="1"/>
  <c r="AD24" i="26"/>
  <c r="AE24" i="26" s="1"/>
  <c r="AD27" i="26"/>
  <c r="AE27" i="26" s="1"/>
  <c r="AC27" i="25"/>
  <c r="AC43" i="25"/>
  <c r="AC24" i="25"/>
  <c r="AC41" i="25"/>
  <c r="AB39" i="25"/>
  <c r="AD39" i="25" s="1"/>
  <c r="AE39" i="25" s="1"/>
  <c r="AD29" i="25"/>
  <c r="AE29" i="25" s="1"/>
  <c r="AC21" i="25"/>
  <c r="AC29" i="25"/>
  <c r="AB33" i="25"/>
  <c r="AC33" i="25" s="1"/>
  <c r="AD24" i="25"/>
  <c r="AE24" i="25" s="1"/>
  <c r="AD27" i="25"/>
  <c r="AE27" i="25" s="1"/>
  <c r="AC34" i="25"/>
  <c r="AC22" i="25"/>
  <c r="AB36" i="25"/>
  <c r="AC36" i="25" s="1"/>
  <c r="AC32" i="26"/>
  <c r="AD32" i="26"/>
  <c r="AE32" i="26" s="1"/>
  <c r="AC26" i="26"/>
  <c r="AB38" i="26"/>
  <c r="AC38" i="26" s="1"/>
  <c r="AD26" i="26"/>
  <c r="AE26" i="26" s="1"/>
  <c r="AB40" i="26"/>
  <c r="AC40" i="26" s="1"/>
  <c r="AC28" i="26"/>
  <c r="AC31" i="26"/>
  <c r="AD34" i="26"/>
  <c r="AE34" i="26" s="1"/>
  <c r="AB35" i="26"/>
  <c r="AC35" i="26" s="1"/>
  <c r="AC25" i="26"/>
  <c r="AD31" i="26"/>
  <c r="AE31" i="26" s="1"/>
  <c r="AC23" i="26"/>
  <c r="AC20" i="26"/>
  <c r="AD28" i="26"/>
  <c r="AE28" i="26" s="1"/>
  <c r="AB42" i="26"/>
  <c r="AC30" i="26"/>
  <c r="AD43" i="26"/>
  <c r="AE43" i="26" s="1"/>
  <c r="AD41" i="26"/>
  <c r="AE41" i="26" s="1"/>
  <c r="AD39" i="26"/>
  <c r="AE39" i="26" s="1"/>
  <c r="AD37" i="26"/>
  <c r="AE37" i="26" s="1"/>
  <c r="AD35" i="26"/>
  <c r="AE35" i="26" s="1"/>
  <c r="AD20" i="26"/>
  <c r="AE20" i="26" s="1"/>
  <c r="AD22" i="26"/>
  <c r="AE22" i="26" s="1"/>
  <c r="AC24" i="26"/>
  <c r="AB36" i="26"/>
  <c r="AD25" i="26"/>
  <c r="AE25" i="26" s="1"/>
  <c r="AD30" i="26"/>
  <c r="AE30" i="26" s="1"/>
  <c r="AD33" i="26"/>
  <c r="AE33" i="26" s="1"/>
  <c r="AD38" i="26"/>
  <c r="AE38" i="26" s="1"/>
  <c r="J91" i="26"/>
  <c r="AC32" i="25"/>
  <c r="AD32" i="25"/>
  <c r="AE32" i="25" s="1"/>
  <c r="AD37" i="25"/>
  <c r="AE37" i="25" s="1"/>
  <c r="AC37" i="25"/>
  <c r="AC35" i="25"/>
  <c r="AD35" i="25"/>
  <c r="AE35" i="25" s="1"/>
  <c r="AB40" i="25"/>
  <c r="AC28" i="25"/>
  <c r="AC39" i="25"/>
  <c r="AC23" i="25"/>
  <c r="AD26" i="25"/>
  <c r="AE26" i="25" s="1"/>
  <c r="AC31" i="25"/>
  <c r="AD34" i="25"/>
  <c r="AE34" i="25" s="1"/>
  <c r="AC20" i="25"/>
  <c r="AD23" i="25"/>
  <c r="AE23" i="25" s="1"/>
  <c r="AC25" i="25"/>
  <c r="AD28" i="25"/>
  <c r="AE28" i="25" s="1"/>
  <c r="AB42" i="25"/>
  <c r="AC30" i="25"/>
  <c r="AD31" i="25"/>
  <c r="AE31" i="25" s="1"/>
  <c r="AD36" i="25"/>
  <c r="AE36" i="25" s="1"/>
  <c r="AB38" i="25"/>
  <c r="AC38" i="25" s="1"/>
  <c r="AD43" i="25"/>
  <c r="AE43" i="25" s="1"/>
  <c r="AD41" i="25"/>
  <c r="AE41" i="25" s="1"/>
  <c r="AD20" i="25"/>
  <c r="AE20" i="25" s="1"/>
  <c r="AD22" i="25"/>
  <c r="AE22" i="25" s="1"/>
  <c r="AD25" i="25"/>
  <c r="AE25" i="25" s="1"/>
  <c r="AD30" i="25"/>
  <c r="AE30" i="25" s="1"/>
  <c r="J91" i="25"/>
  <c r="Q36" i="20"/>
  <c r="U36" i="20"/>
  <c r="O36" i="20"/>
  <c r="O38" i="20"/>
  <c r="V38" i="20" s="1"/>
  <c r="O40" i="20"/>
  <c r="V40" i="20" s="1"/>
  <c r="U38" i="20"/>
  <c r="Q38" i="20"/>
  <c r="V36" i="20"/>
  <c r="J23" i="24"/>
  <c r="O23" i="24"/>
  <c r="T10" i="24"/>
  <c r="T11" i="24"/>
  <c r="T12" i="24"/>
  <c r="T13" i="24"/>
  <c r="T14" i="24"/>
  <c r="T15" i="24"/>
  <c r="T16" i="24"/>
  <c r="T17" i="24"/>
  <c r="T18" i="24"/>
  <c r="T19" i="24"/>
  <c r="V10" i="24"/>
  <c r="V24" i="20"/>
  <c r="U24" i="20"/>
  <c r="J23" i="23"/>
  <c r="Q23" i="23"/>
  <c r="L23" i="23"/>
  <c r="E40" i="21"/>
  <c r="AC35" i="21" s="1"/>
  <c r="AD32" i="21"/>
  <c r="AE32" i="21" s="1"/>
  <c r="AB33" i="21"/>
  <c r="AD41" i="21"/>
  <c r="AE41" i="21" s="1"/>
  <c r="AD20" i="21"/>
  <c r="AE20" i="21" s="1"/>
  <c r="AD24" i="21"/>
  <c r="AE24" i="21" s="1"/>
  <c r="AD34" i="21"/>
  <c r="AE34" i="21" s="1"/>
  <c r="AB39" i="21"/>
  <c r="AB43" i="21"/>
  <c r="AD37" i="21"/>
  <c r="AE37" i="21" s="1"/>
  <c r="AD35" i="21"/>
  <c r="AE35" i="21" s="1"/>
  <c r="AD31" i="21"/>
  <c r="AE31" i="21" s="1"/>
  <c r="AD29" i="21"/>
  <c r="AE29" i="21" s="1"/>
  <c r="AD27" i="21"/>
  <c r="AE27" i="21" s="1"/>
  <c r="AD25" i="21"/>
  <c r="AE25" i="21" s="1"/>
  <c r="AD23" i="21"/>
  <c r="AE23" i="21" s="1"/>
  <c r="AD21" i="21"/>
  <c r="AE21" i="21" s="1"/>
  <c r="O67" i="21"/>
  <c r="AD28" i="21"/>
  <c r="AE28" i="21" s="1"/>
  <c r="AD36" i="21"/>
  <c r="AE36" i="21" s="1"/>
  <c r="AD40" i="21"/>
  <c r="AE40" i="21" s="1"/>
  <c r="J86" i="21"/>
  <c r="J91" i="21" s="1"/>
  <c r="AD22" i="21"/>
  <c r="AE22" i="21" s="1"/>
  <c r="AD26" i="21"/>
  <c r="AE26" i="21" s="1"/>
  <c r="AD30" i="21"/>
  <c r="AE30" i="21" s="1"/>
  <c r="AD38" i="21"/>
  <c r="AE38" i="21" s="1"/>
  <c r="AD42" i="21"/>
  <c r="AE42" i="21" s="1"/>
  <c r="I34" i="20"/>
  <c r="L34" i="20"/>
  <c r="H34" i="20"/>
  <c r="K34" i="20"/>
  <c r="G34" i="20"/>
  <c r="J34" i="20"/>
  <c r="F34" i="20"/>
  <c r="D34" i="20"/>
  <c r="P29" i="20"/>
  <c r="P25" i="20"/>
  <c r="P21" i="20"/>
  <c r="P30" i="20"/>
  <c r="P28" i="20"/>
  <c r="P27" i="20"/>
  <c r="P26" i="20"/>
  <c r="P24" i="20"/>
  <c r="P23" i="20"/>
  <c r="P22" i="20"/>
  <c r="P20" i="20"/>
  <c r="O19" i="20"/>
  <c r="U19" i="20" s="1"/>
  <c r="P19" i="20"/>
  <c r="O25" i="20"/>
  <c r="U25" i="20" s="1"/>
  <c r="O29" i="20"/>
  <c r="V29" i="20" s="1"/>
  <c r="O21" i="20"/>
  <c r="V21" i="20" s="1"/>
  <c r="O30" i="20"/>
  <c r="U30" i="20" s="1"/>
  <c r="O28" i="20"/>
  <c r="V28" i="20" s="1"/>
  <c r="O26" i="20"/>
  <c r="O24" i="20"/>
  <c r="O22" i="20"/>
  <c r="U22" i="20" s="1"/>
  <c r="O20" i="20"/>
  <c r="V20" i="20" s="1"/>
  <c r="O27" i="20"/>
  <c r="O23" i="20"/>
  <c r="U23" i="20" s="1"/>
  <c r="J101" i="31" l="1"/>
  <c r="J96" i="31"/>
  <c r="J94" i="31"/>
  <c r="J99" i="31" s="1"/>
  <c r="J92" i="31"/>
  <c r="J93" i="31"/>
  <c r="AD36" i="31"/>
  <c r="AE36" i="31" s="1"/>
  <c r="AD42" i="31"/>
  <c r="AE42" i="31" s="1"/>
  <c r="AC40" i="31"/>
  <c r="AD40" i="31"/>
  <c r="AE40" i="31" s="1"/>
  <c r="J101" i="30"/>
  <c r="J96" i="30"/>
  <c r="J94" i="30"/>
  <c r="J99" i="30" s="1"/>
  <c r="J93" i="30"/>
  <c r="J92" i="30"/>
  <c r="AD34" i="30"/>
  <c r="AE34" i="30" s="1"/>
  <c r="AD41" i="30"/>
  <c r="AE41" i="30" s="1"/>
  <c r="AD35" i="30"/>
  <c r="AE35" i="30" s="1"/>
  <c r="AD43" i="30"/>
  <c r="AE43" i="30" s="1"/>
  <c r="J101" i="29"/>
  <c r="J96" i="29"/>
  <c r="J94" i="29"/>
  <c r="J99" i="29" s="1"/>
  <c r="J92" i="29"/>
  <c r="J93" i="29"/>
  <c r="AD38" i="29"/>
  <c r="AE38" i="29" s="1"/>
  <c r="AD40" i="29"/>
  <c r="AE40" i="29" s="1"/>
  <c r="AI30" i="28"/>
  <c r="AG38" i="28"/>
  <c r="AI38" i="28"/>
  <c r="AG23" i="28"/>
  <c r="AI23" i="28"/>
  <c r="AI31" i="28"/>
  <c r="AD39" i="28"/>
  <c r="AE39" i="28" s="1"/>
  <c r="AG24" i="28"/>
  <c r="AI32" i="28"/>
  <c r="AI40" i="28"/>
  <c r="AH40" i="28"/>
  <c r="AG25" i="28"/>
  <c r="AI25" i="28"/>
  <c r="AI33" i="28"/>
  <c r="AH41" i="28"/>
  <c r="J112" i="28"/>
  <c r="J102" i="28"/>
  <c r="J97" i="28"/>
  <c r="AD35" i="28"/>
  <c r="AE35" i="28" s="1"/>
  <c r="AF42" i="28"/>
  <c r="AI42" i="28" s="1"/>
  <c r="AF40" i="28"/>
  <c r="AG40" i="28" s="1"/>
  <c r="AF38" i="28"/>
  <c r="AH38" i="28" s="1"/>
  <c r="AF36" i="28"/>
  <c r="AG36" i="28" s="1"/>
  <c r="AF34" i="28"/>
  <c r="AG34" i="28" s="1"/>
  <c r="AF32" i="28"/>
  <c r="AH32" i="28" s="1"/>
  <c r="AF30" i="28"/>
  <c r="AH30" i="28" s="1"/>
  <c r="AF28" i="28"/>
  <c r="AG28" i="28" s="1"/>
  <c r="AF26" i="28"/>
  <c r="AI26" i="28" s="1"/>
  <c r="AF24" i="28"/>
  <c r="AI24" i="28" s="1"/>
  <c r="AF22" i="28"/>
  <c r="J98" i="28"/>
  <c r="AF43" i="28"/>
  <c r="AH43" i="28" s="1"/>
  <c r="AF41" i="28"/>
  <c r="AG41" i="28" s="1"/>
  <c r="AF39" i="28"/>
  <c r="AF37" i="28"/>
  <c r="AF35" i="28"/>
  <c r="AF33" i="28"/>
  <c r="AH33" i="28" s="1"/>
  <c r="AF31" i="28"/>
  <c r="AH31" i="28" s="1"/>
  <c r="AF29" i="28"/>
  <c r="AH29" i="28" s="1"/>
  <c r="AF27" i="28"/>
  <c r="AH27" i="28" s="1"/>
  <c r="AF25" i="28"/>
  <c r="AH25" i="28" s="1"/>
  <c r="AF23" i="28"/>
  <c r="AH23" i="28" s="1"/>
  <c r="AF20" i="28"/>
  <c r="AF21" i="28"/>
  <c r="AI22" i="28"/>
  <c r="AG22" i="28"/>
  <c r="AH22" i="28"/>
  <c r="AI28" i="28"/>
  <c r="AH28" i="28"/>
  <c r="AI36" i="28"/>
  <c r="AH36" i="28"/>
  <c r="AI29" i="28"/>
  <c r="AD37" i="28"/>
  <c r="AE37" i="28" s="1"/>
  <c r="AD42" i="27"/>
  <c r="AE42" i="27" s="1"/>
  <c r="AC42" i="27"/>
  <c r="J101" i="27"/>
  <c r="J96" i="27"/>
  <c r="J94" i="27"/>
  <c r="J99" i="27" s="1"/>
  <c r="J93" i="27"/>
  <c r="J92" i="27"/>
  <c r="AC35" i="27"/>
  <c r="AD35" i="27"/>
  <c r="AE35" i="27" s="1"/>
  <c r="AD40" i="27"/>
  <c r="AE40" i="27" s="1"/>
  <c r="AC40" i="27"/>
  <c r="AD40" i="26"/>
  <c r="AE40" i="26" s="1"/>
  <c r="AD33" i="25"/>
  <c r="AE33" i="25" s="1"/>
  <c r="AD42" i="26"/>
  <c r="AE42" i="26" s="1"/>
  <c r="AC42" i="26"/>
  <c r="J101" i="26"/>
  <c r="J96" i="26"/>
  <c r="J94" i="26"/>
  <c r="J99" i="26" s="1"/>
  <c r="J93" i="26"/>
  <c r="J92" i="26"/>
  <c r="AC36" i="26"/>
  <c r="AD36" i="26"/>
  <c r="AE36" i="26" s="1"/>
  <c r="AD42" i="25"/>
  <c r="AE42" i="25" s="1"/>
  <c r="AC42" i="25"/>
  <c r="AD38" i="25"/>
  <c r="AE38" i="25" s="1"/>
  <c r="AD40" i="25"/>
  <c r="AE40" i="25" s="1"/>
  <c r="AC40" i="25"/>
  <c r="J101" i="25"/>
  <c r="J96" i="25"/>
  <c r="J94" i="25"/>
  <c r="J99" i="25" s="1"/>
  <c r="J93" i="25"/>
  <c r="J92" i="25"/>
  <c r="U40" i="20"/>
  <c r="Q40" i="20"/>
  <c r="U21" i="20"/>
  <c r="T34" i="20"/>
  <c r="T23" i="24"/>
  <c r="U26" i="20"/>
  <c r="V22" i="20"/>
  <c r="V30" i="20"/>
  <c r="U27" i="20"/>
  <c r="V23" i="20"/>
  <c r="U20" i="20"/>
  <c r="U28" i="20"/>
  <c r="U29" i="20"/>
  <c r="V25" i="20"/>
  <c r="V26" i="20"/>
  <c r="V19" i="20"/>
  <c r="V27" i="20"/>
  <c r="AC39" i="21"/>
  <c r="AC29" i="21"/>
  <c r="AC23" i="21"/>
  <c r="AC41" i="21"/>
  <c r="AC30" i="21"/>
  <c r="AC21" i="21"/>
  <c r="AC32" i="21"/>
  <c r="AC34" i="21"/>
  <c r="AC22" i="21"/>
  <c r="AC33" i="21"/>
  <c r="AC38" i="21"/>
  <c r="AC42" i="21"/>
  <c r="AC40" i="21"/>
  <c r="AC25" i="21"/>
  <c r="AC43" i="21"/>
  <c r="AC28" i="21"/>
  <c r="AC36" i="21"/>
  <c r="AC26" i="21"/>
  <c r="AC31" i="21"/>
  <c r="AC20" i="21"/>
  <c r="AC24" i="21"/>
  <c r="AC27" i="21"/>
  <c r="AC37" i="21"/>
  <c r="AD33" i="21"/>
  <c r="AE33" i="21" s="1"/>
  <c r="AD39" i="21"/>
  <c r="AE39" i="21" s="1"/>
  <c r="J94" i="21"/>
  <c r="J99" i="21" s="1"/>
  <c r="J93" i="21"/>
  <c r="AF20" i="21" s="1"/>
  <c r="AH20" i="21" s="1"/>
  <c r="AK20" i="21" s="1"/>
  <c r="J101" i="21"/>
  <c r="J92" i="21"/>
  <c r="J112" i="21" s="1"/>
  <c r="J96" i="21"/>
  <c r="AD43" i="21"/>
  <c r="AE43" i="21" s="1"/>
  <c r="Q19" i="20"/>
  <c r="Q23" i="20"/>
  <c r="Q29" i="20"/>
  <c r="Q28" i="20"/>
  <c r="Q20" i="20"/>
  <c r="Q24" i="20"/>
  <c r="Q30" i="20"/>
  <c r="Q26" i="20"/>
  <c r="Q21" i="20"/>
  <c r="Q22" i="20"/>
  <c r="Q27" i="20"/>
  <c r="Q25" i="20"/>
  <c r="P34" i="20"/>
  <c r="O34" i="20"/>
  <c r="O32" i="20"/>
  <c r="J112" i="31" l="1"/>
  <c r="J102" i="31"/>
  <c r="J97" i="31"/>
  <c r="AF42" i="31"/>
  <c r="AH42" i="31" s="1"/>
  <c r="AF40" i="31"/>
  <c r="AG40" i="31" s="1"/>
  <c r="AF39" i="31"/>
  <c r="AF37" i="31"/>
  <c r="AF35" i="31"/>
  <c r="AF33" i="31"/>
  <c r="AF31" i="31"/>
  <c r="AF29" i="31"/>
  <c r="AF27" i="31"/>
  <c r="AF25" i="31"/>
  <c r="AF23" i="31"/>
  <c r="AF43" i="31"/>
  <c r="AF38" i="31"/>
  <c r="AF34" i="31"/>
  <c r="AF28" i="31"/>
  <c r="AF30" i="31"/>
  <c r="AF22" i="31"/>
  <c r="AF21" i="31"/>
  <c r="J98" i="31"/>
  <c r="AF36" i="31"/>
  <c r="AG36" i="31" s="1"/>
  <c r="AF32" i="31"/>
  <c r="AF24" i="31"/>
  <c r="AF20" i="31"/>
  <c r="AF26" i="31"/>
  <c r="AF41" i="31"/>
  <c r="AF42" i="30"/>
  <c r="AF40" i="30"/>
  <c r="AF38" i="30"/>
  <c r="AF36" i="30"/>
  <c r="AF34" i="30"/>
  <c r="AG34" i="30" s="1"/>
  <c r="AF32" i="30"/>
  <c r="AF30" i="30"/>
  <c r="AF28" i="30"/>
  <c r="J98" i="30"/>
  <c r="AF43" i="30"/>
  <c r="AH43" i="30" s="1"/>
  <c r="AF41" i="30"/>
  <c r="AG41" i="30" s="1"/>
  <c r="AF35" i="30"/>
  <c r="AI35" i="30" s="1"/>
  <c r="AF23" i="30"/>
  <c r="AF20" i="30"/>
  <c r="AF33" i="30"/>
  <c r="AF26" i="30"/>
  <c r="AF37" i="30"/>
  <c r="AF24" i="30"/>
  <c r="AF39" i="30"/>
  <c r="AF21" i="30"/>
  <c r="AF31" i="30"/>
  <c r="AF29" i="30"/>
  <c r="AF27" i="30"/>
  <c r="AF25" i="30"/>
  <c r="AF22" i="30"/>
  <c r="AG35" i="30"/>
  <c r="AH34" i="30"/>
  <c r="AH41" i="30"/>
  <c r="J112" i="30"/>
  <c r="J102" i="30"/>
  <c r="J97" i="30"/>
  <c r="AI38" i="29"/>
  <c r="AF42" i="29"/>
  <c r="AF40" i="29"/>
  <c r="AF38" i="29"/>
  <c r="AG38" i="29" s="1"/>
  <c r="J98" i="29"/>
  <c r="AF43" i="29"/>
  <c r="AF37" i="29"/>
  <c r="AF35" i="29"/>
  <c r="AF30" i="29"/>
  <c r="AF27" i="29"/>
  <c r="AF22" i="29"/>
  <c r="AF20" i="29"/>
  <c r="AF36" i="29"/>
  <c r="AF33" i="29"/>
  <c r="AF28" i="29"/>
  <c r="AF25" i="29"/>
  <c r="AF34" i="29"/>
  <c r="AF41" i="29"/>
  <c r="AF39" i="29"/>
  <c r="AF31" i="29"/>
  <c r="AF26" i="29"/>
  <c r="AF23" i="29"/>
  <c r="AF32" i="29"/>
  <c r="AF29" i="29"/>
  <c r="AF24" i="29"/>
  <c r="AF21" i="29"/>
  <c r="AI40" i="29"/>
  <c r="AH40" i="29"/>
  <c r="AG40" i="29"/>
  <c r="J112" i="29"/>
  <c r="J102" i="29"/>
  <c r="J97" i="29"/>
  <c r="AI37" i="28"/>
  <c r="AH37" i="28"/>
  <c r="AG37" i="28"/>
  <c r="AI35" i="28"/>
  <c r="AH35" i="28"/>
  <c r="AG35" i="28"/>
  <c r="AG42" i="28"/>
  <c r="AI20" i="28"/>
  <c r="AL20" i="28" s="1"/>
  <c r="AH20" i="28"/>
  <c r="AK20" i="28" s="1"/>
  <c r="AG20" i="28"/>
  <c r="AJ20" i="28" s="1"/>
  <c r="AI27" i="28"/>
  <c r="AH42" i="28"/>
  <c r="AG29" i="28"/>
  <c r="AH26" i="28"/>
  <c r="AG43" i="28"/>
  <c r="AG27" i="28"/>
  <c r="AI41" i="28"/>
  <c r="AG33" i="28"/>
  <c r="AG32" i="28"/>
  <c r="AH24" i="28"/>
  <c r="AG31" i="28"/>
  <c r="AG30" i="28"/>
  <c r="AI34" i="28"/>
  <c r="AH21" i="28"/>
  <c r="AI21" i="28"/>
  <c r="AG21" i="28"/>
  <c r="AI39" i="28"/>
  <c r="AH39" i="28"/>
  <c r="AG39" i="28"/>
  <c r="AG26" i="28"/>
  <c r="AI43" i="28"/>
  <c r="AH34" i="28"/>
  <c r="AG20" i="21"/>
  <c r="AJ20" i="21" s="1"/>
  <c r="AI20" i="21"/>
  <c r="AF42" i="27"/>
  <c r="AI42" i="27" s="1"/>
  <c r="AF40" i="27"/>
  <c r="AG40" i="27" s="1"/>
  <c r="AF39" i="27"/>
  <c r="AF34" i="27"/>
  <c r="AF31" i="27"/>
  <c r="AF26" i="27"/>
  <c r="AF23" i="27"/>
  <c r="AF37" i="27"/>
  <c r="AF32" i="27"/>
  <c r="AF29" i="27"/>
  <c r="AF24" i="27"/>
  <c r="AF21" i="27"/>
  <c r="AF41" i="27"/>
  <c r="AF35" i="27"/>
  <c r="AI35" i="27" s="1"/>
  <c r="AF22" i="27"/>
  <c r="AF43" i="27"/>
  <c r="AF38" i="27"/>
  <c r="AF30" i="27"/>
  <c r="AF27" i="27"/>
  <c r="AF20" i="27"/>
  <c r="AF33" i="27"/>
  <c r="AF25" i="27"/>
  <c r="J98" i="27"/>
  <c r="AF36" i="27"/>
  <c r="AF28" i="27"/>
  <c r="AH42" i="27"/>
  <c r="AG42" i="27"/>
  <c r="AI40" i="27"/>
  <c r="AH40" i="27"/>
  <c r="AG35" i="27"/>
  <c r="J112" i="27"/>
  <c r="J97" i="27"/>
  <c r="J102" i="27"/>
  <c r="J112" i="26"/>
  <c r="J97" i="26"/>
  <c r="J102" i="26"/>
  <c r="AF42" i="26"/>
  <c r="AH42" i="26" s="1"/>
  <c r="AF40" i="26"/>
  <c r="AF38" i="26"/>
  <c r="AF36" i="26"/>
  <c r="AG36" i="26" s="1"/>
  <c r="AF41" i="26"/>
  <c r="AF39" i="26"/>
  <c r="AF35" i="26"/>
  <c r="AF34" i="26"/>
  <c r="AF31" i="26"/>
  <c r="AF26" i="26"/>
  <c r="AF23" i="26"/>
  <c r="AF43" i="26"/>
  <c r="AF37" i="26"/>
  <c r="AF32" i="26"/>
  <c r="AF29" i="26"/>
  <c r="AF24" i="26"/>
  <c r="AF21" i="26"/>
  <c r="AF30" i="26"/>
  <c r="AF27" i="26"/>
  <c r="AF22" i="26"/>
  <c r="AF33" i="26"/>
  <c r="AF20" i="26"/>
  <c r="AF28" i="26"/>
  <c r="AF25" i="26"/>
  <c r="J98" i="26"/>
  <c r="AI36" i="26"/>
  <c r="AI42" i="26"/>
  <c r="AI38" i="25"/>
  <c r="AH38" i="25"/>
  <c r="AF42" i="25"/>
  <c r="AF40" i="25"/>
  <c r="J98" i="25"/>
  <c r="AF39" i="25"/>
  <c r="AF34" i="25"/>
  <c r="AF31" i="25"/>
  <c r="AF26" i="25"/>
  <c r="AF23" i="25"/>
  <c r="AF43" i="25"/>
  <c r="AF37" i="25"/>
  <c r="AF32" i="25"/>
  <c r="AF29" i="25"/>
  <c r="AF21" i="25"/>
  <c r="AF41" i="25"/>
  <c r="AF35" i="25"/>
  <c r="AF30" i="25"/>
  <c r="AF27" i="25"/>
  <c r="AF22" i="25"/>
  <c r="AF20" i="25"/>
  <c r="AF24" i="25"/>
  <c r="AF28" i="25"/>
  <c r="AF38" i="25"/>
  <c r="AG38" i="25" s="1"/>
  <c r="AF36" i="25"/>
  <c r="AF33" i="25"/>
  <c r="AF25" i="25"/>
  <c r="AG40" i="25"/>
  <c r="AI40" i="25"/>
  <c r="AH40" i="25"/>
  <c r="J112" i="25"/>
  <c r="J102" i="25"/>
  <c r="J97" i="25"/>
  <c r="AI42" i="25"/>
  <c r="AH42" i="25"/>
  <c r="AG42" i="25"/>
  <c r="U34" i="20"/>
  <c r="Q34" i="20"/>
  <c r="V34" i="20"/>
  <c r="J102" i="21"/>
  <c r="J97" i="21"/>
  <c r="AF38" i="21"/>
  <c r="AF36" i="21"/>
  <c r="AF34" i="21"/>
  <c r="AF32" i="21"/>
  <c r="AF30" i="21"/>
  <c r="AF28" i="21"/>
  <c r="AF26" i="21"/>
  <c r="AF24" i="21"/>
  <c r="AF22" i="21"/>
  <c r="J98" i="21"/>
  <c r="AF43" i="21"/>
  <c r="AG43" i="21" s="1"/>
  <c r="AF40" i="21"/>
  <c r="AF39" i="21"/>
  <c r="AG39" i="21" s="1"/>
  <c r="AF31" i="21"/>
  <c r="AF27" i="21"/>
  <c r="AF23" i="21"/>
  <c r="AF41" i="21"/>
  <c r="AF37" i="21"/>
  <c r="AF35" i="21"/>
  <c r="AF21" i="21"/>
  <c r="AF42" i="21"/>
  <c r="AF29" i="21"/>
  <c r="AF25" i="21"/>
  <c r="AF33" i="21"/>
  <c r="AG33" i="21" s="1"/>
  <c r="AI42" i="31" l="1"/>
  <c r="AI40" i="31"/>
  <c r="AI36" i="31"/>
  <c r="AH36" i="31"/>
  <c r="AG42" i="31"/>
  <c r="AH20" i="31"/>
  <c r="AK20" i="31" s="1"/>
  <c r="AG20" i="31"/>
  <c r="AJ20" i="31" s="1"/>
  <c r="AI20" i="31"/>
  <c r="AL20" i="31" s="1"/>
  <c r="AI23" i="31"/>
  <c r="AG23" i="31"/>
  <c r="AH23" i="31"/>
  <c r="AI31" i="31"/>
  <c r="AH31" i="31"/>
  <c r="AG31" i="31"/>
  <c r="AI39" i="31"/>
  <c r="AH39" i="31"/>
  <c r="AG39" i="31"/>
  <c r="AI24" i="31"/>
  <c r="AG24" i="31"/>
  <c r="AH24" i="31"/>
  <c r="AG34" i="31"/>
  <c r="AH34" i="31"/>
  <c r="AI34" i="31"/>
  <c r="AH33" i="31"/>
  <c r="AG33" i="31"/>
  <c r="AI33" i="31"/>
  <c r="AH41" i="31"/>
  <c r="AG41" i="31"/>
  <c r="AI41" i="31"/>
  <c r="AG32" i="31"/>
  <c r="AH32" i="31"/>
  <c r="AI32" i="31"/>
  <c r="AG22" i="31"/>
  <c r="AH22" i="31"/>
  <c r="AI22" i="31"/>
  <c r="AI38" i="31"/>
  <c r="AG38" i="31"/>
  <c r="AH38" i="31"/>
  <c r="AI27" i="31"/>
  <c r="AH27" i="31"/>
  <c r="AG27" i="31"/>
  <c r="AI35" i="31"/>
  <c r="AH35" i="31"/>
  <c r="AG35" i="31"/>
  <c r="AH40" i="31"/>
  <c r="AI26" i="31"/>
  <c r="AG26" i="31"/>
  <c r="AH26" i="31"/>
  <c r="AH30" i="31"/>
  <c r="AI30" i="31"/>
  <c r="AG30" i="31"/>
  <c r="AH43" i="31"/>
  <c r="AG43" i="31"/>
  <c r="AI43" i="31"/>
  <c r="AH29" i="31"/>
  <c r="AI29" i="31"/>
  <c r="AG29" i="31"/>
  <c r="AH37" i="31"/>
  <c r="AG37" i="31"/>
  <c r="AI37" i="31"/>
  <c r="AG28" i="31"/>
  <c r="AH28" i="31"/>
  <c r="AI28" i="31"/>
  <c r="AH21" i="31"/>
  <c r="AG21" i="31"/>
  <c r="AI21" i="31"/>
  <c r="AH25" i="31"/>
  <c r="AG25" i="31"/>
  <c r="AI25" i="31"/>
  <c r="AI34" i="30"/>
  <c r="AI43" i="30"/>
  <c r="AG43" i="30"/>
  <c r="AI25" i="30"/>
  <c r="AH25" i="30"/>
  <c r="AG25" i="30"/>
  <c r="AH35" i="30"/>
  <c r="AG27" i="30"/>
  <c r="AI27" i="30"/>
  <c r="AH27" i="30"/>
  <c r="AG39" i="30"/>
  <c r="AI39" i="30"/>
  <c r="AH39" i="30"/>
  <c r="AI33" i="30"/>
  <c r="AH33" i="30"/>
  <c r="AG33" i="30"/>
  <c r="AG30" i="30"/>
  <c r="AI30" i="30"/>
  <c r="AH30" i="30"/>
  <c r="AG38" i="30"/>
  <c r="AI38" i="30"/>
  <c r="AH38" i="30"/>
  <c r="AI41" i="30"/>
  <c r="AG22" i="30"/>
  <c r="AH22" i="30"/>
  <c r="AI22" i="30"/>
  <c r="AH31" i="30"/>
  <c r="AG31" i="30"/>
  <c r="AI31" i="30"/>
  <c r="AG37" i="30"/>
  <c r="AI37" i="30"/>
  <c r="AH37" i="30"/>
  <c r="AI23" i="30"/>
  <c r="AG23" i="30"/>
  <c r="AH23" i="30"/>
  <c r="AG42" i="30"/>
  <c r="AI42" i="30"/>
  <c r="AH42" i="30"/>
  <c r="AG21" i="30"/>
  <c r="AI21" i="30"/>
  <c r="AH21" i="30"/>
  <c r="AG26" i="30"/>
  <c r="AI26" i="30"/>
  <c r="AH26" i="30"/>
  <c r="AH28" i="30"/>
  <c r="AI28" i="30"/>
  <c r="AG28" i="30"/>
  <c r="AG36" i="30"/>
  <c r="AI36" i="30"/>
  <c r="AH36" i="30"/>
  <c r="AH29" i="30"/>
  <c r="AI29" i="30"/>
  <c r="AG29" i="30"/>
  <c r="AI24" i="30"/>
  <c r="AH24" i="30"/>
  <c r="AG24" i="30"/>
  <c r="AH20" i="30"/>
  <c r="AK20" i="30" s="1"/>
  <c r="AI20" i="30"/>
  <c r="AL20" i="30" s="1"/>
  <c r="AG20" i="30"/>
  <c r="AJ20" i="30" s="1"/>
  <c r="AH32" i="30"/>
  <c r="AI32" i="30"/>
  <c r="AG32" i="30"/>
  <c r="AH40" i="30"/>
  <c r="AI40" i="30"/>
  <c r="AG40" i="30"/>
  <c r="AG24" i="29"/>
  <c r="AI24" i="29"/>
  <c r="AH24" i="29"/>
  <c r="AI26" i="29"/>
  <c r="AH26" i="29"/>
  <c r="AG26" i="29"/>
  <c r="AG34" i="29"/>
  <c r="AI34" i="29"/>
  <c r="AH34" i="29"/>
  <c r="AG36" i="29"/>
  <c r="AH36" i="29"/>
  <c r="AI36" i="29"/>
  <c r="AI30" i="29"/>
  <c r="AH30" i="29"/>
  <c r="AG30" i="29"/>
  <c r="AG29" i="29"/>
  <c r="AI29" i="29"/>
  <c r="AH29" i="29"/>
  <c r="AH31" i="29"/>
  <c r="AG31" i="29"/>
  <c r="AI31" i="29"/>
  <c r="AI25" i="29"/>
  <c r="AG25" i="29"/>
  <c r="AH25" i="29"/>
  <c r="AI20" i="29"/>
  <c r="AL20" i="29" s="1"/>
  <c r="AH20" i="29"/>
  <c r="AK20" i="29" s="1"/>
  <c r="AG20" i="29"/>
  <c r="AJ20" i="29" s="1"/>
  <c r="AH35" i="29"/>
  <c r="AG35" i="29"/>
  <c r="AI35" i="29"/>
  <c r="AH38" i="29"/>
  <c r="AG32" i="29"/>
  <c r="AI32" i="29"/>
  <c r="AH32" i="29"/>
  <c r="AH39" i="29"/>
  <c r="AG39" i="29"/>
  <c r="AI39" i="29"/>
  <c r="AG28" i="29"/>
  <c r="AH28" i="29"/>
  <c r="AI28" i="29"/>
  <c r="AI22" i="29"/>
  <c r="AH22" i="29"/>
  <c r="AG22" i="29"/>
  <c r="AG37" i="29"/>
  <c r="AI37" i="29"/>
  <c r="AH37" i="29"/>
  <c r="AI21" i="29"/>
  <c r="AH21" i="29"/>
  <c r="AG21" i="29"/>
  <c r="AG23" i="29"/>
  <c r="AI23" i="29"/>
  <c r="AH23" i="29"/>
  <c r="AI41" i="29"/>
  <c r="AG41" i="29"/>
  <c r="AH41" i="29"/>
  <c r="AI33" i="29"/>
  <c r="AG33" i="29"/>
  <c r="AH33" i="29"/>
  <c r="AG27" i="29"/>
  <c r="AI27" i="29"/>
  <c r="AH27" i="29"/>
  <c r="AI43" i="29"/>
  <c r="AH43" i="29"/>
  <c r="AG43" i="29"/>
  <c r="AI42" i="29"/>
  <c r="AH42" i="29"/>
  <c r="AG42" i="29"/>
  <c r="AL21" i="28"/>
  <c r="AO20" i="28"/>
  <c r="AM20" i="28"/>
  <c r="AJ21" i="28"/>
  <c r="AK21" i="28"/>
  <c r="AN20" i="28"/>
  <c r="AH39" i="21"/>
  <c r="AG21" i="21"/>
  <c r="AI21" i="21"/>
  <c r="AH21" i="21"/>
  <c r="AG23" i="21"/>
  <c r="AI23" i="21"/>
  <c r="AH23" i="21"/>
  <c r="AG40" i="21"/>
  <c r="AH40" i="21"/>
  <c r="AI40" i="21"/>
  <c r="AG24" i="21"/>
  <c r="AI24" i="21"/>
  <c r="AH24" i="21"/>
  <c r="AG32" i="21"/>
  <c r="AI32" i="21"/>
  <c r="AH32" i="21"/>
  <c r="AG25" i="21"/>
  <c r="AH25" i="21"/>
  <c r="AI25" i="21"/>
  <c r="AG35" i="21"/>
  <c r="AI35" i="21"/>
  <c r="AH35" i="21"/>
  <c r="AG27" i="21"/>
  <c r="AH27" i="21"/>
  <c r="AI27" i="21"/>
  <c r="AG26" i="21"/>
  <c r="AI26" i="21"/>
  <c r="AH26" i="21"/>
  <c r="AG34" i="21"/>
  <c r="AH34" i="21"/>
  <c r="AI34" i="21"/>
  <c r="AI43" i="21"/>
  <c r="AG29" i="21"/>
  <c r="AI29" i="21"/>
  <c r="AH29" i="21"/>
  <c r="AG37" i="21"/>
  <c r="AI37" i="21"/>
  <c r="AH37" i="21"/>
  <c r="AG31" i="21"/>
  <c r="AH31" i="21"/>
  <c r="AI31" i="21"/>
  <c r="AG28" i="21"/>
  <c r="AH28" i="21"/>
  <c r="AI28" i="21"/>
  <c r="AG36" i="21"/>
  <c r="AH36" i="21"/>
  <c r="AI36" i="21"/>
  <c r="AH43" i="21"/>
  <c r="AI33" i="21"/>
  <c r="AG42" i="21"/>
  <c r="AI42" i="21"/>
  <c r="AH42" i="21"/>
  <c r="AG41" i="21"/>
  <c r="AI41" i="21"/>
  <c r="AH41" i="21"/>
  <c r="AG22" i="21"/>
  <c r="AH22" i="21"/>
  <c r="AI22" i="21"/>
  <c r="AG30" i="21"/>
  <c r="AH30" i="21"/>
  <c r="AI30" i="21"/>
  <c r="AG38" i="21"/>
  <c r="AI38" i="21"/>
  <c r="AH38" i="21"/>
  <c r="AH33" i="21"/>
  <c r="AI39" i="21"/>
  <c r="AH27" i="27"/>
  <c r="AG27" i="27"/>
  <c r="AI27" i="27"/>
  <c r="AI22" i="27"/>
  <c r="AH22" i="27"/>
  <c r="AG22" i="27"/>
  <c r="AG24" i="27"/>
  <c r="AH24" i="27"/>
  <c r="AI24" i="27"/>
  <c r="AH23" i="27"/>
  <c r="AI23" i="27"/>
  <c r="AG23" i="27"/>
  <c r="AH39" i="27"/>
  <c r="AG39" i="27"/>
  <c r="AI39" i="27"/>
  <c r="AH25" i="27"/>
  <c r="AI25" i="27"/>
  <c r="AG25" i="27"/>
  <c r="AH30" i="27"/>
  <c r="AG30" i="27"/>
  <c r="AI30" i="27"/>
  <c r="AH29" i="27"/>
  <c r="AG29" i="27"/>
  <c r="AI29" i="27"/>
  <c r="AI26" i="27"/>
  <c r="AG26" i="27"/>
  <c r="AH26" i="27"/>
  <c r="AH35" i="27"/>
  <c r="AI28" i="27"/>
  <c r="AH28" i="27"/>
  <c r="AG28" i="27"/>
  <c r="AI33" i="27"/>
  <c r="AG33" i="27"/>
  <c r="AH33" i="27"/>
  <c r="AI38" i="27"/>
  <c r="AG38" i="27"/>
  <c r="AH38" i="27"/>
  <c r="AG41" i="27"/>
  <c r="AI41" i="27"/>
  <c r="AH41" i="27"/>
  <c r="AI32" i="27"/>
  <c r="AG32" i="27"/>
  <c r="AH32" i="27"/>
  <c r="AI31" i="27"/>
  <c r="AG31" i="27"/>
  <c r="AH31" i="27"/>
  <c r="AG36" i="27"/>
  <c r="AI36" i="27"/>
  <c r="AH36" i="27"/>
  <c r="AH20" i="27"/>
  <c r="AK20" i="27" s="1"/>
  <c r="AG20" i="27"/>
  <c r="AJ20" i="27" s="1"/>
  <c r="AI20" i="27"/>
  <c r="AL20" i="27" s="1"/>
  <c r="AH43" i="27"/>
  <c r="AG43" i="27"/>
  <c r="AI43" i="27"/>
  <c r="AH21" i="27"/>
  <c r="AG21" i="27"/>
  <c r="AI21" i="27"/>
  <c r="AG37" i="27"/>
  <c r="AH37" i="27"/>
  <c r="AI37" i="27"/>
  <c r="AG34" i="27"/>
  <c r="AI34" i="27"/>
  <c r="AH34" i="27"/>
  <c r="AH33" i="26"/>
  <c r="AG33" i="26"/>
  <c r="AI33" i="26"/>
  <c r="AH21" i="26"/>
  <c r="AG21" i="26"/>
  <c r="AI21" i="26"/>
  <c r="AG37" i="26"/>
  <c r="AH37" i="26"/>
  <c r="AI37" i="26"/>
  <c r="AI31" i="26"/>
  <c r="AG31" i="26"/>
  <c r="AH31" i="26"/>
  <c r="AG41" i="26"/>
  <c r="AI41" i="26"/>
  <c r="AH41" i="26"/>
  <c r="AG25" i="26"/>
  <c r="AH25" i="26"/>
  <c r="AI25" i="26"/>
  <c r="AI22" i="26"/>
  <c r="AH22" i="26"/>
  <c r="AG22" i="26"/>
  <c r="AG24" i="26"/>
  <c r="AH24" i="26"/>
  <c r="AI24" i="26"/>
  <c r="AG43" i="26"/>
  <c r="AI43" i="26"/>
  <c r="AH43" i="26"/>
  <c r="AH34" i="26"/>
  <c r="AI34" i="26"/>
  <c r="AG34" i="26"/>
  <c r="AG42" i="26"/>
  <c r="AH36" i="26"/>
  <c r="AH28" i="26"/>
  <c r="AG28" i="26"/>
  <c r="AI28" i="26"/>
  <c r="AI27" i="26"/>
  <c r="AH27" i="26"/>
  <c r="AG27" i="26"/>
  <c r="AH29" i="26"/>
  <c r="AI29" i="26"/>
  <c r="AG29" i="26"/>
  <c r="AI23" i="26"/>
  <c r="AH23" i="26"/>
  <c r="AG23" i="26"/>
  <c r="AI35" i="26"/>
  <c r="AH35" i="26"/>
  <c r="AG35" i="26"/>
  <c r="AG38" i="26"/>
  <c r="AH38" i="26"/>
  <c r="AI38" i="26"/>
  <c r="AH20" i="26"/>
  <c r="AK20" i="26" s="1"/>
  <c r="AI20" i="26"/>
  <c r="AL20" i="26" s="1"/>
  <c r="AG20" i="26"/>
  <c r="AJ20" i="26" s="1"/>
  <c r="AI30" i="26"/>
  <c r="AH30" i="26"/>
  <c r="AG30" i="26"/>
  <c r="AG32" i="26"/>
  <c r="AH32" i="26"/>
  <c r="AI32" i="26"/>
  <c r="AG26" i="26"/>
  <c r="AI26" i="26"/>
  <c r="AH26" i="26"/>
  <c r="AI39" i="26"/>
  <c r="AH39" i="26"/>
  <c r="AG39" i="26"/>
  <c r="AI40" i="26"/>
  <c r="AH40" i="26"/>
  <c r="AG40" i="26"/>
  <c r="AI33" i="25"/>
  <c r="AH33" i="25"/>
  <c r="AG33" i="25"/>
  <c r="AG24" i="25"/>
  <c r="AH24" i="25"/>
  <c r="AI24" i="25"/>
  <c r="AI30" i="25"/>
  <c r="AH30" i="25"/>
  <c r="AG30" i="25"/>
  <c r="AH29" i="25"/>
  <c r="AI29" i="25"/>
  <c r="AG29" i="25"/>
  <c r="AI23" i="25"/>
  <c r="AG23" i="25"/>
  <c r="AH23" i="25"/>
  <c r="AI39" i="25"/>
  <c r="AH39" i="25"/>
  <c r="AG39" i="25"/>
  <c r="AI20" i="25"/>
  <c r="AL20" i="25" s="1"/>
  <c r="AH20" i="25"/>
  <c r="AK20" i="25" s="1"/>
  <c r="AG20" i="25"/>
  <c r="AJ20" i="25" s="1"/>
  <c r="AI35" i="25"/>
  <c r="AH35" i="25"/>
  <c r="AG35" i="25"/>
  <c r="AH32" i="25"/>
  <c r="AI32" i="25"/>
  <c r="AG32" i="25"/>
  <c r="AH26" i="25"/>
  <c r="AI26" i="25"/>
  <c r="AG26" i="25"/>
  <c r="AH22" i="25"/>
  <c r="AI22" i="25"/>
  <c r="AG22" i="25"/>
  <c r="AG37" i="25"/>
  <c r="AI37" i="25"/>
  <c r="AH37" i="25"/>
  <c r="AI31" i="25"/>
  <c r="AH31" i="25"/>
  <c r="AG31" i="25"/>
  <c r="AH25" i="25"/>
  <c r="AI25" i="25"/>
  <c r="AG25" i="25"/>
  <c r="AG28" i="25"/>
  <c r="AH28" i="25"/>
  <c r="AI28" i="25"/>
  <c r="AI27" i="25"/>
  <c r="AH27" i="25"/>
  <c r="AG27" i="25"/>
  <c r="AH21" i="25"/>
  <c r="AI21" i="25"/>
  <c r="AG21" i="25"/>
  <c r="AH43" i="25"/>
  <c r="AG43" i="25"/>
  <c r="AI43" i="25"/>
  <c r="AG34" i="25"/>
  <c r="AI34" i="25"/>
  <c r="AH34" i="25"/>
  <c r="AG36" i="25"/>
  <c r="AH36" i="25"/>
  <c r="AI36" i="25"/>
  <c r="AG41" i="25"/>
  <c r="AH41" i="25"/>
  <c r="AI41" i="25"/>
  <c r="AL20" i="21"/>
  <c r="AO20" i="21" s="1"/>
  <c r="AO20" i="31" l="1"/>
  <c r="AL21" i="31"/>
  <c r="AJ21" i="31"/>
  <c r="AM20" i="31"/>
  <c r="AK21" i="31"/>
  <c r="AN20" i="31"/>
  <c r="AJ21" i="30"/>
  <c r="AM20" i="30"/>
  <c r="AL21" i="30"/>
  <c r="AO20" i="30"/>
  <c r="AK21" i="30"/>
  <c r="AN20" i="30"/>
  <c r="AN20" i="29"/>
  <c r="AK21" i="29"/>
  <c r="AJ21" i="29"/>
  <c r="AM20" i="29"/>
  <c r="AL21" i="29"/>
  <c r="AO20" i="29"/>
  <c r="AJ22" i="28"/>
  <c r="AM21" i="28"/>
  <c r="AK22" i="28"/>
  <c r="AN21" i="28"/>
  <c r="AO21" i="28"/>
  <c r="AL22" i="28"/>
  <c r="AL21" i="27"/>
  <c r="AO20" i="27"/>
  <c r="AK21" i="27"/>
  <c r="AN20" i="27"/>
  <c r="AM20" i="27"/>
  <c r="AJ21" i="27"/>
  <c r="AL21" i="26"/>
  <c r="AO20" i="26"/>
  <c r="AK21" i="26"/>
  <c r="AN20" i="26"/>
  <c r="AJ21" i="26"/>
  <c r="AM20" i="26"/>
  <c r="AK21" i="25"/>
  <c r="AN20" i="25"/>
  <c r="AL21" i="25"/>
  <c r="AO20" i="25"/>
  <c r="AJ21" i="25"/>
  <c r="AM20" i="25"/>
  <c r="AL21" i="21"/>
  <c r="AM20" i="21"/>
  <c r="AJ21" i="21"/>
  <c r="AN20" i="21"/>
  <c r="AK21" i="21"/>
  <c r="AM21" i="31" l="1"/>
  <c r="AJ22" i="31"/>
  <c r="AL22" i="31"/>
  <c r="AO21" i="31"/>
  <c r="AK22" i="31"/>
  <c r="AN21" i="31"/>
  <c r="AO21" i="30"/>
  <c r="AL22" i="30"/>
  <c r="AK22" i="30"/>
  <c r="AN21" i="30"/>
  <c r="AM21" i="30"/>
  <c r="AJ22" i="30"/>
  <c r="AM21" i="29"/>
  <c r="AJ22" i="29"/>
  <c r="AK22" i="29"/>
  <c r="AN21" i="29"/>
  <c r="AL22" i="29"/>
  <c r="AO21" i="29"/>
  <c r="AN22" i="28"/>
  <c r="AK23" i="28"/>
  <c r="AL23" i="28"/>
  <c r="AO22" i="28"/>
  <c r="AM22" i="28"/>
  <c r="AJ23" i="28"/>
  <c r="AK22" i="27"/>
  <c r="AN21" i="27"/>
  <c r="AM21" i="27"/>
  <c r="AJ22" i="27"/>
  <c r="AO21" i="27"/>
  <c r="AL22" i="27"/>
  <c r="AK22" i="26"/>
  <c r="AN21" i="26"/>
  <c r="AM21" i="26"/>
  <c r="AJ22" i="26"/>
  <c r="AO21" i="26"/>
  <c r="AL22" i="26"/>
  <c r="AL22" i="25"/>
  <c r="AO21" i="25"/>
  <c r="AM21" i="25"/>
  <c r="AJ22" i="25"/>
  <c r="AK22" i="25"/>
  <c r="AN21" i="25"/>
  <c r="AJ22" i="21"/>
  <c r="AM21" i="21"/>
  <c r="AN21" i="21"/>
  <c r="AK22" i="21"/>
  <c r="AO21" i="21"/>
  <c r="AL22" i="21"/>
  <c r="AN22" i="31" l="1"/>
  <c r="AK23" i="31"/>
  <c r="AO22" i="31"/>
  <c r="AL23" i="31"/>
  <c r="AJ23" i="31"/>
  <c r="AM22" i="31"/>
  <c r="AK23" i="30"/>
  <c r="AN22" i="30"/>
  <c r="AM22" i="30"/>
  <c r="AJ23" i="30"/>
  <c r="AO22" i="30"/>
  <c r="AL23" i="30"/>
  <c r="AO22" i="29"/>
  <c r="AL23" i="29"/>
  <c r="AJ23" i="29"/>
  <c r="AM22" i="29"/>
  <c r="AK23" i="29"/>
  <c r="AN22" i="29"/>
  <c r="AO23" i="28"/>
  <c r="AL24" i="28"/>
  <c r="AJ24" i="28"/>
  <c r="AM23" i="28"/>
  <c r="AN23" i="28"/>
  <c r="AK24" i="28"/>
  <c r="AJ23" i="27"/>
  <c r="AM22" i="27"/>
  <c r="AO22" i="27"/>
  <c r="AL23" i="27"/>
  <c r="AK23" i="27"/>
  <c r="AN22" i="27"/>
  <c r="AO22" i="26"/>
  <c r="AL23" i="26"/>
  <c r="AJ23" i="26"/>
  <c r="AM22" i="26"/>
  <c r="AK23" i="26"/>
  <c r="AN22" i="26"/>
  <c r="AJ23" i="25"/>
  <c r="AM22" i="25"/>
  <c r="AK23" i="25"/>
  <c r="AN22" i="25"/>
  <c r="AO22" i="25"/>
  <c r="AL23" i="25"/>
  <c r="AL23" i="21"/>
  <c r="AO22" i="21"/>
  <c r="AN22" i="21"/>
  <c r="AK23" i="21"/>
  <c r="AJ23" i="21"/>
  <c r="AM22" i="21"/>
  <c r="AL24" i="31" l="1"/>
  <c r="AO23" i="31"/>
  <c r="AK24" i="31"/>
  <c r="AN23" i="31"/>
  <c r="AM23" i="31"/>
  <c r="AJ24" i="31"/>
  <c r="AM23" i="30"/>
  <c r="AJ24" i="30"/>
  <c r="AO23" i="30"/>
  <c r="AL24" i="30"/>
  <c r="AK24" i="30"/>
  <c r="AN23" i="30"/>
  <c r="AM23" i="29"/>
  <c r="AJ24" i="29"/>
  <c r="AL24" i="29"/>
  <c r="AO23" i="29"/>
  <c r="AK24" i="29"/>
  <c r="AN23" i="29"/>
  <c r="AM24" i="28"/>
  <c r="AJ25" i="28"/>
  <c r="AN24" i="28"/>
  <c r="AK25" i="28"/>
  <c r="AL25" i="28"/>
  <c r="AO24" i="28"/>
  <c r="AL24" i="27"/>
  <c r="AO23" i="27"/>
  <c r="AK24" i="27"/>
  <c r="AN23" i="27"/>
  <c r="AM23" i="27"/>
  <c r="AJ24" i="27"/>
  <c r="AM23" i="26"/>
  <c r="AJ24" i="26"/>
  <c r="AL24" i="26"/>
  <c r="AO23" i="26"/>
  <c r="AK24" i="26"/>
  <c r="AN23" i="26"/>
  <c r="AK24" i="25"/>
  <c r="AN23" i="25"/>
  <c r="AL24" i="25"/>
  <c r="AO23" i="25"/>
  <c r="AM23" i="25"/>
  <c r="AJ24" i="25"/>
  <c r="AK24" i="21"/>
  <c r="AN23" i="21"/>
  <c r="AJ24" i="21"/>
  <c r="AM23" i="21"/>
  <c r="AL24" i="21"/>
  <c r="AO23" i="21"/>
  <c r="AK25" i="31" l="1"/>
  <c r="AN24" i="31"/>
  <c r="AJ25" i="31"/>
  <c r="AM24" i="31"/>
  <c r="AO24" i="31"/>
  <c r="AL25" i="31"/>
  <c r="AO24" i="30"/>
  <c r="AL25" i="30"/>
  <c r="AM24" i="30"/>
  <c r="AJ25" i="30"/>
  <c r="AK25" i="30"/>
  <c r="AN24" i="30"/>
  <c r="AO24" i="29"/>
  <c r="AL25" i="29"/>
  <c r="AJ25" i="29"/>
  <c r="AM24" i="29"/>
  <c r="AK25" i="29"/>
  <c r="AN24" i="29"/>
  <c r="AN25" i="28"/>
  <c r="AK26" i="28"/>
  <c r="AJ26" i="28"/>
  <c r="AM25" i="28"/>
  <c r="AO25" i="28"/>
  <c r="AL26" i="28"/>
  <c r="AK25" i="27"/>
  <c r="AN24" i="27"/>
  <c r="AJ25" i="27"/>
  <c r="AM24" i="27"/>
  <c r="AO24" i="27"/>
  <c r="AL25" i="27"/>
  <c r="AO24" i="26"/>
  <c r="AL25" i="26"/>
  <c r="AJ25" i="26"/>
  <c r="AM24" i="26"/>
  <c r="AK25" i="26"/>
  <c r="AN24" i="26"/>
  <c r="AO24" i="25"/>
  <c r="AL25" i="25"/>
  <c r="AJ25" i="25"/>
  <c r="AM24" i="25"/>
  <c r="AK25" i="25"/>
  <c r="AN24" i="25"/>
  <c r="AL25" i="21"/>
  <c r="AO24" i="21"/>
  <c r="AJ25" i="21"/>
  <c r="AM24" i="21"/>
  <c r="AN24" i="21"/>
  <c r="AK25" i="21"/>
  <c r="AM25" i="31" l="1"/>
  <c r="AJ26" i="31"/>
  <c r="AL26" i="31"/>
  <c r="AO25" i="31"/>
  <c r="AK26" i="31"/>
  <c r="AN25" i="31"/>
  <c r="AM25" i="30"/>
  <c r="AJ26" i="30"/>
  <c r="AO25" i="30"/>
  <c r="AL26" i="30"/>
  <c r="AK26" i="30"/>
  <c r="AN25" i="30"/>
  <c r="AM25" i="29"/>
  <c r="AJ26" i="29"/>
  <c r="AL26" i="29"/>
  <c r="AO25" i="29"/>
  <c r="AK26" i="29"/>
  <c r="AN25" i="29"/>
  <c r="AM26" i="28"/>
  <c r="AJ27" i="28"/>
  <c r="AL27" i="28"/>
  <c r="AO26" i="28"/>
  <c r="AN26" i="28"/>
  <c r="AK27" i="28"/>
  <c r="AM25" i="27"/>
  <c r="AJ26" i="27"/>
  <c r="AL26" i="27"/>
  <c r="AO25" i="27"/>
  <c r="AK26" i="27"/>
  <c r="AN25" i="27"/>
  <c r="AM25" i="26"/>
  <c r="AJ26" i="26"/>
  <c r="AL26" i="26"/>
  <c r="AO25" i="26"/>
  <c r="AK26" i="26"/>
  <c r="AN25" i="26"/>
  <c r="AK26" i="25"/>
  <c r="AN25" i="25"/>
  <c r="AM25" i="25"/>
  <c r="AJ26" i="25"/>
  <c r="AL26" i="25"/>
  <c r="AO25" i="25"/>
  <c r="AJ26" i="21"/>
  <c r="AM25" i="21"/>
  <c r="AN25" i="21"/>
  <c r="AK26" i="21"/>
  <c r="AL26" i="21"/>
  <c r="AO25" i="21"/>
  <c r="AO26" i="31" l="1"/>
  <c r="AL27" i="31"/>
  <c r="AJ27" i="31"/>
  <c r="AM26" i="31"/>
  <c r="AK27" i="31"/>
  <c r="AN26" i="31"/>
  <c r="AM26" i="30"/>
  <c r="AJ27" i="30"/>
  <c r="AN26" i="30"/>
  <c r="AK27" i="30"/>
  <c r="AO26" i="30"/>
  <c r="AL27" i="30"/>
  <c r="AO26" i="29"/>
  <c r="AL27" i="29"/>
  <c r="AJ27" i="29"/>
  <c r="AM26" i="29"/>
  <c r="AK27" i="29"/>
  <c r="AN26" i="29"/>
  <c r="AO27" i="28"/>
  <c r="AL28" i="28"/>
  <c r="AN27" i="28"/>
  <c r="AK28" i="28"/>
  <c r="AJ28" i="28"/>
  <c r="AM27" i="28"/>
  <c r="AM26" i="27"/>
  <c r="AJ27" i="27"/>
  <c r="AO26" i="27"/>
  <c r="AL27" i="27"/>
  <c r="AK27" i="27"/>
  <c r="AN26" i="27"/>
  <c r="AO26" i="26"/>
  <c r="AL27" i="26"/>
  <c r="AJ27" i="26"/>
  <c r="AM26" i="26"/>
  <c r="AK27" i="26"/>
  <c r="AN26" i="26"/>
  <c r="AO26" i="25"/>
  <c r="AL27" i="25"/>
  <c r="AJ27" i="25"/>
  <c r="AM26" i="25"/>
  <c r="AK27" i="25"/>
  <c r="AN26" i="25"/>
  <c r="AL27" i="21"/>
  <c r="AO26" i="21"/>
  <c r="AN26" i="21"/>
  <c r="AK27" i="21"/>
  <c r="AJ27" i="21"/>
  <c r="AM26" i="21"/>
  <c r="AK28" i="31" l="1"/>
  <c r="AN27" i="31"/>
  <c r="AM27" i="31"/>
  <c r="AJ28" i="31"/>
  <c r="AL28" i="31"/>
  <c r="AO27" i="31"/>
  <c r="AK28" i="30"/>
  <c r="AN27" i="30"/>
  <c r="AO27" i="30"/>
  <c r="AL28" i="30"/>
  <c r="AM27" i="30"/>
  <c r="AJ28" i="30"/>
  <c r="AM27" i="29"/>
  <c r="AJ28" i="29"/>
  <c r="AL28" i="29"/>
  <c r="AO27" i="29"/>
  <c r="AK28" i="29"/>
  <c r="AN27" i="29"/>
  <c r="AN28" i="28"/>
  <c r="AK29" i="28"/>
  <c r="AL29" i="28"/>
  <c r="AO28" i="28"/>
  <c r="AM28" i="28"/>
  <c r="AJ29" i="28"/>
  <c r="AL28" i="27"/>
  <c r="AO27" i="27"/>
  <c r="AM27" i="27"/>
  <c r="AJ28" i="27"/>
  <c r="AK28" i="27"/>
  <c r="AN27" i="27"/>
  <c r="AM27" i="26"/>
  <c r="AJ28" i="26"/>
  <c r="AL28" i="26"/>
  <c r="AO27" i="26"/>
  <c r="AK28" i="26"/>
  <c r="AN27" i="26"/>
  <c r="AM27" i="25"/>
  <c r="AJ28" i="25"/>
  <c r="AL28" i="25"/>
  <c r="AO27" i="25"/>
  <c r="AK28" i="25"/>
  <c r="AN27" i="25"/>
  <c r="AJ28" i="21"/>
  <c r="AM27" i="21"/>
  <c r="AK28" i="21"/>
  <c r="AN27" i="21"/>
  <c r="AL28" i="21"/>
  <c r="AO27" i="21"/>
  <c r="AJ29" i="31" l="1"/>
  <c r="AM28" i="31"/>
  <c r="AO28" i="31"/>
  <c r="AL29" i="31"/>
  <c r="AN28" i="31"/>
  <c r="AK29" i="31"/>
  <c r="AO28" i="30"/>
  <c r="AL29" i="30"/>
  <c r="AM28" i="30"/>
  <c r="AJ29" i="30"/>
  <c r="AN28" i="30"/>
  <c r="AK29" i="30"/>
  <c r="AO28" i="29"/>
  <c r="AL29" i="29"/>
  <c r="AJ29" i="29"/>
  <c r="AM28" i="29"/>
  <c r="AK29" i="29"/>
  <c r="AN28" i="29"/>
  <c r="AO29" i="28"/>
  <c r="AL30" i="28"/>
  <c r="AJ30" i="28"/>
  <c r="AM29" i="28"/>
  <c r="AN29" i="28"/>
  <c r="AK30" i="28"/>
  <c r="AJ29" i="27"/>
  <c r="AM28" i="27"/>
  <c r="AK29" i="27"/>
  <c r="AN28" i="27"/>
  <c r="AO28" i="27"/>
  <c r="AL29" i="27"/>
  <c r="AJ29" i="26"/>
  <c r="AM28" i="26"/>
  <c r="AO28" i="26"/>
  <c r="AL29" i="26"/>
  <c r="AK29" i="26"/>
  <c r="AN28" i="26"/>
  <c r="AO28" i="25"/>
  <c r="AL29" i="25"/>
  <c r="AM28" i="25"/>
  <c r="AJ29" i="25"/>
  <c r="AK29" i="25"/>
  <c r="AN28" i="25"/>
  <c r="AL29" i="21"/>
  <c r="AO28" i="21"/>
  <c r="AN28" i="21"/>
  <c r="AK29" i="21"/>
  <c r="AJ29" i="21"/>
  <c r="AM28" i="21"/>
  <c r="AL30" i="31" l="1"/>
  <c r="AO29" i="31"/>
  <c r="AK30" i="31"/>
  <c r="AN29" i="31"/>
  <c r="AM29" i="31"/>
  <c r="AJ30" i="31"/>
  <c r="AM29" i="30"/>
  <c r="AJ30" i="30"/>
  <c r="AK30" i="30"/>
  <c r="AN29" i="30"/>
  <c r="AO29" i="30"/>
  <c r="AL30" i="30"/>
  <c r="AM29" i="29"/>
  <c r="AJ30" i="29"/>
  <c r="AL30" i="29"/>
  <c r="AO29" i="29"/>
  <c r="AK30" i="29"/>
  <c r="AN29" i="29"/>
  <c r="AM30" i="28"/>
  <c r="AJ31" i="28"/>
  <c r="AN30" i="28"/>
  <c r="AK31" i="28"/>
  <c r="AL31" i="28"/>
  <c r="AO30" i="28"/>
  <c r="AK30" i="27"/>
  <c r="AN29" i="27"/>
  <c r="AL30" i="27"/>
  <c r="AO29" i="27"/>
  <c r="AM29" i="27"/>
  <c r="AJ30" i="27"/>
  <c r="AL30" i="26"/>
  <c r="AO29" i="26"/>
  <c r="AK30" i="26"/>
  <c r="AN29" i="26"/>
  <c r="AM29" i="26"/>
  <c r="AJ30" i="26"/>
  <c r="AM29" i="25"/>
  <c r="AJ30" i="25"/>
  <c r="AO29" i="25"/>
  <c r="AL30" i="25"/>
  <c r="AK30" i="25"/>
  <c r="AN29" i="25"/>
  <c r="AN29" i="21"/>
  <c r="AK30" i="21"/>
  <c r="AJ30" i="21"/>
  <c r="AM29" i="21"/>
  <c r="AO29" i="21"/>
  <c r="AL30" i="21"/>
  <c r="AN30" i="31" l="1"/>
  <c r="AK31" i="31"/>
  <c r="AJ31" i="31"/>
  <c r="AM30" i="31"/>
  <c r="AO30" i="31"/>
  <c r="AL31" i="31"/>
  <c r="AN30" i="30"/>
  <c r="AK31" i="30"/>
  <c r="AO30" i="30"/>
  <c r="AL31" i="30"/>
  <c r="AM30" i="30"/>
  <c r="AJ31" i="30"/>
  <c r="AJ31" i="29"/>
  <c r="AM30" i="29"/>
  <c r="AO30" i="29"/>
  <c r="AL31" i="29"/>
  <c r="AK31" i="29"/>
  <c r="AN30" i="29"/>
  <c r="AJ32" i="28"/>
  <c r="AM31" i="28"/>
  <c r="AN31" i="28"/>
  <c r="AK32" i="28"/>
  <c r="AO31" i="28"/>
  <c r="AL32" i="28"/>
  <c r="AO30" i="27"/>
  <c r="AL31" i="27"/>
  <c r="AM30" i="27"/>
  <c r="AJ31" i="27"/>
  <c r="AK31" i="27"/>
  <c r="AN30" i="27"/>
  <c r="AK31" i="26"/>
  <c r="AN30" i="26"/>
  <c r="AJ31" i="26"/>
  <c r="AM30" i="26"/>
  <c r="AO30" i="26"/>
  <c r="AL31" i="26"/>
  <c r="AK31" i="25"/>
  <c r="AN30" i="25"/>
  <c r="AO30" i="25"/>
  <c r="AL31" i="25"/>
  <c r="AJ31" i="25"/>
  <c r="AM30" i="25"/>
  <c r="AL31" i="21"/>
  <c r="AO30" i="21"/>
  <c r="AJ31" i="21"/>
  <c r="AM30" i="21"/>
  <c r="AN30" i="21"/>
  <c r="AK31" i="21"/>
  <c r="AM31" i="31" l="1"/>
  <c r="AJ32" i="31"/>
  <c r="AL32" i="31"/>
  <c r="AO31" i="31"/>
  <c r="AK32" i="31"/>
  <c r="AN31" i="31"/>
  <c r="AM31" i="30"/>
  <c r="AJ32" i="30"/>
  <c r="AK32" i="30"/>
  <c r="AN31" i="30"/>
  <c r="AO31" i="30"/>
  <c r="AL32" i="30"/>
  <c r="AL32" i="29"/>
  <c r="AO31" i="29"/>
  <c r="AK32" i="29"/>
  <c r="AN31" i="29"/>
  <c r="AM31" i="29"/>
  <c r="AJ32" i="29"/>
  <c r="AN32" i="28"/>
  <c r="AK33" i="28"/>
  <c r="AL33" i="28"/>
  <c r="AO32" i="28"/>
  <c r="AM32" i="28"/>
  <c r="AJ33" i="28"/>
  <c r="AM31" i="27"/>
  <c r="AJ32" i="27"/>
  <c r="AL32" i="27"/>
  <c r="AO31" i="27"/>
  <c r="AK32" i="27"/>
  <c r="AN31" i="27"/>
  <c r="AM31" i="26"/>
  <c r="AJ32" i="26"/>
  <c r="AL32" i="26"/>
  <c r="AO31" i="26"/>
  <c r="AK32" i="26"/>
  <c r="AN31" i="26"/>
  <c r="AL32" i="25"/>
  <c r="AO31" i="25"/>
  <c r="AM31" i="25"/>
  <c r="AJ32" i="25"/>
  <c r="AK32" i="25"/>
  <c r="AN31" i="25"/>
  <c r="AK32" i="21"/>
  <c r="AN31" i="21"/>
  <c r="AJ32" i="21"/>
  <c r="AM31" i="21"/>
  <c r="AL32" i="21"/>
  <c r="AO31" i="21"/>
  <c r="AO32" i="31" l="1"/>
  <c r="AL33" i="31"/>
  <c r="AK33" i="31"/>
  <c r="AN32" i="31"/>
  <c r="AJ33" i="31"/>
  <c r="AM32" i="31"/>
  <c r="AM32" i="30"/>
  <c r="AJ33" i="30"/>
  <c r="AN32" i="30"/>
  <c r="AK33" i="30"/>
  <c r="AO32" i="30"/>
  <c r="AL33" i="30"/>
  <c r="AK33" i="29"/>
  <c r="AN32" i="29"/>
  <c r="AM32" i="29"/>
  <c r="AJ33" i="29"/>
  <c r="AO32" i="29"/>
  <c r="AL33" i="29"/>
  <c r="AO33" i="28"/>
  <c r="AL34" i="28"/>
  <c r="AJ34" i="28"/>
  <c r="AM33" i="28"/>
  <c r="AK34" i="28"/>
  <c r="AN33" i="28"/>
  <c r="AK33" i="27"/>
  <c r="AN32" i="27"/>
  <c r="AO32" i="27"/>
  <c r="AL33" i="27"/>
  <c r="AJ33" i="27"/>
  <c r="AM32" i="27"/>
  <c r="AO32" i="26"/>
  <c r="AL33" i="26"/>
  <c r="AJ33" i="26"/>
  <c r="AM32" i="26"/>
  <c r="AN32" i="26"/>
  <c r="AK33" i="26"/>
  <c r="AK33" i="25"/>
  <c r="AN32" i="25"/>
  <c r="AJ33" i="25"/>
  <c r="AM32" i="25"/>
  <c r="AO32" i="25"/>
  <c r="AL33" i="25"/>
  <c r="AJ33" i="21"/>
  <c r="AM32" i="21"/>
  <c r="AL33" i="21"/>
  <c r="AO32" i="21"/>
  <c r="AN32" i="21"/>
  <c r="AK33" i="21"/>
  <c r="AK34" i="31" l="1"/>
  <c r="AN33" i="31"/>
  <c r="AL34" i="31"/>
  <c r="AO33" i="31"/>
  <c r="AM33" i="31"/>
  <c r="AJ34" i="31"/>
  <c r="AK34" i="30"/>
  <c r="AN33" i="30"/>
  <c r="AO33" i="30"/>
  <c r="AL34" i="30"/>
  <c r="AM33" i="30"/>
  <c r="AJ34" i="30"/>
  <c r="AM33" i="29"/>
  <c r="AJ34" i="29"/>
  <c r="AO33" i="29"/>
  <c r="AL34" i="29"/>
  <c r="AK34" i="29"/>
  <c r="AN33" i="29"/>
  <c r="AM34" i="28"/>
  <c r="AJ35" i="28"/>
  <c r="AO34" i="28"/>
  <c r="AL35" i="28"/>
  <c r="AN34" i="28"/>
  <c r="AK35" i="28"/>
  <c r="AL34" i="27"/>
  <c r="AO33" i="27"/>
  <c r="AM33" i="27"/>
  <c r="AJ34" i="27"/>
  <c r="AK34" i="27"/>
  <c r="AN33" i="27"/>
  <c r="AM33" i="26"/>
  <c r="AJ34" i="26"/>
  <c r="AK34" i="26"/>
  <c r="AN33" i="26"/>
  <c r="AL34" i="26"/>
  <c r="AO33" i="26"/>
  <c r="AM33" i="25"/>
  <c r="AJ34" i="25"/>
  <c r="AL34" i="25"/>
  <c r="AO33" i="25"/>
  <c r="AK34" i="25"/>
  <c r="AN33" i="25"/>
  <c r="AL34" i="21"/>
  <c r="AO33" i="21"/>
  <c r="AK34" i="21"/>
  <c r="AN33" i="21"/>
  <c r="AJ34" i="21"/>
  <c r="AM33" i="21"/>
  <c r="AJ35" i="31" l="1"/>
  <c r="AM34" i="31"/>
  <c r="AO34" i="31"/>
  <c r="AL35" i="31"/>
  <c r="AN34" i="31"/>
  <c r="AK35" i="31"/>
  <c r="AO34" i="30"/>
  <c r="AL35" i="30"/>
  <c r="AM34" i="30"/>
  <c r="AJ35" i="30"/>
  <c r="AN34" i="30"/>
  <c r="AK35" i="30"/>
  <c r="AO34" i="29"/>
  <c r="AL35" i="29"/>
  <c r="AJ35" i="29"/>
  <c r="AM34" i="29"/>
  <c r="AK35" i="29"/>
  <c r="AN34" i="29"/>
  <c r="AM35" i="28"/>
  <c r="AJ36" i="28"/>
  <c r="AO35" i="28"/>
  <c r="AL36" i="28"/>
  <c r="AK36" i="28"/>
  <c r="AN35" i="28"/>
  <c r="AJ35" i="27"/>
  <c r="AM34" i="27"/>
  <c r="AK35" i="27"/>
  <c r="AN34" i="27"/>
  <c r="AO34" i="27"/>
  <c r="AL35" i="27"/>
  <c r="AO34" i="26"/>
  <c r="AL35" i="26"/>
  <c r="AN34" i="26"/>
  <c r="AK35" i="26"/>
  <c r="AJ35" i="26"/>
  <c r="AM34" i="26"/>
  <c r="AO34" i="25"/>
  <c r="AL35" i="25"/>
  <c r="AJ35" i="25"/>
  <c r="AM34" i="25"/>
  <c r="AK35" i="25"/>
  <c r="AN34" i="25"/>
  <c r="AN34" i="21"/>
  <c r="AK35" i="21"/>
  <c r="AJ35" i="21"/>
  <c r="AM34" i="21"/>
  <c r="AL35" i="21"/>
  <c r="AO34" i="21"/>
  <c r="AK36" i="31" l="1"/>
  <c r="AN35" i="31"/>
  <c r="AL36" i="31"/>
  <c r="AO35" i="31"/>
  <c r="AM35" i="31"/>
  <c r="AJ36" i="31"/>
  <c r="AK36" i="30"/>
  <c r="AN35" i="30"/>
  <c r="AO35" i="30"/>
  <c r="AL36" i="30"/>
  <c r="AM35" i="30"/>
  <c r="AJ36" i="30"/>
  <c r="AM35" i="29"/>
  <c r="AJ36" i="29"/>
  <c r="AL36" i="29"/>
  <c r="AO35" i="29"/>
  <c r="AK36" i="29"/>
  <c r="AN35" i="29"/>
  <c r="AN36" i="28"/>
  <c r="AK37" i="28"/>
  <c r="AO36" i="28"/>
  <c r="AL37" i="28"/>
  <c r="AM36" i="28"/>
  <c r="AJ37" i="28"/>
  <c r="AK36" i="27"/>
  <c r="AN35" i="27"/>
  <c r="AL36" i="27"/>
  <c r="AO35" i="27"/>
  <c r="AM35" i="27"/>
  <c r="AJ36" i="27"/>
  <c r="AM35" i="26"/>
  <c r="AJ36" i="26"/>
  <c r="AK36" i="26"/>
  <c r="AN35" i="26"/>
  <c r="AL36" i="26"/>
  <c r="AO35" i="26"/>
  <c r="AK36" i="25"/>
  <c r="AN35" i="25"/>
  <c r="AM35" i="25"/>
  <c r="AJ36" i="25"/>
  <c r="AL36" i="25"/>
  <c r="AO35" i="25"/>
  <c r="AJ36" i="21"/>
  <c r="AM35" i="21"/>
  <c r="AK36" i="21"/>
  <c r="AN35" i="21"/>
  <c r="AL36" i="21"/>
  <c r="AO35" i="21"/>
  <c r="AO36" i="31" l="1"/>
  <c r="AL37" i="31"/>
  <c r="AJ37" i="31"/>
  <c r="AM36" i="31"/>
  <c r="AK37" i="31"/>
  <c r="AN36" i="31"/>
  <c r="AO36" i="30"/>
  <c r="AL37" i="30"/>
  <c r="AM36" i="30"/>
  <c r="AJ37" i="30"/>
  <c r="AN36" i="30"/>
  <c r="AK37" i="30"/>
  <c r="AO36" i="29"/>
  <c r="AL37" i="29"/>
  <c r="AM36" i="29"/>
  <c r="AJ37" i="29"/>
  <c r="AK37" i="29"/>
  <c r="AN36" i="29"/>
  <c r="AO37" i="28"/>
  <c r="AL38" i="28"/>
  <c r="AM37" i="28"/>
  <c r="AJ38" i="28"/>
  <c r="AK38" i="28"/>
  <c r="AN37" i="28"/>
  <c r="AO36" i="27"/>
  <c r="AL37" i="27"/>
  <c r="AJ37" i="27"/>
  <c r="AM36" i="27"/>
  <c r="AK37" i="27"/>
  <c r="AN36" i="27"/>
  <c r="AN36" i="26"/>
  <c r="AK37" i="26"/>
  <c r="AJ37" i="26"/>
  <c r="AM36" i="26"/>
  <c r="AO36" i="26"/>
  <c r="AL37" i="26"/>
  <c r="AJ37" i="25"/>
  <c r="AM36" i="25"/>
  <c r="AO36" i="25"/>
  <c r="AL37" i="25"/>
  <c r="AK37" i="25"/>
  <c r="AN36" i="25"/>
  <c r="AN36" i="21"/>
  <c r="AK37" i="21"/>
  <c r="AL37" i="21"/>
  <c r="AO36" i="21"/>
  <c r="AM36" i="21"/>
  <c r="AJ37" i="21"/>
  <c r="AM37" i="31" l="1"/>
  <c r="AJ38" i="31"/>
  <c r="AL38" i="31"/>
  <c r="AO37" i="31"/>
  <c r="AK38" i="31"/>
  <c r="AN37" i="31"/>
  <c r="AM37" i="30"/>
  <c r="AJ38" i="30"/>
  <c r="AK38" i="30"/>
  <c r="AN37" i="30"/>
  <c r="AO37" i="30"/>
  <c r="AL38" i="30"/>
  <c r="AM37" i="29"/>
  <c r="AJ38" i="29"/>
  <c r="AL38" i="29"/>
  <c r="AO37" i="29"/>
  <c r="AK38" i="29"/>
  <c r="AN37" i="29"/>
  <c r="AM38" i="28"/>
  <c r="AJ39" i="28"/>
  <c r="AO38" i="28"/>
  <c r="AL39" i="28"/>
  <c r="AN38" i="28"/>
  <c r="AK39" i="28"/>
  <c r="AK38" i="27"/>
  <c r="AN37" i="27"/>
  <c r="AM37" i="27"/>
  <c r="AJ38" i="27"/>
  <c r="AL38" i="27"/>
  <c r="AO37" i="27"/>
  <c r="AM37" i="26"/>
  <c r="AJ38" i="26"/>
  <c r="AL38" i="26"/>
  <c r="AO37" i="26"/>
  <c r="AK38" i="26"/>
  <c r="AN37" i="26"/>
  <c r="AL38" i="25"/>
  <c r="AO37" i="25"/>
  <c r="AK38" i="25"/>
  <c r="AN37" i="25"/>
  <c r="AM37" i="25"/>
  <c r="AJ38" i="25"/>
  <c r="AJ38" i="21"/>
  <c r="AM37" i="21"/>
  <c r="AL38" i="21"/>
  <c r="AO37" i="21"/>
  <c r="AK38" i="21"/>
  <c r="AN37" i="21"/>
  <c r="AO38" i="31" l="1"/>
  <c r="AL39" i="31"/>
  <c r="AJ39" i="31"/>
  <c r="AM38" i="31"/>
  <c r="AN38" i="31"/>
  <c r="AK39" i="31"/>
  <c r="AN38" i="30"/>
  <c r="AK39" i="30"/>
  <c r="AM38" i="30"/>
  <c r="AJ39" i="30"/>
  <c r="AO38" i="30"/>
  <c r="AL39" i="30"/>
  <c r="AO38" i="29"/>
  <c r="AL39" i="29"/>
  <c r="AJ39" i="29"/>
  <c r="AM38" i="29"/>
  <c r="AN38" i="29"/>
  <c r="AK39" i="29"/>
  <c r="AL40" i="28"/>
  <c r="AO39" i="28"/>
  <c r="AK40" i="28"/>
  <c r="AN39" i="28"/>
  <c r="AJ40" i="28"/>
  <c r="AM39" i="28"/>
  <c r="AJ39" i="27"/>
  <c r="AM38" i="27"/>
  <c r="AO38" i="27"/>
  <c r="AL39" i="27"/>
  <c r="AK39" i="27"/>
  <c r="AN38" i="27"/>
  <c r="AO38" i="26"/>
  <c r="AL39" i="26"/>
  <c r="AJ39" i="26"/>
  <c r="AM38" i="26"/>
  <c r="AN38" i="26"/>
  <c r="AK39" i="26"/>
  <c r="AK39" i="25"/>
  <c r="AN38" i="25"/>
  <c r="AJ39" i="25"/>
  <c r="AM38" i="25"/>
  <c r="AO38" i="25"/>
  <c r="AL39" i="25"/>
  <c r="AL39" i="21"/>
  <c r="AO38" i="21"/>
  <c r="AN38" i="21"/>
  <c r="AK39" i="21"/>
  <c r="AJ39" i="21"/>
  <c r="AM38" i="21"/>
  <c r="AL40" i="31" l="1"/>
  <c r="AO39" i="31"/>
  <c r="AJ40" i="31"/>
  <c r="AM39" i="31"/>
  <c r="AK40" i="31"/>
  <c r="AN39" i="31"/>
  <c r="AJ40" i="30"/>
  <c r="AM39" i="30"/>
  <c r="AK40" i="30"/>
  <c r="AN39" i="30"/>
  <c r="AL40" i="30"/>
  <c r="AO39" i="30"/>
  <c r="AJ40" i="29"/>
  <c r="AM39" i="29"/>
  <c r="AN39" i="29"/>
  <c r="AK40" i="29"/>
  <c r="AO39" i="29"/>
  <c r="AL40" i="29"/>
  <c r="AM40" i="28"/>
  <c r="AJ41" i="28"/>
  <c r="AN40" i="28"/>
  <c r="AK41" i="28"/>
  <c r="AL41" i="28"/>
  <c r="AO40" i="28"/>
  <c r="AK40" i="27"/>
  <c r="AN39" i="27"/>
  <c r="AJ40" i="27"/>
  <c r="AM39" i="27"/>
  <c r="AL40" i="27"/>
  <c r="AO39" i="27"/>
  <c r="AJ40" i="26"/>
  <c r="AM39" i="26"/>
  <c r="AL40" i="26"/>
  <c r="AO39" i="26"/>
  <c r="AN39" i="26"/>
  <c r="AK40" i="26"/>
  <c r="AJ40" i="25"/>
  <c r="AM39" i="25"/>
  <c r="AL40" i="25"/>
  <c r="AO39" i="25"/>
  <c r="AK40" i="25"/>
  <c r="AN39" i="25"/>
  <c r="AK40" i="21"/>
  <c r="AN39" i="21"/>
  <c r="AJ40" i="21"/>
  <c r="AM39" i="21"/>
  <c r="AO39" i="21"/>
  <c r="AL40" i="21"/>
  <c r="AM40" i="31" l="1"/>
  <c r="AJ41" i="31"/>
  <c r="AN40" i="31"/>
  <c r="AK41" i="31"/>
  <c r="AL41" i="31"/>
  <c r="AO40" i="31"/>
  <c r="AN40" i="30"/>
  <c r="AK41" i="30"/>
  <c r="AL41" i="30"/>
  <c r="AO40" i="30"/>
  <c r="AM40" i="30"/>
  <c r="AJ41" i="30"/>
  <c r="AN40" i="29"/>
  <c r="AK41" i="29"/>
  <c r="AL41" i="29"/>
  <c r="AO40" i="29"/>
  <c r="AM40" i="29"/>
  <c r="AJ41" i="29"/>
  <c r="AJ42" i="28"/>
  <c r="AM41" i="28"/>
  <c r="AN41" i="28"/>
  <c r="AK42" i="28"/>
  <c r="AO41" i="28"/>
  <c r="AL42" i="28"/>
  <c r="AL41" i="27"/>
  <c r="AO40" i="27"/>
  <c r="AM40" i="27"/>
  <c r="AJ41" i="27"/>
  <c r="AN40" i="27"/>
  <c r="AK41" i="27"/>
  <c r="AL41" i="26"/>
  <c r="AO40" i="26"/>
  <c r="AN40" i="26"/>
  <c r="AK41" i="26"/>
  <c r="AM40" i="26"/>
  <c r="AJ41" i="26"/>
  <c r="AL41" i="25"/>
  <c r="AO40" i="25"/>
  <c r="AN40" i="25"/>
  <c r="AK41" i="25"/>
  <c r="AJ41" i="25"/>
  <c r="AM40" i="25"/>
  <c r="AM40" i="21"/>
  <c r="AJ41" i="21"/>
  <c r="AL41" i="21"/>
  <c r="AO40" i="21"/>
  <c r="AK41" i="21"/>
  <c r="AN40" i="21"/>
  <c r="AK42" i="31" l="1"/>
  <c r="AN41" i="31"/>
  <c r="AJ42" i="31"/>
  <c r="AM41" i="31"/>
  <c r="AO41" i="31"/>
  <c r="AL42" i="31"/>
  <c r="AO41" i="30"/>
  <c r="AL42" i="30"/>
  <c r="AJ42" i="30"/>
  <c r="AM41" i="30"/>
  <c r="AN41" i="30"/>
  <c r="AK42" i="30"/>
  <c r="AO41" i="29"/>
  <c r="AL42" i="29"/>
  <c r="AJ42" i="29"/>
  <c r="AM41" i="29"/>
  <c r="AK42" i="29"/>
  <c r="AN41" i="29"/>
  <c r="AN42" i="28"/>
  <c r="AK43" i="28"/>
  <c r="AN43" i="28" s="1"/>
  <c r="AL43" i="28"/>
  <c r="AO43" i="28" s="1"/>
  <c r="AO42" i="28"/>
  <c r="AM42" i="28"/>
  <c r="AJ43" i="28"/>
  <c r="AM43" i="28" s="1"/>
  <c r="AK42" i="27"/>
  <c r="AN41" i="27"/>
  <c r="AJ42" i="27"/>
  <c r="AM41" i="27"/>
  <c r="AO41" i="27"/>
  <c r="AL42" i="27"/>
  <c r="AN41" i="26"/>
  <c r="AK42" i="26"/>
  <c r="AJ42" i="26"/>
  <c r="AM41" i="26"/>
  <c r="AO41" i="26"/>
  <c r="AL42" i="26"/>
  <c r="AJ42" i="25"/>
  <c r="AM41" i="25"/>
  <c r="AK42" i="25"/>
  <c r="AN41" i="25"/>
  <c r="AL42" i="25"/>
  <c r="AO41" i="25"/>
  <c r="AO41" i="21"/>
  <c r="AL42" i="21"/>
  <c r="AJ42" i="21"/>
  <c r="AM41" i="21"/>
  <c r="AK42" i="21"/>
  <c r="AN41" i="21"/>
  <c r="AM42" i="31" l="1"/>
  <c r="AJ43" i="31"/>
  <c r="AM43" i="31" s="1"/>
  <c r="AL43" i="31"/>
  <c r="AO43" i="31" s="1"/>
  <c r="AO42" i="31"/>
  <c r="AN42" i="31"/>
  <c r="AK43" i="31"/>
  <c r="AN43" i="31" s="1"/>
  <c r="AM42" i="30"/>
  <c r="AJ43" i="30"/>
  <c r="AM43" i="30" s="1"/>
  <c r="AN42" i="30"/>
  <c r="AK43" i="30"/>
  <c r="AN43" i="30" s="1"/>
  <c r="AL43" i="30"/>
  <c r="AO43" i="30" s="1"/>
  <c r="AO42" i="30"/>
  <c r="AM42" i="29"/>
  <c r="AJ43" i="29"/>
  <c r="AM43" i="29" s="1"/>
  <c r="AL43" i="29"/>
  <c r="AO43" i="29" s="1"/>
  <c r="AO42" i="29"/>
  <c r="AN42" i="29"/>
  <c r="AK43" i="29"/>
  <c r="AN43" i="29" s="1"/>
  <c r="AJ43" i="27"/>
  <c r="AM43" i="27" s="1"/>
  <c r="AM42" i="27"/>
  <c r="AL43" i="27"/>
  <c r="AO43" i="27" s="1"/>
  <c r="AO42" i="27"/>
  <c r="AN42" i="27"/>
  <c r="AK43" i="27"/>
  <c r="AN43" i="27" s="1"/>
  <c r="AL43" i="26"/>
  <c r="AO43" i="26" s="1"/>
  <c r="AO42" i="26"/>
  <c r="AN42" i="26"/>
  <c r="AK43" i="26"/>
  <c r="AN43" i="26" s="1"/>
  <c r="AM42" i="26"/>
  <c r="AJ43" i="26"/>
  <c r="AM43" i="26" s="1"/>
  <c r="AL43" i="25"/>
  <c r="AO43" i="25" s="1"/>
  <c r="AO42" i="25"/>
  <c r="AN42" i="25"/>
  <c r="AK43" i="25"/>
  <c r="AN43" i="25" s="1"/>
  <c r="AJ43" i="25"/>
  <c r="AM43" i="25" s="1"/>
  <c r="AM42" i="25"/>
  <c r="AK43" i="21"/>
  <c r="AN43" i="21" s="1"/>
  <c r="AN42" i="21"/>
  <c r="AM42" i="21"/>
  <c r="AJ43" i="21"/>
  <c r="AM43" i="21" s="1"/>
  <c r="AO42" i="21"/>
  <c r="AL43" i="21"/>
  <c r="AO43" i="21" s="1"/>
</calcChain>
</file>

<file path=xl/sharedStrings.xml><?xml version="1.0" encoding="utf-8"?>
<sst xmlns="http://schemas.openxmlformats.org/spreadsheetml/2006/main" count="1987" uniqueCount="188">
  <si>
    <t>mAh</t>
  </si>
  <si>
    <t>mA</t>
  </si>
  <si>
    <t>h</t>
  </si>
  <si>
    <t>Sek</t>
  </si>
  <si>
    <t>Tage</t>
  </si>
  <si>
    <t>min</t>
  </si>
  <si>
    <t>%</t>
  </si>
  <si>
    <t>mWh</t>
  </si>
  <si>
    <t>kWh/kWp</t>
  </si>
  <si>
    <t>cm2</t>
  </si>
  <si>
    <t>Flow</t>
  </si>
  <si>
    <t>V</t>
  </si>
  <si>
    <t>Voltage</t>
  </si>
  <si>
    <t>Li Ion</t>
  </si>
  <si>
    <t>Capacity</t>
  </si>
  <si>
    <t>Energy</t>
  </si>
  <si>
    <t>Nominal Voltage</t>
  </si>
  <si>
    <t>mW</t>
  </si>
  <si>
    <t>Maximum Current  in the Sun</t>
  </si>
  <si>
    <t>Inputs</t>
  </si>
  <si>
    <t>Power Generation</t>
  </si>
  <si>
    <t>MicroProcessor Sleep Mode</t>
  </si>
  <si>
    <t>Transceiver</t>
  </si>
  <si>
    <t>MicroProcessor Active Mode</t>
  </si>
  <si>
    <t>MicroProcessor Active Period</t>
  </si>
  <si>
    <t>Transceiver Active Period</t>
  </si>
  <si>
    <t>Sec</t>
  </si>
  <si>
    <t>Active Cycles per Hour</t>
  </si>
  <si>
    <t>est. Peak Power</t>
  </si>
  <si>
    <t>MicroProcessor Active per Hour</t>
  </si>
  <si>
    <t>Transceiver Acitve per Hour</t>
  </si>
  <si>
    <t>MicroProcessor Active Period Consumption per Hour</t>
  </si>
  <si>
    <t>MicroProcessor Sleep Mode Consumption per Hour</t>
  </si>
  <si>
    <t>MicroProcessor Sleep Mode per Hour</t>
  </si>
  <si>
    <t>Transceiver Active Period Consumption per Hour</t>
  </si>
  <si>
    <t>Total Consumption per Hour</t>
  </si>
  <si>
    <t>Total Consumption per Day</t>
  </si>
  <si>
    <t>Total Consumption per Month</t>
  </si>
  <si>
    <t>Total Consumption per Year</t>
  </si>
  <si>
    <t>Total Runtime on Battery in Days</t>
  </si>
  <si>
    <t>mAh/y</t>
  </si>
  <si>
    <t>Battery Internal Discharge per year</t>
  </si>
  <si>
    <t>Battery Internal Discharge per Hour</t>
  </si>
  <si>
    <t>Solar Panel Area</t>
  </si>
  <si>
    <t>Good Reference  (200W/m2) Comparison</t>
  </si>
  <si>
    <t>Duty Cycle of the Tranceiver</t>
  </si>
  <si>
    <t>Tranceiver Use per Day (TTN Fair Use is 30 Sec per Day)</t>
  </si>
  <si>
    <t>Efficiency (typically  &gt; 0,8)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</si>
  <si>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</si>
  <si>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</si>
  <si>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</si>
  <si>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</si>
  <si>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</si>
  <si>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</si>
  <si>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</si>
  <si>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</si>
  <si>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</si>
  <si>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</si>
  <si>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</si>
  <si>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</si>
  <si>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Monthly Yield in kWh per kWp</t>
  </si>
  <si>
    <t>Total</t>
  </si>
  <si>
    <t>Local Circumstances</t>
  </si>
  <si>
    <t>Schading from Obstacles</t>
  </si>
  <si>
    <t>Maximum Loss</t>
  </si>
  <si>
    <t>Energy Storage</t>
  </si>
  <si>
    <t>Energy Consumption</t>
  </si>
  <si>
    <t>Solar Country Conditions</t>
  </si>
  <si>
    <t>Latitude, Country</t>
  </si>
  <si>
    <t>Month</t>
  </si>
  <si>
    <t>Solar Panel Information</t>
  </si>
  <si>
    <t>Charge Converter Information</t>
  </si>
  <si>
    <t>Battery Information</t>
  </si>
  <si>
    <t>Consumers Information</t>
  </si>
  <si>
    <t>pH</t>
  </si>
  <si>
    <t>Maximum Runtime on Battery Charge in Hours</t>
  </si>
  <si>
    <t>Solar Panel Rating</t>
  </si>
  <si>
    <t>Charge Converter Rating</t>
  </si>
  <si>
    <t>Battery Rating</t>
  </si>
  <si>
    <t>Internal Discharge Current</t>
  </si>
  <si>
    <t>see Internet:</t>
  </si>
  <si>
    <t xml:space="preserve"> Solar Monthly Harvesting</t>
  </si>
  <si>
    <t>Consumers Ratings</t>
  </si>
  <si>
    <t>Additional Information:</t>
  </si>
  <si>
    <t>supplier information</t>
  </si>
  <si>
    <t>measure with multimeter</t>
  </si>
  <si>
    <t>supplier informatin or estimate</t>
  </si>
  <si>
    <t>supplier info or measurement</t>
  </si>
  <si>
    <t>your oown code</t>
  </si>
  <si>
    <t xml:space="preserve">kWh per kWp </t>
  </si>
  <si>
    <t>kWp = Kilowattpeak</t>
  </si>
  <si>
    <t>Results w/o Solar Charge</t>
  </si>
  <si>
    <t>https://www.sonnenverlauf.de</t>
  </si>
  <si>
    <t>see Site:</t>
  </si>
  <si>
    <t>check sunrise and sunset  directions</t>
  </si>
  <si>
    <t>etimate shading for worst month</t>
  </si>
  <si>
    <t>Energy Harvest possible at Location</t>
  </si>
  <si>
    <t>Energy Harvest lost by Shading at Location</t>
  </si>
  <si>
    <t>Calculation</t>
  </si>
  <si>
    <t>Max Harvest</t>
  </si>
  <si>
    <t>My Panel</t>
  </si>
  <si>
    <t>Opt. Panel</t>
  </si>
  <si>
    <t>Harvest</t>
  </si>
  <si>
    <t>your choice</t>
  </si>
  <si>
    <t>Initial Battery Charge</t>
  </si>
  <si>
    <t>Consumption</t>
  </si>
  <si>
    <t>My Charge</t>
  </si>
  <si>
    <t>My  total</t>
  </si>
  <si>
    <t>State 1</t>
  </si>
  <si>
    <t>State 2</t>
  </si>
  <si>
    <t>Results with Solar Charge</t>
  </si>
  <si>
    <t>Shading (0% = total, 100% = no shading)</t>
  </si>
  <si>
    <t>Battery State of Charge over 2 Years</t>
  </si>
  <si>
    <t>Charge Flow over 2 Years</t>
  </si>
  <si>
    <t>Converter</t>
  </si>
  <si>
    <t>Min Flow</t>
  </si>
  <si>
    <t>Max Flow</t>
  </si>
  <si>
    <t>Min State 1</t>
  </si>
  <si>
    <t>Max State 2</t>
  </si>
  <si>
    <t>Min State 2</t>
  </si>
  <si>
    <t>Max State 1</t>
  </si>
  <si>
    <t>Mär</t>
  </si>
  <si>
    <t>Average</t>
  </si>
  <si>
    <t>Deviation</t>
  </si>
  <si>
    <t>Dev %</t>
  </si>
  <si>
    <t>South of Germany</t>
  </si>
  <si>
    <t>kWh per kWp</t>
  </si>
  <si>
    <t xml:space="preserve">mAh   equals </t>
  </si>
  <si>
    <t>Example for a performant solar generator</t>
  </si>
  <si>
    <t>days of not expected irregular weather per month</t>
  </si>
  <si>
    <t>Charge Var pm</t>
  </si>
  <si>
    <t>see YouTube Tutorial!</t>
  </si>
  <si>
    <t>Dimension a small Solar Generator</t>
  </si>
  <si>
    <t>What size is right?</t>
  </si>
  <si>
    <t>How much Energy can I expect?</t>
  </si>
  <si>
    <t>You can do similar for your location</t>
  </si>
  <si>
    <t>A sophisticated worst case estimation.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</si>
  <si>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</si>
  <si>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</si>
  <si>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</si>
  <si>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</si>
  <si>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</si>
  <si>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Version 01.06.2021</t>
  </si>
  <si>
    <t>Solar Generator &amp; Battery Dimensioning</t>
  </si>
  <si>
    <t>Dimensioning</t>
  </si>
  <si>
    <t>Examples with Micro-Processor-Boards</t>
  </si>
  <si>
    <t>Weather Variation</t>
  </si>
  <si>
    <t>estimate from your own perceptions</t>
  </si>
  <si>
    <t>Variation Simulation</t>
  </si>
  <si>
    <t>Consumption Equivalent in Days</t>
  </si>
  <si>
    <t>Consumption Equivalent with no Charge</t>
  </si>
  <si>
    <t>Days</t>
  </si>
  <si>
    <t>Energy for no Charge Days per month</t>
  </si>
  <si>
    <t>Uncertainty , degradation, etc</t>
  </si>
  <si>
    <t>Over all uncertainties estimate</t>
  </si>
  <si>
    <t>plan</t>
  </si>
  <si>
    <t>actual</t>
  </si>
  <si>
    <t>Stuttgart</t>
  </si>
  <si>
    <t>Simulation</t>
  </si>
  <si>
    <t>act-sim</t>
  </si>
  <si>
    <t>Sum</t>
  </si>
  <si>
    <t>kWh</t>
  </si>
  <si>
    <t>in  Episode 1</t>
  </si>
  <si>
    <t>act+20%</t>
  </si>
  <si>
    <t>Version 05.11.2021 (error corrections)</t>
  </si>
  <si>
    <t>Michaels Data:</t>
  </si>
  <si>
    <t>Version 15.11.2021 (minor graphics corrections)</t>
  </si>
  <si>
    <t>Winter optimized</t>
  </si>
  <si>
    <t>(Summer is uncritical)</t>
  </si>
  <si>
    <t>Steep Panel Angle</t>
  </si>
  <si>
    <t>Max</t>
  </si>
  <si>
    <t>Min</t>
  </si>
  <si>
    <t>Year</t>
  </si>
  <si>
    <t>Michael</t>
  </si>
  <si>
    <t>SFV Data Stuttgart</t>
  </si>
  <si>
    <t>Nov-Feb</t>
  </si>
  <si>
    <t>Jan-Feb</t>
  </si>
  <si>
    <t>Nov-Dez</t>
  </si>
  <si>
    <t>Scenario:</t>
  </si>
  <si>
    <t>Worst Case with 2 Solar Cells</t>
  </si>
  <si>
    <t>Best Case with 1  Solar Cell</t>
  </si>
  <si>
    <t>Average Case with 45% Variation</t>
  </si>
  <si>
    <t>Sceanrio:</t>
  </si>
  <si>
    <t>Actual 2021 Data with 1 Solar Cell</t>
  </si>
  <si>
    <t>Real Life Experience and Comparison</t>
  </si>
  <si>
    <t xml:space="preserve">       2011-2020</t>
  </si>
  <si>
    <t>Actual 2021 Data with 2 Solar Cell</t>
  </si>
  <si>
    <t>Actual 2021 Data with 2 Solar Cell 2 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</si>
</sst>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%"/>
    <numFmt numFmtId="166" formatCode="#,##0.0"/>
    <numFmt numFmtId="167" formatCode="#,##0.000"/>
    <numFmt numFmtId="168" formatCode="0.0"/>
    <numFmt numFmtId="169" formatCode="0.000"/>
    <numFmt numFmtId="170" formatCode="[$-407]mmm/\ yy;@"/>
  </numFmts>
  <fonts count="3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rgb="FF333333"/>
      <name val="Cambria"/>
      <family val="1"/>
    </font>
    <font>
      <sz val="18"/>
      <color theme="1"/>
      <name val="Calibri"/>
      <family val="2"/>
      <scheme val="minor"/>
    </font>
    <font>
      <b/>
      <sz val="22"/>
      <color theme="1"/>
      <name val="Cambria"/>
      <family val="1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  <font>
      <b/>
      <sz val="16"/>
      <color theme="1"/>
      <name val="Cambria"/>
      <family val="1"/>
    </font>
    <font>
      <sz val="16"/>
      <color rgb="FF333333"/>
      <name val="Cambria"/>
      <family val="1"/>
    </font>
    <font>
      <sz val="16"/>
      <color theme="1"/>
      <name val="Cambria"/>
      <family val="1"/>
    </font>
    <font>
      <b/>
      <i/>
      <sz val="24"/>
      <color theme="1"/>
      <name val="Calibri"/>
      <family val="2"/>
      <scheme val="minor"/>
    </font>
    <font>
      <sz val="12"/>
      <color rgb="FF000000"/>
      <name val="-webkit-standard"/>
    </font>
    <font>
      <b/>
      <sz val="16"/>
      <color theme="4" tint="0.79998168889431442"/>
      <name val="Calibri"/>
      <family val="2"/>
      <scheme val="minor"/>
    </font>
    <font>
      <sz val="16"/>
      <color theme="4" tint="0.79998168889431442"/>
      <name val="Calibri"/>
      <family val="2"/>
      <scheme val="minor"/>
    </font>
    <font>
      <b/>
      <i/>
      <sz val="24"/>
      <color theme="4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A197"/>
        <bgColor indexed="64"/>
      </patternFill>
    </fill>
    <fill>
      <patternFill patternType="solid">
        <fgColor rgb="FFD0F2CA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9">
    <xf numFmtId="0" fontId="0" fillId="0" borderId="0" xfId="0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70" fontId="3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0" xfId="0" applyFont="1" applyFill="1"/>
    <xf numFmtId="2" fontId="3" fillId="2" borderId="0" xfId="0" applyNumberFormat="1" applyFont="1" applyFill="1"/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9" fontId="10" fillId="2" borderId="0" xfId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9" fontId="6" fillId="2" borderId="0" xfId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3" fillId="2" borderId="0" xfId="0" applyFont="1" applyFill="1" applyBorder="1" applyAlignment="1" applyProtection="1">
      <alignment horizontal="right"/>
      <protection locked="0"/>
    </xf>
    <xf numFmtId="9" fontId="3" fillId="2" borderId="0" xfId="1" applyFont="1" applyFill="1" applyBorder="1" applyAlignment="1" applyProtection="1">
      <alignment horizontal="right"/>
      <protection locked="0"/>
    </xf>
    <xf numFmtId="2" fontId="3" fillId="2" borderId="0" xfId="0" applyNumberFormat="1" applyFont="1" applyFill="1" applyBorder="1" applyProtection="1">
      <protection locked="0"/>
    </xf>
    <xf numFmtId="164" fontId="3" fillId="2" borderId="0" xfId="0" applyNumberFormat="1" applyFont="1" applyFill="1" applyBorder="1" applyProtection="1">
      <protection locked="0"/>
    </xf>
    <xf numFmtId="0" fontId="15" fillId="2" borderId="0" xfId="0" applyFont="1" applyFill="1"/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6" fillId="2" borderId="0" xfId="0" applyFont="1" applyFill="1" applyProtection="1">
      <protection hidden="1"/>
    </xf>
    <xf numFmtId="0" fontId="17" fillId="2" borderId="0" xfId="0" applyFont="1" applyFill="1" applyProtection="1">
      <protection hidden="1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 applyAlignment="1">
      <alignment horizontal="left"/>
    </xf>
    <xf numFmtId="14" fontId="15" fillId="2" borderId="0" xfId="0" applyNumberFormat="1" applyFont="1" applyFill="1" applyAlignment="1">
      <alignment horizontal="left"/>
    </xf>
    <xf numFmtId="0" fontId="21" fillId="2" borderId="0" xfId="0" applyFont="1" applyFill="1" applyProtection="1">
      <protection hidden="1"/>
    </xf>
    <xf numFmtId="0" fontId="15" fillId="2" borderId="9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22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right"/>
    </xf>
    <xf numFmtId="168" fontId="9" fillId="2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70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3" fillId="2" borderId="0" xfId="0" applyNumberFormat="1" applyFont="1" applyFill="1" applyAlignment="1">
      <alignment horizontal="right"/>
    </xf>
    <xf numFmtId="168" fontId="3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168" fontId="1" fillId="2" borderId="0" xfId="0" applyNumberFormat="1" applyFont="1" applyFill="1" applyAlignment="1">
      <alignment horizontal="right"/>
    </xf>
    <xf numFmtId="168" fontId="24" fillId="2" borderId="0" xfId="0" applyNumberFormat="1" applyFont="1" applyFill="1" applyAlignment="1">
      <alignment horizontal="right"/>
    </xf>
    <xf numFmtId="168" fontId="24" fillId="2" borderId="0" xfId="0" applyNumberFormat="1" applyFont="1" applyFill="1" applyAlignment="1">
      <alignment horizontal="left"/>
    </xf>
    <xf numFmtId="168" fontId="24" fillId="2" borderId="0" xfId="0" applyNumberFormat="1" applyFont="1" applyFill="1" applyAlignment="1">
      <alignment horizontal="center"/>
    </xf>
    <xf numFmtId="168" fontId="25" fillId="2" borderId="0" xfId="0" applyNumberFormat="1" applyFont="1" applyFill="1" applyAlignment="1">
      <alignment horizontal="right"/>
    </xf>
    <xf numFmtId="168" fontId="25" fillId="2" borderId="0" xfId="0" applyNumberFormat="1" applyFont="1" applyFill="1" applyAlignment="1">
      <alignment horizontal="left"/>
    </xf>
    <xf numFmtId="168" fontId="25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left"/>
    </xf>
    <xf numFmtId="3" fontId="3" fillId="2" borderId="0" xfId="0" applyNumberFormat="1" applyFont="1" applyFill="1"/>
    <xf numFmtId="3" fontId="25" fillId="2" borderId="0" xfId="0" applyNumberFormat="1" applyFont="1" applyFill="1" applyAlignment="1">
      <alignment horizontal="right"/>
    </xf>
    <xf numFmtId="3" fontId="25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168" fontId="23" fillId="2" borderId="0" xfId="0" applyNumberFormat="1" applyFont="1" applyFill="1" applyAlignment="1">
      <alignment horizontal="right"/>
    </xf>
    <xf numFmtId="168" fontId="23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6" fontId="3" fillId="3" borderId="0" xfId="0" applyNumberFormat="1" applyFont="1" applyFill="1"/>
    <xf numFmtId="168" fontId="26" fillId="2" borderId="0" xfId="0" applyNumberFormat="1" applyFont="1" applyFill="1" applyAlignment="1">
      <alignment horizontal="center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Protection="1"/>
    <xf numFmtId="2" fontId="3" fillId="2" borderId="0" xfId="0" applyNumberFormat="1" applyFont="1" applyFill="1" applyProtection="1"/>
    <xf numFmtId="0" fontId="3" fillId="2" borderId="0" xfId="0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center"/>
    </xf>
    <xf numFmtId="3" fontId="3" fillId="2" borderId="0" xfId="0" applyNumberFormat="1" applyFont="1" applyFill="1" applyAlignment="1" applyProtection="1">
      <alignment horizontal="center"/>
    </xf>
    <xf numFmtId="4" fontId="3" fillId="2" borderId="0" xfId="0" applyNumberFormat="1" applyFont="1" applyFill="1" applyAlignment="1" applyProtection="1">
      <alignment horizontal="center"/>
    </xf>
    <xf numFmtId="165" fontId="3" fillId="2" borderId="0" xfId="1" applyNumberFormat="1" applyFont="1" applyFill="1" applyAlignment="1" applyProtection="1">
      <alignment horizontal="center"/>
    </xf>
    <xf numFmtId="168" fontId="3" fillId="2" borderId="0" xfId="0" applyNumberFormat="1" applyFont="1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13" fillId="2" borderId="0" xfId="0" applyFont="1" applyFill="1" applyProtection="1"/>
    <xf numFmtId="0" fontId="13" fillId="2" borderId="0" xfId="0" applyFont="1" applyFill="1" applyAlignment="1" applyProtection="1">
      <alignment horizontal="right"/>
    </xf>
    <xf numFmtId="0" fontId="14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left"/>
    </xf>
    <xf numFmtId="0" fontId="6" fillId="2" borderId="1" xfId="0" applyFont="1" applyFill="1" applyBorder="1" applyAlignment="1" applyProtection="1">
      <alignment horizontal="right"/>
    </xf>
    <xf numFmtId="0" fontId="6" fillId="2" borderId="2" xfId="0" applyFont="1" applyFill="1" applyBorder="1" applyAlignment="1" applyProtection="1">
      <alignment horizontal="right"/>
    </xf>
    <xf numFmtId="0" fontId="6" fillId="2" borderId="3" xfId="0" applyFont="1" applyFill="1" applyBorder="1" applyProtection="1"/>
    <xf numFmtId="0" fontId="6" fillId="2" borderId="0" xfId="0" applyFont="1" applyFill="1" applyProtection="1"/>
    <xf numFmtId="2" fontId="6" fillId="2" borderId="0" xfId="0" applyNumberFormat="1" applyFont="1" applyFill="1" applyProtection="1"/>
    <xf numFmtId="3" fontId="6" fillId="2" borderId="0" xfId="0" applyNumberFormat="1" applyFont="1" applyFill="1" applyAlignment="1" applyProtection="1">
      <alignment horizontal="center"/>
    </xf>
    <xf numFmtId="4" fontId="6" fillId="2" borderId="2" xfId="0" applyNumberFormat="1" applyFont="1" applyFill="1" applyBorder="1" applyAlignment="1" applyProtection="1">
      <alignment horizontal="right"/>
    </xf>
    <xf numFmtId="165" fontId="6" fillId="2" borderId="2" xfId="1" applyNumberFormat="1" applyFont="1" applyFill="1" applyBorder="1" applyAlignment="1" applyProtection="1">
      <alignment horizontal="right"/>
    </xf>
    <xf numFmtId="168" fontId="6" fillId="2" borderId="2" xfId="0" applyNumberFormat="1" applyFont="1" applyFill="1" applyBorder="1" applyAlignment="1" applyProtection="1">
      <alignment horizontal="right"/>
    </xf>
    <xf numFmtId="166" fontId="3" fillId="2" borderId="0" xfId="0" applyNumberFormat="1" applyFont="1" applyFill="1" applyAlignment="1" applyProtection="1">
      <alignment horizontal="center"/>
    </xf>
    <xf numFmtId="2" fontId="3" fillId="2" borderId="0" xfId="0" applyNumberFormat="1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right"/>
    </xf>
    <xf numFmtId="0" fontId="5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horizontal="right"/>
    </xf>
    <xf numFmtId="0" fontId="7" fillId="2" borderId="0" xfId="0" applyFont="1" applyFill="1" applyProtection="1"/>
    <xf numFmtId="2" fontId="7" fillId="2" borderId="0" xfId="0" applyNumberFormat="1" applyFont="1" applyFill="1" applyProtection="1"/>
    <xf numFmtId="0" fontId="7" fillId="2" borderId="0" xfId="0" applyFont="1" applyFill="1" applyAlignment="1" applyProtection="1">
      <alignment horizontal="center"/>
    </xf>
    <xf numFmtId="165" fontId="7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Alignment="1" applyProtection="1">
      <alignment horizontal="center"/>
    </xf>
    <xf numFmtId="4" fontId="7" fillId="2" borderId="0" xfId="0" applyNumberFormat="1" applyFont="1" applyFill="1" applyAlignment="1" applyProtection="1">
      <alignment horizontal="center"/>
    </xf>
    <xf numFmtId="165" fontId="7" fillId="2" borderId="0" xfId="1" applyNumberFormat="1" applyFont="1" applyFill="1" applyAlignment="1" applyProtection="1">
      <alignment horizontal="center"/>
    </xf>
    <xf numFmtId="168" fontId="7" fillId="2" borderId="0" xfId="0" applyNumberFormat="1" applyFont="1" applyFill="1" applyAlignment="1" applyProtection="1">
      <alignment horizontal="center"/>
    </xf>
    <xf numFmtId="0" fontId="3" fillId="2" borderId="4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right"/>
    </xf>
    <xf numFmtId="0" fontId="3" fillId="2" borderId="6" xfId="0" applyFont="1" applyFill="1" applyBorder="1" applyProtection="1"/>
    <xf numFmtId="4" fontId="1" fillId="2" borderId="0" xfId="0" applyNumberFormat="1" applyFont="1" applyFill="1" applyAlignment="1" applyProtection="1">
      <alignment horizontal="center"/>
    </xf>
    <xf numFmtId="165" fontId="1" fillId="2" borderId="0" xfId="1" applyNumberFormat="1" applyFont="1" applyFill="1" applyAlignment="1" applyProtection="1">
      <alignment horizontal="center"/>
    </xf>
    <xf numFmtId="168" fontId="1" fillId="2" borderId="0" xfId="0" applyNumberFormat="1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right"/>
    </xf>
    <xf numFmtId="0" fontId="3" fillId="2" borderId="7" xfId="0" applyFont="1" applyFill="1" applyBorder="1" applyAlignment="1" applyProtection="1">
      <alignment horizontal="right"/>
    </xf>
    <xf numFmtId="0" fontId="3" fillId="2" borderId="8" xfId="0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3" fillId="2" borderId="9" xfId="0" applyFont="1" applyFill="1" applyBorder="1" applyAlignment="1" applyProtection="1">
      <alignment horizontal="right"/>
    </xf>
    <xf numFmtId="0" fontId="3" fillId="2" borderId="10" xfId="0" applyFont="1" applyFill="1" applyBorder="1" applyAlignment="1" applyProtection="1">
      <alignment horizontal="right"/>
    </xf>
    <xf numFmtId="0" fontId="3" fillId="2" borderId="11" xfId="0" applyFont="1" applyFill="1" applyBorder="1" applyProtection="1"/>
    <xf numFmtId="0" fontId="5" fillId="2" borderId="0" xfId="0" applyFont="1" applyFill="1" applyProtection="1"/>
    <xf numFmtId="0" fontId="3" fillId="2" borderId="8" xfId="0" applyFont="1" applyFill="1" applyBorder="1" applyAlignment="1" applyProtection="1">
      <alignment horizontal="left"/>
    </xf>
    <xf numFmtId="168" fontId="3" fillId="2" borderId="0" xfId="0" applyNumberFormat="1" applyFont="1" applyFill="1" applyBorder="1" applyAlignment="1" applyProtection="1">
      <alignment horizontal="right"/>
    </xf>
    <xf numFmtId="0" fontId="3" fillId="2" borderId="11" xfId="0" applyFont="1" applyFill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165" fontId="3" fillId="2" borderId="5" xfId="0" applyNumberFormat="1" applyFont="1" applyFill="1" applyBorder="1" applyAlignment="1" applyProtection="1">
      <alignment horizontal="center"/>
    </xf>
    <xf numFmtId="3" fontId="3" fillId="2" borderId="6" xfId="0" applyNumberFormat="1" applyFont="1" applyFill="1" applyBorder="1" applyAlignment="1" applyProtection="1">
      <alignment horizontal="center"/>
    </xf>
    <xf numFmtId="9" fontId="3" fillId="2" borderId="0" xfId="1" applyFont="1" applyFill="1" applyBorder="1" applyAlignment="1" applyProtection="1">
      <alignment horizontal="right"/>
    </xf>
    <xf numFmtId="0" fontId="3" fillId="2" borderId="7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 applyProtection="1">
      <alignment horizontal="center"/>
    </xf>
    <xf numFmtId="3" fontId="3" fillId="2" borderId="8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7" fillId="2" borderId="0" xfId="0" applyFont="1" applyFill="1" applyAlignment="1" applyProtection="1">
      <alignment horizontal="left"/>
    </xf>
    <xf numFmtId="0" fontId="1" fillId="2" borderId="0" xfId="0" applyFont="1" applyFill="1" applyAlignment="1" applyProtection="1">
      <alignment horizontal="right"/>
    </xf>
    <xf numFmtId="169" fontId="3" fillId="2" borderId="0" xfId="0" applyNumberFormat="1" applyFont="1" applyFill="1" applyBorder="1" applyAlignment="1" applyProtection="1">
      <alignment horizontal="right"/>
    </xf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165" fontId="3" fillId="2" borderId="10" xfId="0" applyNumberFormat="1" applyFont="1" applyFill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center"/>
    </xf>
    <xf numFmtId="0" fontId="1" fillId="2" borderId="0" xfId="0" applyFont="1" applyFill="1" applyProtection="1"/>
    <xf numFmtId="4" fontId="1" fillId="2" borderId="0" xfId="0" applyNumberFormat="1" applyFont="1" applyFill="1" applyProtection="1"/>
    <xf numFmtId="165" fontId="1" fillId="2" borderId="0" xfId="1" applyNumberFormat="1" applyFont="1" applyFill="1" applyProtection="1"/>
    <xf numFmtId="168" fontId="1" fillId="2" borderId="0" xfId="0" applyNumberFormat="1" applyFont="1" applyFill="1" applyProtection="1"/>
    <xf numFmtId="2" fontId="3" fillId="2" borderId="5" xfId="0" applyNumberFormat="1" applyFont="1" applyFill="1" applyBorder="1" applyProtection="1"/>
    <xf numFmtId="2" fontId="3" fillId="2" borderId="0" xfId="0" applyNumberFormat="1" applyFont="1" applyFill="1" applyBorder="1" applyProtection="1"/>
    <xf numFmtId="164" fontId="3" fillId="2" borderId="0" xfId="0" applyNumberFormat="1" applyFont="1" applyFill="1" applyBorder="1" applyProtection="1"/>
    <xf numFmtId="169" fontId="3" fillId="2" borderId="0" xfId="0" applyNumberFormat="1" applyFont="1" applyFill="1" applyProtection="1"/>
    <xf numFmtId="167" fontId="3" fillId="2" borderId="0" xfId="0" applyNumberFormat="1" applyFont="1" applyFill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right"/>
    </xf>
    <xf numFmtId="0" fontId="3" fillId="2" borderId="11" xfId="0" applyFont="1" applyFill="1" applyBorder="1" applyAlignment="1" applyProtection="1">
      <alignment horizontal="center"/>
    </xf>
    <xf numFmtId="2" fontId="3" fillId="2" borderId="0" xfId="0" applyNumberFormat="1" applyFont="1" applyFill="1" applyBorder="1" applyAlignment="1" applyProtection="1">
      <alignment horizontal="right"/>
    </xf>
    <xf numFmtId="14" fontId="3" fillId="2" borderId="0" xfId="0" applyNumberFormat="1" applyFont="1" applyFill="1" applyAlignment="1" applyProtection="1">
      <alignment horizontal="center"/>
    </xf>
    <xf numFmtId="14" fontId="6" fillId="2" borderId="2" xfId="0" applyNumberFormat="1" applyFont="1" applyFill="1" applyBorder="1" applyAlignment="1" applyProtection="1">
      <alignment horizontal="right"/>
    </xf>
    <xf numFmtId="14" fontId="7" fillId="2" borderId="0" xfId="0" applyNumberFormat="1" applyFont="1" applyFill="1" applyAlignment="1" applyProtection="1">
      <alignment horizontal="center"/>
    </xf>
    <xf numFmtId="14" fontId="1" fillId="2" borderId="0" xfId="0" applyNumberFormat="1" applyFont="1" applyFill="1" applyAlignment="1" applyProtection="1">
      <alignment horizontal="center"/>
    </xf>
    <xf numFmtId="14" fontId="1" fillId="2" borderId="0" xfId="0" applyNumberFormat="1" applyFont="1" applyFill="1" applyProtection="1"/>
    <xf numFmtId="2" fontId="1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0" fontId="28" fillId="4" borderId="0" xfId="0" applyFont="1" applyFill="1" applyAlignment="1">
      <alignment horizontal="right"/>
    </xf>
    <xf numFmtId="168" fontId="29" fillId="4" borderId="0" xfId="0" applyNumberFormat="1" applyFont="1" applyFill="1" applyAlignment="1">
      <alignment horizontal="right"/>
    </xf>
    <xf numFmtId="168" fontId="30" fillId="4" borderId="0" xfId="0" applyNumberFormat="1" applyFont="1" applyFill="1" applyAlignment="1">
      <alignment horizontal="center"/>
    </xf>
    <xf numFmtId="168" fontId="29" fillId="4" borderId="0" xfId="0" applyNumberFormat="1" applyFont="1" applyFill="1" applyAlignment="1">
      <alignment horizontal="left"/>
    </xf>
    <xf numFmtId="168" fontId="29" fillId="4" borderId="0" xfId="0" applyNumberFormat="1" applyFont="1" applyFill="1" applyAlignment="1">
      <alignment horizontal="center"/>
    </xf>
    <xf numFmtId="168" fontId="5" fillId="4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8" fontId="5" fillId="5" borderId="0" xfId="0" applyNumberFormat="1" applyFont="1" applyFill="1" applyAlignment="1">
      <alignment horizontal="center"/>
    </xf>
    <xf numFmtId="168" fontId="9" fillId="6" borderId="0" xfId="0" applyNumberFormat="1" applyFont="1" applyFill="1" applyAlignment="1">
      <alignment horizontal="center"/>
    </xf>
    <xf numFmtId="168" fontId="9" fillId="7" borderId="0" xfId="0" applyNumberFormat="1" applyFont="1" applyFill="1" applyAlignment="1">
      <alignment horizontal="center"/>
    </xf>
    <xf numFmtId="0" fontId="27" fillId="2" borderId="0" xfId="0" applyFont="1" applyFill="1"/>
    <xf numFmtId="2" fontId="3" fillId="7" borderId="0" xfId="0" applyNumberFormat="1" applyFont="1" applyFill="1" applyAlignment="1">
      <alignment horizontal="left"/>
    </xf>
    <xf numFmtId="2" fontId="3" fillId="7" borderId="0" xfId="0" applyNumberFormat="1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D0F2CA"/>
      <color rgb="FFEBA1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Pan - Best Case'!$D$27:$D$38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'1 Pan - Best Case'!$E$27:$E$38</c:f>
              <c:numCache>
                <c:formatCode>0.0</c:formatCode>
                <c:ptCount val="12"/>
                <c:pt idx="0">
                  <c:v>51.564581569710484</c:v>
                </c:pt>
                <c:pt idx="1">
                  <c:v>87.273775072454129</c:v>
                </c:pt>
                <c:pt idx="2">
                  <c:v>113.37770596055306</c:v>
                </c:pt>
                <c:pt idx="3">
                  <c:v>147.23244737670356</c:v>
                </c:pt>
                <c:pt idx="4">
                  <c:v>132.41529847960911</c:v>
                </c:pt>
                <c:pt idx="5">
                  <c:v>136.20503872741631</c:v>
                </c:pt>
                <c:pt idx="6">
                  <c:v>147.61494744076685</c:v>
                </c:pt>
                <c:pt idx="7">
                  <c:v>136.94975945763551</c:v>
                </c:pt>
                <c:pt idx="8">
                  <c:v>131.05893247125746</c:v>
                </c:pt>
                <c:pt idx="9">
                  <c:v>86.25794510442752</c:v>
                </c:pt>
                <c:pt idx="10">
                  <c:v>57.39394050707903</c:v>
                </c:pt>
                <c:pt idx="11">
                  <c:v>62.34311669685421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3-9342-B0F9-75CBF03C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Pan - 2021 Data'!$D$27:$D$38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'1 Pan - 2021 Data'!$E$27:$E$38</c:f>
              <c:numCache>
                <c:formatCode>0.0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94</c:v>
                </c:pt>
                <c:pt idx="3">
                  <c:v>114</c:v>
                </c:pt>
                <c:pt idx="4">
                  <c:v>118</c:v>
                </c:pt>
                <c:pt idx="5">
                  <c:v>133</c:v>
                </c:pt>
                <c:pt idx="6">
                  <c:v>119</c:v>
                </c:pt>
                <c:pt idx="7">
                  <c:v>105</c:v>
                </c:pt>
                <c:pt idx="8">
                  <c:v>111</c:v>
                </c:pt>
                <c:pt idx="9">
                  <c:v>79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1-3A4B-94DF-8A692930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Pan - 2021 Data'!$AG$18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Data'!$AG$20:$AG$43</c:f>
              <c:numCache>
                <c:formatCode>0.00</c:formatCode>
                <c:ptCount val="24"/>
                <c:pt idx="0">
                  <c:v>-2251.9952610144392</c:v>
                </c:pt>
                <c:pt idx="1">
                  <c:v>1153.4101443909658</c:v>
                </c:pt>
                <c:pt idx="2">
                  <c:v>5239.8966308774516</c:v>
                </c:pt>
                <c:pt idx="3">
                  <c:v>7185.8425768233983</c:v>
                </c:pt>
                <c:pt idx="4">
                  <c:v>7575.0317660125866</c:v>
                </c:pt>
                <c:pt idx="5">
                  <c:v>9034.4912254720475</c:v>
                </c:pt>
                <c:pt idx="6">
                  <c:v>7672.329063309885</c:v>
                </c:pt>
                <c:pt idx="7">
                  <c:v>6310.1669011477215</c:v>
                </c:pt>
                <c:pt idx="8">
                  <c:v>6893.9506849315067</c:v>
                </c:pt>
                <c:pt idx="9">
                  <c:v>3780.4371714179924</c:v>
                </c:pt>
                <c:pt idx="10">
                  <c:v>-1181.7249907441692</c:v>
                </c:pt>
                <c:pt idx="11">
                  <c:v>-1765.5087745279529</c:v>
                </c:pt>
                <c:pt idx="12">
                  <c:v>-2251.9952610144392</c:v>
                </c:pt>
                <c:pt idx="13">
                  <c:v>1153.4101443909658</c:v>
                </c:pt>
                <c:pt idx="14">
                  <c:v>5239.8966308774516</c:v>
                </c:pt>
                <c:pt idx="15">
                  <c:v>7185.8425768233983</c:v>
                </c:pt>
                <c:pt idx="16">
                  <c:v>7575.0317660125866</c:v>
                </c:pt>
                <c:pt idx="17">
                  <c:v>9034.4912254720475</c:v>
                </c:pt>
                <c:pt idx="18">
                  <c:v>7672.329063309885</c:v>
                </c:pt>
                <c:pt idx="19">
                  <c:v>6310.1669011477215</c:v>
                </c:pt>
                <c:pt idx="20">
                  <c:v>6893.9506849315067</c:v>
                </c:pt>
                <c:pt idx="21">
                  <c:v>3780.4371714179924</c:v>
                </c:pt>
                <c:pt idx="22">
                  <c:v>-1181.7249907441692</c:v>
                </c:pt>
                <c:pt idx="23">
                  <c:v>-1765.5087745279529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BB40-9E5B-AE6A2E86C773}"/>
            </c:ext>
          </c:extLst>
        </c:ser>
        <c:ser>
          <c:idx val="1"/>
          <c:order val="1"/>
          <c:tx>
            <c:strRef>
              <c:f>'1 Pan - 2021 Data'!$AH$18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Data'!$AH$20:$AH$43</c:f>
              <c:numCache>
                <c:formatCode>0.00</c:formatCode>
                <c:ptCount val="24"/>
                <c:pt idx="0">
                  <c:v>-2251.9952610144392</c:v>
                </c:pt>
                <c:pt idx="1">
                  <c:v>1153.4101443909658</c:v>
                </c:pt>
                <c:pt idx="2">
                  <c:v>5239.8966308774516</c:v>
                </c:pt>
                <c:pt idx="3">
                  <c:v>7185.8425768233983</c:v>
                </c:pt>
                <c:pt idx="4">
                  <c:v>7575.0317660125866</c:v>
                </c:pt>
                <c:pt idx="5">
                  <c:v>9034.4912254720475</c:v>
                </c:pt>
                <c:pt idx="6">
                  <c:v>7672.329063309885</c:v>
                </c:pt>
                <c:pt idx="7">
                  <c:v>6310.1669011477215</c:v>
                </c:pt>
                <c:pt idx="8">
                  <c:v>6893.9506849315067</c:v>
                </c:pt>
                <c:pt idx="9">
                  <c:v>3780.4371714179924</c:v>
                </c:pt>
                <c:pt idx="10">
                  <c:v>-1181.7249907441692</c:v>
                </c:pt>
                <c:pt idx="11">
                  <c:v>-1765.5087745279529</c:v>
                </c:pt>
                <c:pt idx="12">
                  <c:v>-2251.9952610144392</c:v>
                </c:pt>
                <c:pt idx="13">
                  <c:v>1153.4101443909658</c:v>
                </c:pt>
                <c:pt idx="14">
                  <c:v>5239.8966308774516</c:v>
                </c:pt>
                <c:pt idx="15">
                  <c:v>7185.8425768233983</c:v>
                </c:pt>
                <c:pt idx="16">
                  <c:v>7575.0317660125866</c:v>
                </c:pt>
                <c:pt idx="17">
                  <c:v>9034.4912254720475</c:v>
                </c:pt>
                <c:pt idx="18">
                  <c:v>7672.329063309885</c:v>
                </c:pt>
                <c:pt idx="19">
                  <c:v>6310.1669011477215</c:v>
                </c:pt>
                <c:pt idx="20">
                  <c:v>6893.9506849315067</c:v>
                </c:pt>
                <c:pt idx="21">
                  <c:v>3780.4371714179924</c:v>
                </c:pt>
                <c:pt idx="22">
                  <c:v>-1181.7249907441692</c:v>
                </c:pt>
                <c:pt idx="23">
                  <c:v>-1765.5087745279529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BB40-9E5B-AE6A2E86C773}"/>
            </c:ext>
          </c:extLst>
        </c:ser>
        <c:ser>
          <c:idx val="2"/>
          <c:order val="2"/>
          <c:tx>
            <c:strRef>
              <c:f>'1 Pan - 2021 Data'!$AI$18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Data'!$AI$20:$AI$43</c:f>
              <c:numCache>
                <c:formatCode>0.00</c:formatCode>
                <c:ptCount val="24"/>
                <c:pt idx="0">
                  <c:v>-2251.9952610144392</c:v>
                </c:pt>
                <c:pt idx="1">
                  <c:v>1153.4101443909658</c:v>
                </c:pt>
                <c:pt idx="2">
                  <c:v>5239.8966308774516</c:v>
                </c:pt>
                <c:pt idx="3">
                  <c:v>7185.8425768233983</c:v>
                </c:pt>
                <c:pt idx="4">
                  <c:v>7575.0317660125866</c:v>
                </c:pt>
                <c:pt idx="5">
                  <c:v>9034.4912254720475</c:v>
                </c:pt>
                <c:pt idx="6">
                  <c:v>7672.329063309885</c:v>
                </c:pt>
                <c:pt idx="7">
                  <c:v>6310.1669011477215</c:v>
                </c:pt>
                <c:pt idx="8">
                  <c:v>6893.9506849315067</c:v>
                </c:pt>
                <c:pt idx="9">
                  <c:v>3780.4371714179924</c:v>
                </c:pt>
                <c:pt idx="10">
                  <c:v>-1181.7249907441692</c:v>
                </c:pt>
                <c:pt idx="11">
                  <c:v>-1765.5087745279529</c:v>
                </c:pt>
                <c:pt idx="12">
                  <c:v>-2251.9952610144392</c:v>
                </c:pt>
                <c:pt idx="13">
                  <c:v>1153.4101443909658</c:v>
                </c:pt>
                <c:pt idx="14">
                  <c:v>5239.8966308774516</c:v>
                </c:pt>
                <c:pt idx="15">
                  <c:v>7185.8425768233983</c:v>
                </c:pt>
                <c:pt idx="16">
                  <c:v>7575.0317660125866</c:v>
                </c:pt>
                <c:pt idx="17">
                  <c:v>9034.4912254720475</c:v>
                </c:pt>
                <c:pt idx="18">
                  <c:v>7672.329063309885</c:v>
                </c:pt>
                <c:pt idx="19">
                  <c:v>6310.1669011477215</c:v>
                </c:pt>
                <c:pt idx="20">
                  <c:v>6893.9506849315067</c:v>
                </c:pt>
                <c:pt idx="21">
                  <c:v>3780.4371714179924</c:v>
                </c:pt>
                <c:pt idx="22">
                  <c:v>-1181.7249907441692</c:v>
                </c:pt>
                <c:pt idx="23">
                  <c:v>-1765.5087745279529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1-BB40-9E5B-AE6A2E86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Pan - 2021 Data'!$AM$18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Data'!$AM$20:$AM$43</c:f>
              <c:numCache>
                <c:formatCode>0.00</c:formatCode>
                <c:ptCount val="24"/>
                <c:pt idx="0">
                  <c:v>0</c:v>
                </c:pt>
                <c:pt idx="1">
                  <c:v>201.41488337652663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1118.2750092558308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1118.2750092558308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774D-9E9F-BDCB32A2AD50}"/>
            </c:ext>
          </c:extLst>
        </c:ser>
        <c:ser>
          <c:idx val="1"/>
          <c:order val="1"/>
          <c:tx>
            <c:strRef>
              <c:f>'1 Pan - 2021 Data'!$AN$18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Data'!$AN$20:$AN$43</c:f>
              <c:numCache>
                <c:formatCode>0.00</c:formatCode>
                <c:ptCount val="24"/>
                <c:pt idx="0">
                  <c:v>0</c:v>
                </c:pt>
                <c:pt idx="1">
                  <c:v>201.41488337652663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1118.2750092558308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1118.2750092558308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774D-9E9F-BDCB32A2AD50}"/>
            </c:ext>
          </c:extLst>
        </c:ser>
        <c:ser>
          <c:idx val="2"/>
          <c:order val="2"/>
          <c:tx>
            <c:strRef>
              <c:f>'1 Pan - 2021 Data'!$AO$18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Data'!$AO$20:$AO$43</c:f>
              <c:numCache>
                <c:formatCode>0.00</c:formatCode>
                <c:ptCount val="24"/>
                <c:pt idx="0">
                  <c:v>0</c:v>
                </c:pt>
                <c:pt idx="1">
                  <c:v>201.41488337652663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1118.2750092558308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1118.2750092558308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774D-9E9F-BDCB32A2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Pan - 2021 Data'!$D$27:$D$38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 Pan - 2021 Data'!$E$27:$E$38</c:f>
              <c:numCache>
                <c:formatCode>0.0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94</c:v>
                </c:pt>
                <c:pt idx="3">
                  <c:v>114</c:v>
                </c:pt>
                <c:pt idx="4">
                  <c:v>118</c:v>
                </c:pt>
                <c:pt idx="5">
                  <c:v>133</c:v>
                </c:pt>
                <c:pt idx="6">
                  <c:v>119</c:v>
                </c:pt>
                <c:pt idx="7">
                  <c:v>105</c:v>
                </c:pt>
                <c:pt idx="8">
                  <c:v>111</c:v>
                </c:pt>
                <c:pt idx="9">
                  <c:v>79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9041-B885-E36ACB8B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- 2021 Data'!$AG$18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- 2021 Data'!$AG$20:$AG$43</c:f>
              <c:numCache>
                <c:formatCode>0.00</c:formatCode>
                <c:ptCount val="24"/>
                <c:pt idx="0">
                  <c:v>-597.94120696038544</c:v>
                </c:pt>
                <c:pt idx="1">
                  <c:v>6212.8696038504249</c:v>
                </c:pt>
                <c:pt idx="2">
                  <c:v>14385.842576823397</c:v>
                </c:pt>
                <c:pt idx="3">
                  <c:v>18277.734468715291</c:v>
                </c:pt>
                <c:pt idx="4">
                  <c:v>19056.112847093667</c:v>
                </c:pt>
                <c:pt idx="5">
                  <c:v>21975.031766012587</c:v>
                </c:pt>
                <c:pt idx="6">
                  <c:v>19250.707441688264</c:v>
                </c:pt>
                <c:pt idx="7">
                  <c:v>16526.383117363937</c:v>
                </c:pt>
                <c:pt idx="8">
                  <c:v>17693.950684931508</c:v>
                </c:pt>
                <c:pt idx="9">
                  <c:v>11466.923657904477</c:v>
                </c:pt>
                <c:pt idx="10">
                  <c:v>1542.599333580155</c:v>
                </c:pt>
                <c:pt idx="11">
                  <c:v>180.43717141799289</c:v>
                </c:pt>
                <c:pt idx="12">
                  <c:v>-597.94120696038544</c:v>
                </c:pt>
                <c:pt idx="13">
                  <c:v>6212.8696038504249</c:v>
                </c:pt>
                <c:pt idx="14">
                  <c:v>14385.842576823397</c:v>
                </c:pt>
                <c:pt idx="15">
                  <c:v>18277.734468715291</c:v>
                </c:pt>
                <c:pt idx="16">
                  <c:v>19056.112847093667</c:v>
                </c:pt>
                <c:pt idx="17">
                  <c:v>21975.031766012587</c:v>
                </c:pt>
                <c:pt idx="18">
                  <c:v>19250.707441688264</c:v>
                </c:pt>
                <c:pt idx="19">
                  <c:v>16526.383117363937</c:v>
                </c:pt>
                <c:pt idx="20">
                  <c:v>17693.950684931508</c:v>
                </c:pt>
                <c:pt idx="21">
                  <c:v>11466.923657904477</c:v>
                </c:pt>
                <c:pt idx="22">
                  <c:v>1542.599333580155</c:v>
                </c:pt>
                <c:pt idx="23">
                  <c:v>180.43717141799289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2-F942-A651-A38921B3C656}"/>
            </c:ext>
          </c:extLst>
        </c:ser>
        <c:ser>
          <c:idx val="1"/>
          <c:order val="1"/>
          <c:tx>
            <c:strRef>
              <c:f>'2 Pan - 2021 Data'!$AH$18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- 2021 Data'!$AH$20:$AH$43</c:f>
              <c:numCache>
                <c:formatCode>0.00</c:formatCode>
                <c:ptCount val="24"/>
                <c:pt idx="0">
                  <c:v>-597.94120696038544</c:v>
                </c:pt>
                <c:pt idx="1">
                  <c:v>6212.8696038504249</c:v>
                </c:pt>
                <c:pt idx="2">
                  <c:v>14385.842576823397</c:v>
                </c:pt>
                <c:pt idx="3">
                  <c:v>18277.734468715291</c:v>
                </c:pt>
                <c:pt idx="4">
                  <c:v>19056.112847093667</c:v>
                </c:pt>
                <c:pt idx="5">
                  <c:v>21975.031766012587</c:v>
                </c:pt>
                <c:pt idx="6">
                  <c:v>19250.707441688264</c:v>
                </c:pt>
                <c:pt idx="7">
                  <c:v>16526.383117363937</c:v>
                </c:pt>
                <c:pt idx="8">
                  <c:v>17693.950684931508</c:v>
                </c:pt>
                <c:pt idx="9">
                  <c:v>11466.923657904477</c:v>
                </c:pt>
                <c:pt idx="10">
                  <c:v>1542.599333580155</c:v>
                </c:pt>
                <c:pt idx="11">
                  <c:v>180.43717141799289</c:v>
                </c:pt>
                <c:pt idx="12">
                  <c:v>-597.94120696038544</c:v>
                </c:pt>
                <c:pt idx="13">
                  <c:v>6212.8696038504249</c:v>
                </c:pt>
                <c:pt idx="14">
                  <c:v>14385.842576823397</c:v>
                </c:pt>
                <c:pt idx="15">
                  <c:v>18277.734468715291</c:v>
                </c:pt>
                <c:pt idx="16">
                  <c:v>19056.112847093667</c:v>
                </c:pt>
                <c:pt idx="17">
                  <c:v>21975.031766012587</c:v>
                </c:pt>
                <c:pt idx="18">
                  <c:v>19250.707441688264</c:v>
                </c:pt>
                <c:pt idx="19">
                  <c:v>16526.383117363937</c:v>
                </c:pt>
                <c:pt idx="20">
                  <c:v>17693.950684931508</c:v>
                </c:pt>
                <c:pt idx="21">
                  <c:v>11466.923657904477</c:v>
                </c:pt>
                <c:pt idx="22">
                  <c:v>1542.599333580155</c:v>
                </c:pt>
                <c:pt idx="23">
                  <c:v>180.43717141799289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52-F942-A651-A38921B3C656}"/>
            </c:ext>
          </c:extLst>
        </c:ser>
        <c:ser>
          <c:idx val="2"/>
          <c:order val="2"/>
          <c:tx>
            <c:strRef>
              <c:f>'2 Pan - 2021 Data'!$AI$18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- 2021 Data'!$AI$20:$AI$43</c:f>
              <c:numCache>
                <c:formatCode>0.00</c:formatCode>
                <c:ptCount val="24"/>
                <c:pt idx="0">
                  <c:v>-597.94120696038544</c:v>
                </c:pt>
                <c:pt idx="1">
                  <c:v>6212.8696038504249</c:v>
                </c:pt>
                <c:pt idx="2">
                  <c:v>14385.842576823397</c:v>
                </c:pt>
                <c:pt idx="3">
                  <c:v>18277.734468715291</c:v>
                </c:pt>
                <c:pt idx="4">
                  <c:v>19056.112847093667</c:v>
                </c:pt>
                <c:pt idx="5">
                  <c:v>21975.031766012587</c:v>
                </c:pt>
                <c:pt idx="6">
                  <c:v>19250.707441688264</c:v>
                </c:pt>
                <c:pt idx="7">
                  <c:v>16526.383117363937</c:v>
                </c:pt>
                <c:pt idx="8">
                  <c:v>17693.950684931508</c:v>
                </c:pt>
                <c:pt idx="9">
                  <c:v>11466.923657904477</c:v>
                </c:pt>
                <c:pt idx="10">
                  <c:v>1542.599333580155</c:v>
                </c:pt>
                <c:pt idx="11">
                  <c:v>180.43717141799289</c:v>
                </c:pt>
                <c:pt idx="12">
                  <c:v>-597.94120696038544</c:v>
                </c:pt>
                <c:pt idx="13">
                  <c:v>6212.8696038504249</c:v>
                </c:pt>
                <c:pt idx="14">
                  <c:v>14385.842576823397</c:v>
                </c:pt>
                <c:pt idx="15">
                  <c:v>18277.734468715291</c:v>
                </c:pt>
                <c:pt idx="16">
                  <c:v>19056.112847093667</c:v>
                </c:pt>
                <c:pt idx="17">
                  <c:v>21975.031766012587</c:v>
                </c:pt>
                <c:pt idx="18">
                  <c:v>19250.707441688264</c:v>
                </c:pt>
                <c:pt idx="19">
                  <c:v>16526.383117363937</c:v>
                </c:pt>
                <c:pt idx="20">
                  <c:v>17693.950684931508</c:v>
                </c:pt>
                <c:pt idx="21">
                  <c:v>11466.923657904477</c:v>
                </c:pt>
                <c:pt idx="22">
                  <c:v>1542.599333580155</c:v>
                </c:pt>
                <c:pt idx="23">
                  <c:v>180.43717141799289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52-F942-A651-A38921B3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- 2021 Data'!$AM$18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- 2021 Data'!$AM$20:$AM$43</c:f>
              <c:numCache>
                <c:formatCode>0.00</c:formatCode>
                <c:ptCount val="24"/>
                <c:pt idx="0">
                  <c:v>1402.0587930396146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1702.0587930396146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C-284A-8F1F-60B3F353CE13}"/>
            </c:ext>
          </c:extLst>
        </c:ser>
        <c:ser>
          <c:idx val="1"/>
          <c:order val="1"/>
          <c:tx>
            <c:strRef>
              <c:f>'2 Pan - 2021 Data'!$AN$18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- 2021 Data'!$AN$20:$AN$43</c:f>
              <c:numCache>
                <c:formatCode>0.00</c:formatCode>
                <c:ptCount val="24"/>
                <c:pt idx="0">
                  <c:v>1402.0587930396146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1702.0587930396146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C-284A-8F1F-60B3F353CE13}"/>
            </c:ext>
          </c:extLst>
        </c:ser>
        <c:ser>
          <c:idx val="2"/>
          <c:order val="2"/>
          <c:tx>
            <c:strRef>
              <c:f>'2 Pan - 2021 Data'!$AO$18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- 2021 Data'!$AA$20:$AA$43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- 2021 Data'!$AO$20:$AO$43</c:f>
              <c:numCache>
                <c:formatCode>0.00</c:formatCode>
                <c:ptCount val="24"/>
                <c:pt idx="0">
                  <c:v>1402.0587930396146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1702.0587930396146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8C-284A-8F1F-60B3F353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Pan - 30% Unc - 2021 Dat'!$D$27:$D$38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 Pan - 30% Unc - 2021 Dat'!$E$27:$E$38</c:f>
              <c:numCache>
                <c:formatCode>0.0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94</c:v>
                </c:pt>
                <c:pt idx="3">
                  <c:v>114</c:v>
                </c:pt>
                <c:pt idx="4">
                  <c:v>118</c:v>
                </c:pt>
                <c:pt idx="5">
                  <c:v>133</c:v>
                </c:pt>
                <c:pt idx="6">
                  <c:v>119</c:v>
                </c:pt>
                <c:pt idx="7">
                  <c:v>105</c:v>
                </c:pt>
                <c:pt idx="8">
                  <c:v>111</c:v>
                </c:pt>
                <c:pt idx="9">
                  <c:v>79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1-6F4F-B060-810C64B5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- 30% Unc - 2021 Dat'!$AG$18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- 30% Unc - 2021 Dat'!$AA$20:$AA$43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- 30% Unc - 2021 Dat'!$AG$20:$AG$43</c:f>
              <c:numCache>
                <c:formatCode>0.00</c:formatCode>
                <c:ptCount val="24"/>
                <c:pt idx="0">
                  <c:v>-597.94120696038544</c:v>
                </c:pt>
                <c:pt idx="1">
                  <c:v>6212.8696038504249</c:v>
                </c:pt>
                <c:pt idx="2">
                  <c:v>14385.842576823397</c:v>
                </c:pt>
                <c:pt idx="3">
                  <c:v>18277.734468715291</c:v>
                </c:pt>
                <c:pt idx="4">
                  <c:v>19056.112847093667</c:v>
                </c:pt>
                <c:pt idx="5">
                  <c:v>21975.031766012587</c:v>
                </c:pt>
                <c:pt idx="6">
                  <c:v>19250.707441688264</c:v>
                </c:pt>
                <c:pt idx="7">
                  <c:v>16526.383117363937</c:v>
                </c:pt>
                <c:pt idx="8">
                  <c:v>17693.950684931508</c:v>
                </c:pt>
                <c:pt idx="9">
                  <c:v>11466.923657904477</c:v>
                </c:pt>
                <c:pt idx="10">
                  <c:v>1542.599333580155</c:v>
                </c:pt>
                <c:pt idx="11">
                  <c:v>180.43717141799289</c:v>
                </c:pt>
                <c:pt idx="12">
                  <c:v>-597.94120696038544</c:v>
                </c:pt>
                <c:pt idx="13">
                  <c:v>6212.8696038504249</c:v>
                </c:pt>
                <c:pt idx="14">
                  <c:v>14385.842576823397</c:v>
                </c:pt>
                <c:pt idx="15">
                  <c:v>18277.734468715291</c:v>
                </c:pt>
                <c:pt idx="16">
                  <c:v>19056.112847093667</c:v>
                </c:pt>
                <c:pt idx="17">
                  <c:v>21975.031766012587</c:v>
                </c:pt>
                <c:pt idx="18">
                  <c:v>19250.707441688264</c:v>
                </c:pt>
                <c:pt idx="19">
                  <c:v>16526.383117363937</c:v>
                </c:pt>
                <c:pt idx="20">
                  <c:v>17693.950684931508</c:v>
                </c:pt>
                <c:pt idx="21">
                  <c:v>11466.923657904477</c:v>
                </c:pt>
                <c:pt idx="22">
                  <c:v>1542.599333580155</c:v>
                </c:pt>
                <c:pt idx="23">
                  <c:v>180.43717141799289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8-1641-9C95-20CE38FE042D}"/>
            </c:ext>
          </c:extLst>
        </c:ser>
        <c:ser>
          <c:idx val="1"/>
          <c:order val="1"/>
          <c:tx>
            <c:strRef>
              <c:f>'2 Pan - 30% Unc - 2021 Dat'!$AH$18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- 30% Unc - 2021 Dat'!$AA$20:$AA$43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- 30% Unc - 2021 Dat'!$AH$20:$AH$43</c:f>
              <c:numCache>
                <c:formatCode>0.00</c:formatCode>
                <c:ptCount val="24"/>
                <c:pt idx="0">
                  <c:v>-1590.3736393928179</c:v>
                </c:pt>
                <c:pt idx="1">
                  <c:v>3177.1939281747491</c:v>
                </c:pt>
                <c:pt idx="2">
                  <c:v>8898.2750092558272</c:v>
                </c:pt>
                <c:pt idx="3">
                  <c:v>11622.599333580154</c:v>
                </c:pt>
                <c:pt idx="4">
                  <c:v>12167.464198445017</c:v>
                </c:pt>
                <c:pt idx="5">
                  <c:v>14210.707441688261</c:v>
                </c:pt>
                <c:pt idx="6">
                  <c:v>12303.680414661234</c:v>
                </c:pt>
                <c:pt idx="7">
                  <c:v>10396.653387634207</c:v>
                </c:pt>
                <c:pt idx="8">
                  <c:v>11213.950684931504</c:v>
                </c:pt>
                <c:pt idx="9">
                  <c:v>6855.0317660125866</c:v>
                </c:pt>
                <c:pt idx="10">
                  <c:v>-91.99526101443962</c:v>
                </c:pt>
                <c:pt idx="11">
                  <c:v>-1045.5087745279529</c:v>
                </c:pt>
                <c:pt idx="12">
                  <c:v>-1590.3736393928179</c:v>
                </c:pt>
                <c:pt idx="13">
                  <c:v>3177.1939281747491</c:v>
                </c:pt>
                <c:pt idx="14">
                  <c:v>8898.2750092558272</c:v>
                </c:pt>
                <c:pt idx="15">
                  <c:v>11622.599333580154</c:v>
                </c:pt>
                <c:pt idx="16">
                  <c:v>12167.464198445017</c:v>
                </c:pt>
                <c:pt idx="17">
                  <c:v>14210.707441688261</c:v>
                </c:pt>
                <c:pt idx="18">
                  <c:v>12303.680414661234</c:v>
                </c:pt>
                <c:pt idx="19">
                  <c:v>10396.653387634207</c:v>
                </c:pt>
                <c:pt idx="20">
                  <c:v>11213.950684931504</c:v>
                </c:pt>
                <c:pt idx="21">
                  <c:v>6855.0317660125866</c:v>
                </c:pt>
                <c:pt idx="22">
                  <c:v>-91.99526101443962</c:v>
                </c:pt>
                <c:pt idx="23">
                  <c:v>-1045.5087745279529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8-1641-9C95-20CE38FE042D}"/>
            </c:ext>
          </c:extLst>
        </c:ser>
        <c:ser>
          <c:idx val="2"/>
          <c:order val="2"/>
          <c:tx>
            <c:strRef>
              <c:f>'2 Pan - 30% Unc - 2021 Dat'!$AI$18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- 30% Unc - 2021 Dat'!$AA$20:$AA$43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- 30% Unc - 2021 Dat'!$AI$20:$AI$43</c:f>
              <c:numCache>
                <c:formatCode>0.00</c:formatCode>
                <c:ptCount val="24"/>
                <c:pt idx="0">
                  <c:v>394.49122547204752</c:v>
                </c:pt>
                <c:pt idx="1">
                  <c:v>9248.5452795261008</c:v>
                </c:pt>
                <c:pt idx="2">
                  <c:v>19873.410144390964</c:v>
                </c:pt>
                <c:pt idx="3">
                  <c:v>24932.869603850428</c:v>
                </c:pt>
                <c:pt idx="4">
                  <c:v>25944.761495742317</c:v>
                </c:pt>
                <c:pt idx="5">
                  <c:v>29739.356090336914</c:v>
                </c:pt>
                <c:pt idx="6">
                  <c:v>26197.734468715291</c:v>
                </c:pt>
                <c:pt idx="7">
                  <c:v>22656.112847093667</c:v>
                </c:pt>
                <c:pt idx="8">
                  <c:v>24173.950684931508</c:v>
                </c:pt>
                <c:pt idx="9">
                  <c:v>16078.815549796371</c:v>
                </c:pt>
                <c:pt idx="10">
                  <c:v>3177.19392817475</c:v>
                </c:pt>
                <c:pt idx="11">
                  <c:v>1406.3831173639392</c:v>
                </c:pt>
                <c:pt idx="12">
                  <c:v>394.49122547204752</c:v>
                </c:pt>
                <c:pt idx="13">
                  <c:v>9248.5452795261008</c:v>
                </c:pt>
                <c:pt idx="14">
                  <c:v>19873.410144390964</c:v>
                </c:pt>
                <c:pt idx="15">
                  <c:v>24932.869603850428</c:v>
                </c:pt>
                <c:pt idx="16">
                  <c:v>25944.761495742317</c:v>
                </c:pt>
                <c:pt idx="17">
                  <c:v>29739.356090336914</c:v>
                </c:pt>
                <c:pt idx="18">
                  <c:v>26197.734468715291</c:v>
                </c:pt>
                <c:pt idx="19">
                  <c:v>22656.112847093667</c:v>
                </c:pt>
                <c:pt idx="20">
                  <c:v>24173.950684931508</c:v>
                </c:pt>
                <c:pt idx="21">
                  <c:v>16078.815549796371</c:v>
                </c:pt>
                <c:pt idx="22">
                  <c:v>3177.19392817475</c:v>
                </c:pt>
                <c:pt idx="23">
                  <c:v>1406.3831173639392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A8-1641-9C95-20CE38FE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- 30% Unc - 2021 Dat'!$AM$18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- 30% Unc - 2021 Dat'!$AA$20:$AA$43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- 30% Unc - 2021 Dat'!$AM$20:$AM$43</c:f>
              <c:numCache>
                <c:formatCode>0.00</c:formatCode>
                <c:ptCount val="24"/>
                <c:pt idx="0">
                  <c:v>1402.0587930396146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1702.0587930396146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4-9A4D-976D-7E67F17258B5}"/>
            </c:ext>
          </c:extLst>
        </c:ser>
        <c:ser>
          <c:idx val="1"/>
          <c:order val="1"/>
          <c:tx>
            <c:strRef>
              <c:f>'2 Pan - 30% Unc - 2021 Dat'!$AN$18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- 30% Unc - 2021 Dat'!$AA$20:$AA$43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- 30% Unc - 2021 Dat'!$AN$20:$AN$43</c:f>
              <c:numCache>
                <c:formatCode>0.00</c:formatCode>
                <c:ptCount val="24"/>
                <c:pt idx="0">
                  <c:v>409.62636060718205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2208.0047389855604</c:v>
                </c:pt>
                <c:pt idx="11">
                  <c:v>1162.4959644576074</c:v>
                </c:pt>
                <c:pt idx="12">
                  <c:v>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2208.0047389855604</c:v>
                </c:pt>
                <c:pt idx="23">
                  <c:v>1162.4959644576074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4-9A4D-976D-7E67F17258B5}"/>
            </c:ext>
          </c:extLst>
        </c:ser>
        <c:ser>
          <c:idx val="2"/>
          <c:order val="2"/>
          <c:tx>
            <c:strRef>
              <c:f>'2 Pan - 30% Unc - 2021 Dat'!$AO$18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- 30% Unc - 2021 Dat'!$AA$20:$AA$43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- 30% Unc - 2021 Dat'!$AO$20:$AO$43</c:f>
              <c:numCache>
                <c:formatCode>0.00</c:formatCode>
                <c:ptCount val="2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4-9A4D-976D-7E67F172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Bat - 2 Pan - 30% Unc - 2021'!$D$27:$D$38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 Bat - 2 Pan - 30% Unc - 2021'!$E$27:$E$38</c:f>
              <c:numCache>
                <c:formatCode>0.0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94</c:v>
                </c:pt>
                <c:pt idx="3">
                  <c:v>114</c:v>
                </c:pt>
                <c:pt idx="4">
                  <c:v>118</c:v>
                </c:pt>
                <c:pt idx="5">
                  <c:v>133</c:v>
                </c:pt>
                <c:pt idx="6">
                  <c:v>119</c:v>
                </c:pt>
                <c:pt idx="7">
                  <c:v>105</c:v>
                </c:pt>
                <c:pt idx="8">
                  <c:v>111</c:v>
                </c:pt>
                <c:pt idx="9">
                  <c:v>79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3046-8BD7-E9B1C9E9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Pan - Best Case'!$AG$18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Pan - Best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Best Case'!$AG$20:$AG$43</c:f>
              <c:numCache>
                <c:formatCode>0.00</c:formatCode>
                <c:ptCount val="24"/>
                <c:pt idx="0">
                  <c:v>395.04510793036479</c:v>
                </c:pt>
                <c:pt idx="1">
                  <c:v>3869.4531244135305</c:v>
                </c:pt>
                <c:pt idx="2">
                  <c:v>6409.2950486609971</c:v>
                </c:pt>
                <c:pt idx="3">
                  <c:v>9703.2698891513137</c:v>
                </c:pt>
                <c:pt idx="4">
                  <c:v>8261.6013478123914</c:v>
                </c:pt>
                <c:pt idx="5">
                  <c:v>8630.3328313828224</c:v>
                </c:pt>
                <c:pt idx="6">
                  <c:v>9740.4861116007141</c:v>
                </c:pt>
                <c:pt idx="7">
                  <c:v>8702.7921456744207</c:v>
                </c:pt>
                <c:pt idx="8">
                  <c:v>8129.6306010538556</c:v>
                </c:pt>
                <c:pt idx="9">
                  <c:v>3770.6156140109415</c:v>
                </c:pt>
                <c:pt idx="10">
                  <c:v>962.22597751217018</c:v>
                </c:pt>
                <c:pt idx="11">
                  <c:v>1443.7674446254305</c:v>
                </c:pt>
                <c:pt idx="12">
                  <c:v>395.04510793036479</c:v>
                </c:pt>
                <c:pt idx="13">
                  <c:v>3869.4531244135305</c:v>
                </c:pt>
                <c:pt idx="14">
                  <c:v>6409.2950486609971</c:v>
                </c:pt>
                <c:pt idx="15">
                  <c:v>9703.2698891513137</c:v>
                </c:pt>
                <c:pt idx="16">
                  <c:v>8261.6013478123914</c:v>
                </c:pt>
                <c:pt idx="17">
                  <c:v>8630.3328313828224</c:v>
                </c:pt>
                <c:pt idx="18">
                  <c:v>9740.4861116007141</c:v>
                </c:pt>
                <c:pt idx="19">
                  <c:v>8702.7921456744207</c:v>
                </c:pt>
                <c:pt idx="20">
                  <c:v>8129.6306010538556</c:v>
                </c:pt>
                <c:pt idx="21">
                  <c:v>3770.6156140109415</c:v>
                </c:pt>
                <c:pt idx="22">
                  <c:v>962.22597751217018</c:v>
                </c:pt>
                <c:pt idx="23">
                  <c:v>1443.7674446254305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2-C147-B4BA-9B1D4C7B1806}"/>
            </c:ext>
          </c:extLst>
        </c:ser>
        <c:ser>
          <c:idx val="1"/>
          <c:order val="1"/>
          <c:tx>
            <c:strRef>
              <c:f>'1 Pan - Best Case'!$AH$18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Pan - Best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Best Case'!$AH$20:$AH$43</c:f>
              <c:numCache>
                <c:formatCode>0.00</c:formatCode>
                <c:ptCount val="24"/>
                <c:pt idx="0">
                  <c:v>395.04510793036479</c:v>
                </c:pt>
                <c:pt idx="1">
                  <c:v>3869.4531244135305</c:v>
                </c:pt>
                <c:pt idx="2">
                  <c:v>6409.2950486609971</c:v>
                </c:pt>
                <c:pt idx="3">
                  <c:v>9703.2698891513137</c:v>
                </c:pt>
                <c:pt idx="4">
                  <c:v>8261.6013478123914</c:v>
                </c:pt>
                <c:pt idx="5">
                  <c:v>8630.3328313828224</c:v>
                </c:pt>
                <c:pt idx="6">
                  <c:v>9740.4861116007141</c:v>
                </c:pt>
                <c:pt idx="7">
                  <c:v>8702.7921456744207</c:v>
                </c:pt>
                <c:pt idx="8">
                  <c:v>8129.6306010538556</c:v>
                </c:pt>
                <c:pt idx="9">
                  <c:v>3770.6156140109415</c:v>
                </c:pt>
                <c:pt idx="10">
                  <c:v>962.22597751217018</c:v>
                </c:pt>
                <c:pt idx="11">
                  <c:v>1443.7674446254305</c:v>
                </c:pt>
                <c:pt idx="12">
                  <c:v>395.04510793036479</c:v>
                </c:pt>
                <c:pt idx="13">
                  <c:v>3869.4531244135305</c:v>
                </c:pt>
                <c:pt idx="14">
                  <c:v>6409.2950486609971</c:v>
                </c:pt>
                <c:pt idx="15">
                  <c:v>9703.2698891513137</c:v>
                </c:pt>
                <c:pt idx="16">
                  <c:v>8261.6013478123914</c:v>
                </c:pt>
                <c:pt idx="17">
                  <c:v>8630.3328313828224</c:v>
                </c:pt>
                <c:pt idx="18">
                  <c:v>9740.4861116007141</c:v>
                </c:pt>
                <c:pt idx="19">
                  <c:v>8702.7921456744207</c:v>
                </c:pt>
                <c:pt idx="20">
                  <c:v>8129.6306010538556</c:v>
                </c:pt>
                <c:pt idx="21">
                  <c:v>3770.6156140109415</c:v>
                </c:pt>
                <c:pt idx="22">
                  <c:v>962.22597751217018</c:v>
                </c:pt>
                <c:pt idx="23">
                  <c:v>1443.7674446254305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2-C147-B4BA-9B1D4C7B1806}"/>
            </c:ext>
          </c:extLst>
        </c:ser>
        <c:ser>
          <c:idx val="2"/>
          <c:order val="2"/>
          <c:tx>
            <c:strRef>
              <c:f>'1 Pan - Best Case'!$AI$18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Pan - Best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Best Case'!$AI$20:$AI$43</c:f>
              <c:numCache>
                <c:formatCode>0.00</c:formatCode>
                <c:ptCount val="24"/>
                <c:pt idx="0">
                  <c:v>395.04510793036479</c:v>
                </c:pt>
                <c:pt idx="1">
                  <c:v>3869.4531244135305</c:v>
                </c:pt>
                <c:pt idx="2">
                  <c:v>6409.2950486609971</c:v>
                </c:pt>
                <c:pt idx="3">
                  <c:v>9703.2698891513137</c:v>
                </c:pt>
                <c:pt idx="4">
                  <c:v>8261.6013478123914</c:v>
                </c:pt>
                <c:pt idx="5">
                  <c:v>8630.3328313828224</c:v>
                </c:pt>
                <c:pt idx="6">
                  <c:v>9740.4861116007141</c:v>
                </c:pt>
                <c:pt idx="7">
                  <c:v>8702.7921456744207</c:v>
                </c:pt>
                <c:pt idx="8">
                  <c:v>8129.6306010538556</c:v>
                </c:pt>
                <c:pt idx="9">
                  <c:v>3770.6156140109415</c:v>
                </c:pt>
                <c:pt idx="10">
                  <c:v>962.22597751217018</c:v>
                </c:pt>
                <c:pt idx="11">
                  <c:v>1443.7674446254305</c:v>
                </c:pt>
                <c:pt idx="12">
                  <c:v>395.04510793036479</c:v>
                </c:pt>
                <c:pt idx="13">
                  <c:v>3869.4531244135305</c:v>
                </c:pt>
                <c:pt idx="14">
                  <c:v>6409.2950486609971</c:v>
                </c:pt>
                <c:pt idx="15">
                  <c:v>9703.2698891513137</c:v>
                </c:pt>
                <c:pt idx="16">
                  <c:v>8261.6013478123914</c:v>
                </c:pt>
                <c:pt idx="17">
                  <c:v>8630.3328313828224</c:v>
                </c:pt>
                <c:pt idx="18">
                  <c:v>9740.4861116007141</c:v>
                </c:pt>
                <c:pt idx="19">
                  <c:v>8702.7921456744207</c:v>
                </c:pt>
                <c:pt idx="20">
                  <c:v>8129.6306010538556</c:v>
                </c:pt>
                <c:pt idx="21">
                  <c:v>3770.6156140109415</c:v>
                </c:pt>
                <c:pt idx="22">
                  <c:v>962.22597751217018</c:v>
                </c:pt>
                <c:pt idx="23">
                  <c:v>1443.7674446254305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2-C147-B4BA-9B1D4C7B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Bat - 2 Pan - 30% Unc - 2021'!$AG$18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Bat - 2 Pan - 30% Unc - 2021'!$AA$20:$AA$43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Bat - 2 Pan - 30% Unc - 2021'!$AG$20:$AG$43</c:f>
              <c:numCache>
                <c:formatCode>0.00</c:formatCode>
                <c:ptCount val="24"/>
                <c:pt idx="0">
                  <c:v>-704.79052202887897</c:v>
                </c:pt>
                <c:pt idx="1">
                  <c:v>6106.0202887819314</c:v>
                </c:pt>
                <c:pt idx="2">
                  <c:v>14278.993261754902</c:v>
                </c:pt>
                <c:pt idx="3">
                  <c:v>18170.885153646796</c:v>
                </c:pt>
                <c:pt idx="4">
                  <c:v>18949.263532025172</c:v>
                </c:pt>
                <c:pt idx="5">
                  <c:v>21868.182450944092</c:v>
                </c:pt>
                <c:pt idx="6">
                  <c:v>19143.858126619769</c:v>
                </c:pt>
                <c:pt idx="7">
                  <c:v>16419.533802295442</c:v>
                </c:pt>
                <c:pt idx="8">
                  <c:v>17587.101369863012</c:v>
                </c:pt>
                <c:pt idx="9">
                  <c:v>11360.074342835986</c:v>
                </c:pt>
                <c:pt idx="10">
                  <c:v>1435.7500185116614</c:v>
                </c:pt>
                <c:pt idx="11">
                  <c:v>268.18245094409394</c:v>
                </c:pt>
                <c:pt idx="12">
                  <c:v>-704.79052202887897</c:v>
                </c:pt>
                <c:pt idx="13">
                  <c:v>6106.0202887819314</c:v>
                </c:pt>
                <c:pt idx="14">
                  <c:v>14278.993261754902</c:v>
                </c:pt>
                <c:pt idx="15">
                  <c:v>18170.885153646796</c:v>
                </c:pt>
                <c:pt idx="16">
                  <c:v>18949.263532025172</c:v>
                </c:pt>
                <c:pt idx="17">
                  <c:v>21868.182450944092</c:v>
                </c:pt>
                <c:pt idx="18">
                  <c:v>19143.858126619769</c:v>
                </c:pt>
                <c:pt idx="19">
                  <c:v>16419.533802295442</c:v>
                </c:pt>
                <c:pt idx="20">
                  <c:v>17587.101369863012</c:v>
                </c:pt>
                <c:pt idx="21">
                  <c:v>11360.074342835986</c:v>
                </c:pt>
                <c:pt idx="22">
                  <c:v>1435.7500185116614</c:v>
                </c:pt>
                <c:pt idx="23">
                  <c:v>268.18245094409394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C-9F47-8B06-3216939A90C3}"/>
            </c:ext>
          </c:extLst>
        </c:ser>
        <c:ser>
          <c:idx val="1"/>
          <c:order val="1"/>
          <c:tx>
            <c:strRef>
              <c:f>'2 Bat - 2 Pan - 30% Unc - 2021'!$AH$18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Bat - 2 Pan - 30% Unc - 2021'!$AA$20:$AA$43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Bat - 2 Pan - 30% Unc - 2021'!$AH$20:$AH$43</c:f>
              <c:numCache>
                <c:formatCode>0.00</c:formatCode>
                <c:ptCount val="24"/>
                <c:pt idx="0">
                  <c:v>-1697.2229544613115</c:v>
                </c:pt>
                <c:pt idx="1">
                  <c:v>3070.3446131062556</c:v>
                </c:pt>
                <c:pt idx="2">
                  <c:v>8791.4256941873355</c:v>
                </c:pt>
                <c:pt idx="3">
                  <c:v>11515.750018511659</c:v>
                </c:pt>
                <c:pt idx="4">
                  <c:v>12060.614883376526</c:v>
                </c:pt>
                <c:pt idx="5">
                  <c:v>14103.858126619765</c:v>
                </c:pt>
                <c:pt idx="6">
                  <c:v>12196.831099592742</c:v>
                </c:pt>
                <c:pt idx="7">
                  <c:v>10289.804072565712</c:v>
                </c:pt>
                <c:pt idx="8">
                  <c:v>11107.101369863012</c:v>
                </c:pt>
                <c:pt idx="9">
                  <c:v>6748.182450944093</c:v>
                </c:pt>
                <c:pt idx="10">
                  <c:v>-198.84457608293314</c:v>
                </c:pt>
                <c:pt idx="11">
                  <c:v>-1016.1418733802307</c:v>
                </c:pt>
                <c:pt idx="12">
                  <c:v>-1697.2229544613115</c:v>
                </c:pt>
                <c:pt idx="13">
                  <c:v>3070.3446131062556</c:v>
                </c:pt>
                <c:pt idx="14">
                  <c:v>8791.4256941873355</c:v>
                </c:pt>
                <c:pt idx="15">
                  <c:v>11515.750018511659</c:v>
                </c:pt>
                <c:pt idx="16">
                  <c:v>12060.614883376526</c:v>
                </c:pt>
                <c:pt idx="17">
                  <c:v>14103.858126619765</c:v>
                </c:pt>
                <c:pt idx="18">
                  <c:v>12196.831099592742</c:v>
                </c:pt>
                <c:pt idx="19">
                  <c:v>10289.804072565712</c:v>
                </c:pt>
                <c:pt idx="20">
                  <c:v>11107.101369863012</c:v>
                </c:pt>
                <c:pt idx="21">
                  <c:v>6748.182450944093</c:v>
                </c:pt>
                <c:pt idx="22">
                  <c:v>-198.84457608293314</c:v>
                </c:pt>
                <c:pt idx="23">
                  <c:v>-1016.1418733802307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C-9F47-8B06-3216939A90C3}"/>
            </c:ext>
          </c:extLst>
        </c:ser>
        <c:ser>
          <c:idx val="2"/>
          <c:order val="2"/>
          <c:tx>
            <c:strRef>
              <c:f>'2 Bat - 2 Pan - 30% Unc - 2021'!$AI$18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Bat - 2 Pan - 30% Unc - 2021'!$AA$20:$AA$43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Bat - 2 Pan - 30% Unc - 2021'!$AI$20:$AI$43</c:f>
              <c:numCache>
                <c:formatCode>0.00</c:formatCode>
                <c:ptCount val="24"/>
                <c:pt idx="0">
                  <c:v>287.64191040355399</c:v>
                </c:pt>
                <c:pt idx="1">
                  <c:v>9141.6959644576091</c:v>
                </c:pt>
                <c:pt idx="2">
                  <c:v>19766.560829322469</c:v>
                </c:pt>
                <c:pt idx="3">
                  <c:v>24826.020288781932</c:v>
                </c:pt>
                <c:pt idx="4">
                  <c:v>25837.912180673822</c:v>
                </c:pt>
                <c:pt idx="5">
                  <c:v>29632.506775268419</c:v>
                </c:pt>
                <c:pt idx="6">
                  <c:v>26090.885153646796</c:v>
                </c:pt>
                <c:pt idx="7">
                  <c:v>22549.263532025172</c:v>
                </c:pt>
                <c:pt idx="8">
                  <c:v>24067.101369863012</c:v>
                </c:pt>
                <c:pt idx="9">
                  <c:v>15971.966234727875</c:v>
                </c:pt>
                <c:pt idx="10">
                  <c:v>3070.3446131062565</c:v>
                </c:pt>
                <c:pt idx="11">
                  <c:v>1552.5067752684181</c:v>
                </c:pt>
                <c:pt idx="12">
                  <c:v>287.64191040355399</c:v>
                </c:pt>
                <c:pt idx="13">
                  <c:v>9141.6959644576091</c:v>
                </c:pt>
                <c:pt idx="14">
                  <c:v>19766.560829322469</c:v>
                </c:pt>
                <c:pt idx="15">
                  <c:v>24826.020288781932</c:v>
                </c:pt>
                <c:pt idx="16">
                  <c:v>25837.912180673822</c:v>
                </c:pt>
                <c:pt idx="17">
                  <c:v>29632.506775268419</c:v>
                </c:pt>
                <c:pt idx="18">
                  <c:v>26090.885153646796</c:v>
                </c:pt>
                <c:pt idx="19">
                  <c:v>22549.263532025172</c:v>
                </c:pt>
                <c:pt idx="20">
                  <c:v>24067.101369863012</c:v>
                </c:pt>
                <c:pt idx="21">
                  <c:v>15971.966234727875</c:v>
                </c:pt>
                <c:pt idx="22">
                  <c:v>3070.3446131062565</c:v>
                </c:pt>
                <c:pt idx="23">
                  <c:v>1552.5067752684181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C-9F47-8B06-3216939A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Bat - 2 Pan - 30% Unc - 2021'!$AM$18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Bat - 2 Pan - 30% Unc - 2021'!$AA$20:$AA$43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Bat - 2 Pan - 30% Unc - 2021'!$AM$20:$AM$43</c:f>
              <c:numCache>
                <c:formatCode>0.00</c:formatCode>
                <c:ptCount val="24"/>
                <c:pt idx="0">
                  <c:v>3295.209477971121</c:v>
                </c:pt>
                <c:pt idx="1">
                  <c:v>4600</c:v>
                </c:pt>
                <c:pt idx="2">
                  <c:v>4600</c:v>
                </c:pt>
                <c:pt idx="3">
                  <c:v>4600</c:v>
                </c:pt>
                <c:pt idx="4">
                  <c:v>4600</c:v>
                </c:pt>
                <c:pt idx="5">
                  <c:v>4600</c:v>
                </c:pt>
                <c:pt idx="6">
                  <c:v>4600</c:v>
                </c:pt>
                <c:pt idx="7">
                  <c:v>4600</c:v>
                </c:pt>
                <c:pt idx="8">
                  <c:v>4600</c:v>
                </c:pt>
                <c:pt idx="9">
                  <c:v>4600</c:v>
                </c:pt>
                <c:pt idx="10">
                  <c:v>4600</c:v>
                </c:pt>
                <c:pt idx="11">
                  <c:v>4600</c:v>
                </c:pt>
                <c:pt idx="12">
                  <c:v>3895.209477971121</c:v>
                </c:pt>
                <c:pt idx="13">
                  <c:v>4600</c:v>
                </c:pt>
                <c:pt idx="14">
                  <c:v>4600</c:v>
                </c:pt>
                <c:pt idx="15">
                  <c:v>4600</c:v>
                </c:pt>
                <c:pt idx="16">
                  <c:v>4600</c:v>
                </c:pt>
                <c:pt idx="17">
                  <c:v>4600</c:v>
                </c:pt>
                <c:pt idx="18">
                  <c:v>4600</c:v>
                </c:pt>
                <c:pt idx="19">
                  <c:v>4600</c:v>
                </c:pt>
                <c:pt idx="20">
                  <c:v>4600</c:v>
                </c:pt>
                <c:pt idx="21">
                  <c:v>4600</c:v>
                </c:pt>
                <c:pt idx="22">
                  <c:v>4600</c:v>
                </c:pt>
                <c:pt idx="23">
                  <c:v>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7-4F47-A4A1-EE83AD881668}"/>
            </c:ext>
          </c:extLst>
        </c:ser>
        <c:ser>
          <c:idx val="1"/>
          <c:order val="1"/>
          <c:tx>
            <c:strRef>
              <c:f>'2 Bat - 2 Pan - 30% Unc - 2021'!$AN$18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Bat - 2 Pan - 30% Unc - 2021'!$AA$20:$AA$43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Bat - 2 Pan - 30% Unc - 2021'!$AN$20:$AN$43</c:f>
              <c:numCache>
                <c:formatCode>0.00</c:formatCode>
                <c:ptCount val="24"/>
                <c:pt idx="0">
                  <c:v>2302.7770455386885</c:v>
                </c:pt>
                <c:pt idx="1">
                  <c:v>4600</c:v>
                </c:pt>
                <c:pt idx="2">
                  <c:v>4600</c:v>
                </c:pt>
                <c:pt idx="3">
                  <c:v>4600</c:v>
                </c:pt>
                <c:pt idx="4">
                  <c:v>4600</c:v>
                </c:pt>
                <c:pt idx="5">
                  <c:v>4600</c:v>
                </c:pt>
                <c:pt idx="6">
                  <c:v>4600</c:v>
                </c:pt>
                <c:pt idx="7">
                  <c:v>4600</c:v>
                </c:pt>
                <c:pt idx="8">
                  <c:v>4600</c:v>
                </c:pt>
                <c:pt idx="9">
                  <c:v>4600</c:v>
                </c:pt>
                <c:pt idx="10">
                  <c:v>4401.1554239170673</c:v>
                </c:pt>
                <c:pt idx="11">
                  <c:v>3385.0135505368366</c:v>
                </c:pt>
                <c:pt idx="12">
                  <c:v>1687.7905960755252</c:v>
                </c:pt>
                <c:pt idx="13">
                  <c:v>4600</c:v>
                </c:pt>
                <c:pt idx="14">
                  <c:v>4600</c:v>
                </c:pt>
                <c:pt idx="15">
                  <c:v>4600</c:v>
                </c:pt>
                <c:pt idx="16">
                  <c:v>4600</c:v>
                </c:pt>
                <c:pt idx="17">
                  <c:v>4600</c:v>
                </c:pt>
                <c:pt idx="18">
                  <c:v>4600</c:v>
                </c:pt>
                <c:pt idx="19">
                  <c:v>4600</c:v>
                </c:pt>
                <c:pt idx="20">
                  <c:v>4600</c:v>
                </c:pt>
                <c:pt idx="21">
                  <c:v>4600</c:v>
                </c:pt>
                <c:pt idx="22">
                  <c:v>4401.1554239170673</c:v>
                </c:pt>
                <c:pt idx="23">
                  <c:v>3385.0135505368366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E7-4F47-A4A1-EE83AD881668}"/>
            </c:ext>
          </c:extLst>
        </c:ser>
        <c:ser>
          <c:idx val="2"/>
          <c:order val="2"/>
          <c:tx>
            <c:strRef>
              <c:f>'2 Bat - 2 Pan - 30% Unc - 2021'!$AO$18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Bat - 2 Pan - 30% Unc - 2021'!$AA$20:$AA$43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Bat - 2 Pan - 30% Unc - 2021'!$AO$20:$AO$43</c:f>
              <c:numCache>
                <c:formatCode>0.00</c:formatCode>
                <c:ptCount val="24"/>
                <c:pt idx="0">
                  <c:v>4287.641910403554</c:v>
                </c:pt>
                <c:pt idx="1">
                  <c:v>4600</c:v>
                </c:pt>
                <c:pt idx="2">
                  <c:v>4600</c:v>
                </c:pt>
                <c:pt idx="3">
                  <c:v>4600</c:v>
                </c:pt>
                <c:pt idx="4">
                  <c:v>4600</c:v>
                </c:pt>
                <c:pt idx="5">
                  <c:v>4600</c:v>
                </c:pt>
                <c:pt idx="6">
                  <c:v>4600</c:v>
                </c:pt>
                <c:pt idx="7">
                  <c:v>4600</c:v>
                </c:pt>
                <c:pt idx="8">
                  <c:v>4600</c:v>
                </c:pt>
                <c:pt idx="9">
                  <c:v>4600</c:v>
                </c:pt>
                <c:pt idx="10">
                  <c:v>4600</c:v>
                </c:pt>
                <c:pt idx="11">
                  <c:v>4600</c:v>
                </c:pt>
                <c:pt idx="12">
                  <c:v>4600</c:v>
                </c:pt>
                <c:pt idx="13">
                  <c:v>4600</c:v>
                </c:pt>
                <c:pt idx="14">
                  <c:v>4600</c:v>
                </c:pt>
                <c:pt idx="15">
                  <c:v>4600</c:v>
                </c:pt>
                <c:pt idx="16">
                  <c:v>4600</c:v>
                </c:pt>
                <c:pt idx="17">
                  <c:v>4600</c:v>
                </c:pt>
                <c:pt idx="18">
                  <c:v>4600</c:v>
                </c:pt>
                <c:pt idx="19">
                  <c:v>4600</c:v>
                </c:pt>
                <c:pt idx="20">
                  <c:v>4600</c:v>
                </c:pt>
                <c:pt idx="21">
                  <c:v>4600</c:v>
                </c:pt>
                <c:pt idx="22">
                  <c:v>4600</c:v>
                </c:pt>
                <c:pt idx="23">
                  <c:v>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E7-4F47-A4A1-EE83AD88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Pan - 2021 Data Low Power'!$D$27:$D$38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'1 Pan - 2021 Data Low Power'!$E$27:$E$38</c:f>
              <c:numCache>
                <c:formatCode>0.0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94</c:v>
                </c:pt>
                <c:pt idx="3">
                  <c:v>114</c:v>
                </c:pt>
                <c:pt idx="4">
                  <c:v>118</c:v>
                </c:pt>
                <c:pt idx="5">
                  <c:v>133</c:v>
                </c:pt>
                <c:pt idx="6">
                  <c:v>119</c:v>
                </c:pt>
                <c:pt idx="7">
                  <c:v>105</c:v>
                </c:pt>
                <c:pt idx="8">
                  <c:v>111</c:v>
                </c:pt>
                <c:pt idx="9">
                  <c:v>79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6-C343-BA32-CFAEAD71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Pan - 2021 Data Low Power'!$AG$18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Pan - 2021 Data Low Power'!$AA$20:$AA$43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 Low Power'!$AG$20:$AG$43</c:f>
              <c:numCache>
                <c:formatCode>0.00</c:formatCode>
                <c:ptCount val="24"/>
                <c:pt idx="0">
                  <c:v>-604.40066641984447</c:v>
                </c:pt>
                <c:pt idx="1">
                  <c:v>10.464198445020315</c:v>
                </c:pt>
                <c:pt idx="2">
                  <c:v>748.30203628285813</c:v>
                </c:pt>
                <c:pt idx="3">
                  <c:v>1099.6533876342096</c:v>
                </c:pt>
                <c:pt idx="4">
                  <c:v>1169.9236579044798</c:v>
                </c:pt>
                <c:pt idx="5">
                  <c:v>1433.4371714179931</c:v>
                </c:pt>
                <c:pt idx="6">
                  <c:v>1187.4912254720473</c:v>
                </c:pt>
                <c:pt idx="7">
                  <c:v>941.54527952610147</c:v>
                </c:pt>
                <c:pt idx="8">
                  <c:v>1046.9506849315069</c:v>
                </c:pt>
                <c:pt idx="9">
                  <c:v>484.78852276934458</c:v>
                </c:pt>
                <c:pt idx="10">
                  <c:v>-411.15742317660124</c:v>
                </c:pt>
                <c:pt idx="11">
                  <c:v>-516.56282858200666</c:v>
                </c:pt>
                <c:pt idx="12">
                  <c:v>-604.40066641984447</c:v>
                </c:pt>
                <c:pt idx="13">
                  <c:v>10.464198445020315</c:v>
                </c:pt>
                <c:pt idx="14">
                  <c:v>748.30203628285813</c:v>
                </c:pt>
                <c:pt idx="15">
                  <c:v>1099.6533876342096</c:v>
                </c:pt>
                <c:pt idx="16">
                  <c:v>1169.9236579044798</c:v>
                </c:pt>
                <c:pt idx="17">
                  <c:v>1433.4371714179931</c:v>
                </c:pt>
                <c:pt idx="18">
                  <c:v>1187.4912254720473</c:v>
                </c:pt>
                <c:pt idx="19">
                  <c:v>941.54527952610147</c:v>
                </c:pt>
                <c:pt idx="20">
                  <c:v>1046.9506849315069</c:v>
                </c:pt>
                <c:pt idx="21">
                  <c:v>484.78852276934458</c:v>
                </c:pt>
                <c:pt idx="22">
                  <c:v>-411.15742317660124</c:v>
                </c:pt>
                <c:pt idx="23">
                  <c:v>-516.56282858200666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8-7143-B175-8102D58D4C26}"/>
            </c:ext>
          </c:extLst>
        </c:ser>
        <c:ser>
          <c:idx val="1"/>
          <c:order val="1"/>
          <c:tx>
            <c:strRef>
              <c:f>'1 Pan - 2021 Data Low Power'!$AH$18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Pan - 2021 Data Low Power'!$AA$20:$AA$43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 Low Power'!$AH$20:$AH$43</c:f>
              <c:numCache>
                <c:formatCode>0.00</c:formatCode>
                <c:ptCount val="24"/>
                <c:pt idx="0">
                  <c:v>-693.99526101443905</c:v>
                </c:pt>
                <c:pt idx="1">
                  <c:v>-263.58985560903375</c:v>
                </c:pt>
                <c:pt idx="2">
                  <c:v>252.89663087745271</c:v>
                </c:pt>
                <c:pt idx="3">
                  <c:v>498.84257682339876</c:v>
                </c:pt>
                <c:pt idx="4">
                  <c:v>548.03176601258792</c:v>
                </c:pt>
                <c:pt idx="5">
                  <c:v>732.49122547204706</c:v>
                </c:pt>
                <c:pt idx="6">
                  <c:v>560.32906330988499</c:v>
                </c:pt>
                <c:pt idx="7">
                  <c:v>388.16690114772291</c:v>
                </c:pt>
                <c:pt idx="8">
                  <c:v>461.95068493150688</c:v>
                </c:pt>
                <c:pt idx="9">
                  <c:v>68.437171417993227</c:v>
                </c:pt>
                <c:pt idx="10">
                  <c:v>-558.72499074416885</c:v>
                </c:pt>
                <c:pt idx="11">
                  <c:v>-632.5087745279526</c:v>
                </c:pt>
                <c:pt idx="12">
                  <c:v>-693.99526101443905</c:v>
                </c:pt>
                <c:pt idx="13">
                  <c:v>-263.58985560903375</c:v>
                </c:pt>
                <c:pt idx="14">
                  <c:v>252.89663087745271</c:v>
                </c:pt>
                <c:pt idx="15">
                  <c:v>498.84257682339876</c:v>
                </c:pt>
                <c:pt idx="16">
                  <c:v>548.03176601258792</c:v>
                </c:pt>
                <c:pt idx="17">
                  <c:v>732.49122547204706</c:v>
                </c:pt>
                <c:pt idx="18">
                  <c:v>560.32906330988499</c:v>
                </c:pt>
                <c:pt idx="19">
                  <c:v>388.16690114772291</c:v>
                </c:pt>
                <c:pt idx="20">
                  <c:v>461.95068493150688</c:v>
                </c:pt>
                <c:pt idx="21">
                  <c:v>68.437171417993227</c:v>
                </c:pt>
                <c:pt idx="22">
                  <c:v>-558.72499074416885</c:v>
                </c:pt>
                <c:pt idx="23">
                  <c:v>-632.5087745279526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8-7143-B175-8102D58D4C26}"/>
            </c:ext>
          </c:extLst>
        </c:ser>
        <c:ser>
          <c:idx val="2"/>
          <c:order val="2"/>
          <c:tx>
            <c:strRef>
              <c:f>'1 Pan - 2021 Data Low Power'!$AI$18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Pan - 2021 Data Low Power'!$AA$20:$AA$43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 Low Power'!$AI$20:$AI$43</c:f>
              <c:numCache>
                <c:formatCode>0.00</c:formatCode>
                <c:ptCount val="24"/>
                <c:pt idx="0">
                  <c:v>-514.80607182524989</c:v>
                </c:pt>
                <c:pt idx="1">
                  <c:v>284.51825249907438</c:v>
                </c:pt>
                <c:pt idx="2">
                  <c:v>1243.7074416882635</c:v>
                </c:pt>
                <c:pt idx="3">
                  <c:v>1700.4641984450207</c:v>
                </c:pt>
                <c:pt idx="4">
                  <c:v>1791.8155497963719</c:v>
                </c:pt>
                <c:pt idx="5">
                  <c:v>2134.3831173639392</c:v>
                </c:pt>
                <c:pt idx="6">
                  <c:v>1814.6533876342094</c:v>
                </c:pt>
                <c:pt idx="7">
                  <c:v>1494.9236579044798</c:v>
                </c:pt>
                <c:pt idx="8">
                  <c:v>1631.9506849315069</c:v>
                </c:pt>
                <c:pt idx="9">
                  <c:v>901.13987412069605</c:v>
                </c:pt>
                <c:pt idx="10">
                  <c:v>-263.58985560903363</c:v>
                </c:pt>
                <c:pt idx="11">
                  <c:v>-400.61688263606072</c:v>
                </c:pt>
                <c:pt idx="12">
                  <c:v>-514.80607182524989</c:v>
                </c:pt>
                <c:pt idx="13">
                  <c:v>284.51825249907438</c:v>
                </c:pt>
                <c:pt idx="14">
                  <c:v>1243.7074416882635</c:v>
                </c:pt>
                <c:pt idx="15">
                  <c:v>1700.4641984450207</c:v>
                </c:pt>
                <c:pt idx="16">
                  <c:v>1791.8155497963719</c:v>
                </c:pt>
                <c:pt idx="17">
                  <c:v>2134.3831173639392</c:v>
                </c:pt>
                <c:pt idx="18">
                  <c:v>1814.6533876342094</c:v>
                </c:pt>
                <c:pt idx="19">
                  <c:v>1494.9236579044798</c:v>
                </c:pt>
                <c:pt idx="20">
                  <c:v>1631.9506849315069</c:v>
                </c:pt>
                <c:pt idx="21">
                  <c:v>901.13987412069605</c:v>
                </c:pt>
                <c:pt idx="22">
                  <c:v>-263.58985560903363</c:v>
                </c:pt>
                <c:pt idx="23">
                  <c:v>-400.61688263606072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8-7143-B175-8102D58D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Pan - 2021 Data Low Power'!$AM$18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Pan - 2021 Data Low Power'!$AA$20:$AA$43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 Low Power'!$AM$20:$AM$43</c:f>
              <c:numCache>
                <c:formatCode>0.00</c:formatCode>
                <c:ptCount val="24"/>
                <c:pt idx="0">
                  <c:v>395.59933358015553</c:v>
                </c:pt>
                <c:pt idx="1">
                  <c:v>406.06353202517585</c:v>
                </c:pt>
                <c:pt idx="2">
                  <c:v>1154.365568308034</c:v>
                </c:pt>
                <c:pt idx="3">
                  <c:v>2254.0189559422433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1888.8425768233988</c:v>
                </c:pt>
                <c:pt idx="11">
                  <c:v>1372.2797482413921</c:v>
                </c:pt>
                <c:pt idx="12">
                  <c:v>767.87908182154763</c:v>
                </c:pt>
                <c:pt idx="13">
                  <c:v>778.34328026656794</c:v>
                </c:pt>
                <c:pt idx="14">
                  <c:v>1526.6453165494261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1888.8425768233988</c:v>
                </c:pt>
                <c:pt idx="23">
                  <c:v>1372.2797482413921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3-B247-90D8-2AC55C0B4525}"/>
            </c:ext>
          </c:extLst>
        </c:ser>
        <c:ser>
          <c:idx val="1"/>
          <c:order val="1"/>
          <c:tx>
            <c:strRef>
              <c:f>'1 Pan - 2021 Data Low Power'!$AN$18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Pan - 2021 Data Low Power'!$AA$20:$AA$43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 Low Power'!$AN$20:$AN$43</c:f>
              <c:numCache>
                <c:formatCode>0.00</c:formatCode>
                <c:ptCount val="24"/>
                <c:pt idx="0">
                  <c:v>306.00473898556095</c:v>
                </c:pt>
                <c:pt idx="1">
                  <c:v>42.4148833765272</c:v>
                </c:pt>
                <c:pt idx="2">
                  <c:v>295.31151425397991</c:v>
                </c:pt>
                <c:pt idx="3">
                  <c:v>794.15409107737867</c:v>
                </c:pt>
                <c:pt idx="4">
                  <c:v>1342.1858570899667</c:v>
                </c:pt>
                <c:pt idx="5">
                  <c:v>2074.6770825620138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1741.2750092558313</c:v>
                </c:pt>
                <c:pt idx="11">
                  <c:v>1108.7662347278788</c:v>
                </c:pt>
                <c:pt idx="12">
                  <c:v>414.77097371343973</c:v>
                </c:pt>
                <c:pt idx="13">
                  <c:v>151.18111810440598</c:v>
                </c:pt>
                <c:pt idx="14">
                  <c:v>404.07774898185869</c:v>
                </c:pt>
                <c:pt idx="15">
                  <c:v>902.92032580525745</c:v>
                </c:pt>
                <c:pt idx="16">
                  <c:v>1450.9520918178455</c:v>
                </c:pt>
                <c:pt idx="17">
                  <c:v>2183.4433172898925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1741.2750092558313</c:v>
                </c:pt>
                <c:pt idx="23">
                  <c:v>1108.7662347278788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3-B247-90D8-2AC55C0B4525}"/>
            </c:ext>
          </c:extLst>
        </c:ser>
        <c:ser>
          <c:idx val="2"/>
          <c:order val="2"/>
          <c:tx>
            <c:strRef>
              <c:f>'1 Pan - 2021 Data Low Power'!$AO$18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Pan - 2021 Data Low Power'!$AA$20:$AA$43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- 2021 Data Low Power'!$AO$20:$AO$43</c:f>
              <c:numCache>
                <c:formatCode>0.00</c:formatCode>
                <c:ptCount val="24"/>
                <c:pt idx="0">
                  <c:v>485.19392817475011</c:v>
                </c:pt>
                <c:pt idx="1">
                  <c:v>769.71218067382449</c:v>
                </c:pt>
                <c:pt idx="2">
                  <c:v>2013.4196223620879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2036.4101443909663</c:v>
                </c:pt>
                <c:pt idx="11">
                  <c:v>1635.7932617549054</c:v>
                </c:pt>
                <c:pt idx="12">
                  <c:v>1120.9871899296554</c:v>
                </c:pt>
                <c:pt idx="13">
                  <c:v>1405.5054424287298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2036.4101443909663</c:v>
                </c:pt>
                <c:pt idx="23">
                  <c:v>1635.7932617549054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3-B247-90D8-2AC55C0B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'2011-2020 Germany Solar Harvest'!$S$16:$S$17</c:f>
              <c:strCache>
                <c:ptCount val="2"/>
                <c:pt idx="0">
                  <c:v>Min</c:v>
                </c:pt>
                <c:pt idx="1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'2011-2020 Germany Solar Harvest'!$B$19:$B$30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'2011-2020 Germany Solar Harvest'!$S$18:$S$30</c:f>
              <c:numCache>
                <c:formatCode>0.00</c:formatCode>
                <c:ptCount val="13"/>
                <c:pt idx="1">
                  <c:v>16.349472454801759</c:v>
                </c:pt>
                <c:pt idx="2">
                  <c:v>26.595783845670137</c:v>
                </c:pt>
                <c:pt idx="3">
                  <c:v>73.821087894278648</c:v>
                </c:pt>
                <c:pt idx="4">
                  <c:v>80.199743810826135</c:v>
                </c:pt>
                <c:pt idx="5">
                  <c:v>91.997858618978299</c:v>
                </c:pt>
                <c:pt idx="6">
                  <c:v>69.567453856476476</c:v>
                </c:pt>
                <c:pt idx="7">
                  <c:v>89.762489677097221</c:v>
                </c:pt>
                <c:pt idx="8">
                  <c:v>102.00309461902724</c:v>
                </c:pt>
                <c:pt idx="9">
                  <c:v>71.282097099590601</c:v>
                </c:pt>
                <c:pt idx="10">
                  <c:v>52.288552620583509</c:v>
                </c:pt>
                <c:pt idx="11">
                  <c:v>30.182131610277629</c:v>
                </c:pt>
                <c:pt idx="12">
                  <c:v>22.996611235469199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B-CD47-B678-35597BFAFDCC}"/>
            </c:ext>
          </c:extLst>
        </c:ser>
        <c:ser>
          <c:idx val="1"/>
          <c:order val="1"/>
          <c:tx>
            <c:strRef>
              <c:f>'2011-2020 Germany Solar Harvest'!$T$16:$T$17</c:f>
              <c:strCache>
                <c:ptCount val="2"/>
                <c:pt idx="0">
                  <c:v>Max</c:v>
                </c:pt>
                <c:pt idx="1">
                  <c:v>Max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'2011-2020 Germany Solar Harvest'!$B$19:$B$30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'2011-2020 Germany Solar Harvest'!$T$18:$T$30</c:f>
              <c:numCache>
                <c:formatCode>0.00</c:formatCode>
                <c:ptCount val="13"/>
                <c:pt idx="1">
                  <c:v>51.564581569710484</c:v>
                </c:pt>
                <c:pt idx="2">
                  <c:v>87.273775072454129</c:v>
                </c:pt>
                <c:pt idx="3">
                  <c:v>113.37770596055306</c:v>
                </c:pt>
                <c:pt idx="4">
                  <c:v>147.23244737670356</c:v>
                </c:pt>
                <c:pt idx="5">
                  <c:v>132.41529847960911</c:v>
                </c:pt>
                <c:pt idx="6">
                  <c:v>136.20503872741631</c:v>
                </c:pt>
                <c:pt idx="7">
                  <c:v>147.61494744076685</c:v>
                </c:pt>
                <c:pt idx="8">
                  <c:v>136.94975945763551</c:v>
                </c:pt>
                <c:pt idx="9">
                  <c:v>131.05893247125746</c:v>
                </c:pt>
                <c:pt idx="10">
                  <c:v>86.25794510442752</c:v>
                </c:pt>
                <c:pt idx="11">
                  <c:v>57.39394050707903</c:v>
                </c:pt>
                <c:pt idx="12">
                  <c:v>62.34311669685421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B-CD47-B678-35597BFA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853727"/>
        <c:axId val="2034456767"/>
      </c:barChart>
      <c:catAx>
        <c:axId val="205485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4456767"/>
        <c:crosses val="autoZero"/>
        <c:auto val="1"/>
        <c:lblAlgn val="ctr"/>
        <c:lblOffset val="100"/>
        <c:noMultiLvlLbl val="0"/>
      </c:catAx>
      <c:valAx>
        <c:axId val="20344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8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SFV Data Stuttgart'!$O$7:$O$9</c:f>
              <c:strCache>
                <c:ptCount val="3"/>
                <c:pt idx="0">
                  <c:v>2021</c:v>
                </c:pt>
                <c:pt idx="1">
                  <c:v>actual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'2021 SFV Data Stuttgart'!$C$10:$C$21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'2021 SFV Data Stuttgart'!$O$10:$O$21</c:f>
              <c:numCache>
                <c:formatCode>#,##0.0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94</c:v>
                </c:pt>
                <c:pt idx="3">
                  <c:v>114</c:v>
                </c:pt>
                <c:pt idx="4">
                  <c:v>118</c:v>
                </c:pt>
                <c:pt idx="5">
                  <c:v>133</c:v>
                </c:pt>
                <c:pt idx="6">
                  <c:v>119</c:v>
                </c:pt>
                <c:pt idx="7">
                  <c:v>105</c:v>
                </c:pt>
                <c:pt idx="8">
                  <c:v>111</c:v>
                </c:pt>
                <c:pt idx="9">
                  <c:v>79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A44E-8EAA-E10B2D286AE2}"/>
            </c:ext>
          </c:extLst>
        </c:ser>
        <c:ser>
          <c:idx val="1"/>
          <c:order val="1"/>
          <c:tx>
            <c:strRef>
              <c:f>'2021 SFV Data Stuttgart'!$Z$7:$Z$9</c:f>
              <c:strCache>
                <c:ptCount val="3"/>
                <c:pt idx="0">
                  <c:v>Min</c:v>
                </c:pt>
                <c:pt idx="1">
                  <c:v>Min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'2021 SFV Data Stuttgart'!$C$10:$C$21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'2021 SFV Data Stuttgart'!$Z$10:$Z$21</c:f>
              <c:numCache>
                <c:formatCode>0.00</c:formatCode>
                <c:ptCount val="12"/>
                <c:pt idx="0">
                  <c:v>16.349472454801759</c:v>
                </c:pt>
                <c:pt idx="1">
                  <c:v>26.595783845670137</c:v>
                </c:pt>
                <c:pt idx="2">
                  <c:v>73.821087894278648</c:v>
                </c:pt>
                <c:pt idx="3">
                  <c:v>80.199743810826135</c:v>
                </c:pt>
                <c:pt idx="4">
                  <c:v>91.997858618978299</c:v>
                </c:pt>
                <c:pt idx="5">
                  <c:v>69.567453856476476</c:v>
                </c:pt>
                <c:pt idx="6">
                  <c:v>89.762489677097221</c:v>
                </c:pt>
                <c:pt idx="7">
                  <c:v>102.00309461902724</c:v>
                </c:pt>
                <c:pt idx="8">
                  <c:v>71.282097099590601</c:v>
                </c:pt>
                <c:pt idx="9">
                  <c:v>52.288552620583509</c:v>
                </c:pt>
                <c:pt idx="10">
                  <c:v>30.182131610277629</c:v>
                </c:pt>
                <c:pt idx="11">
                  <c:v>22.996611235469199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7-A44E-8EAA-E10B2D286AE2}"/>
            </c:ext>
          </c:extLst>
        </c:ser>
        <c:ser>
          <c:idx val="2"/>
          <c:order val="2"/>
          <c:tx>
            <c:strRef>
              <c:f>'2021 SFV Data Stuttgart'!$AA$7:$AA$9</c:f>
              <c:strCache>
                <c:ptCount val="3"/>
                <c:pt idx="0">
                  <c:v>Max</c:v>
                </c:pt>
                <c:pt idx="1">
                  <c:v>Max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'2021 SFV Data Stuttgart'!$C$10:$C$21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'2021 SFV Data Stuttgart'!$AA$10:$AA$21</c:f>
              <c:numCache>
                <c:formatCode>0.00</c:formatCode>
                <c:ptCount val="12"/>
                <c:pt idx="0">
                  <c:v>51.564581569710484</c:v>
                </c:pt>
                <c:pt idx="1">
                  <c:v>87.273775072454129</c:v>
                </c:pt>
                <c:pt idx="2">
                  <c:v>113.37770596055306</c:v>
                </c:pt>
                <c:pt idx="3">
                  <c:v>147.23244737670356</c:v>
                </c:pt>
                <c:pt idx="4">
                  <c:v>132.41529847960911</c:v>
                </c:pt>
                <c:pt idx="5">
                  <c:v>136.20503872741631</c:v>
                </c:pt>
                <c:pt idx="6">
                  <c:v>147.61494744076685</c:v>
                </c:pt>
                <c:pt idx="7">
                  <c:v>136.94975945763551</c:v>
                </c:pt>
                <c:pt idx="8">
                  <c:v>131.05893247125746</c:v>
                </c:pt>
                <c:pt idx="9">
                  <c:v>86.25794510442752</c:v>
                </c:pt>
                <c:pt idx="10">
                  <c:v>57.39394050707903</c:v>
                </c:pt>
                <c:pt idx="11">
                  <c:v>62.34311669685421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7-A44E-8EAA-E10B2D28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804815"/>
        <c:axId val="2034654255"/>
      </c:barChart>
      <c:catAx>
        <c:axId val="205080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4654255"/>
        <c:crosses val="autoZero"/>
        <c:auto val="1"/>
        <c:lblAlgn val="ctr"/>
        <c:lblOffset val="100"/>
        <c:noMultiLvlLbl val="0"/>
      </c:catAx>
      <c:valAx>
        <c:axId val="20346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8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Pan - Best Case'!$AM$18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Pan - Best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Best Case'!$AM$20:$AM$43</c:f>
              <c:numCache>
                <c:formatCode>0.00</c:formatCode>
                <c:ptCount val="2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1-814D-A6C2-9F387C3536F3}"/>
            </c:ext>
          </c:extLst>
        </c:ser>
        <c:ser>
          <c:idx val="1"/>
          <c:order val="1"/>
          <c:tx>
            <c:strRef>
              <c:f>'1 Pan - Best Case'!$AN$18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Pan - Best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Best Case'!$AN$20:$AN$43</c:f>
              <c:numCache>
                <c:formatCode>0.00</c:formatCode>
                <c:ptCount val="2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1-814D-A6C2-9F387C3536F3}"/>
            </c:ext>
          </c:extLst>
        </c:ser>
        <c:ser>
          <c:idx val="2"/>
          <c:order val="2"/>
          <c:tx>
            <c:strRef>
              <c:f>'1 Pan - Best Case'!$AO$18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Pan - Best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'1 Pan - Best Case'!$AO$20:$AO$43</c:f>
              <c:numCache>
                <c:formatCode>0.00</c:formatCode>
                <c:ptCount val="2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A1-814D-A6C2-9F387C35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Pan - Worst Case'!$D$27:$D$38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 Pan - Worst Case'!$E$27:$E$38</c:f>
              <c:numCache>
                <c:formatCode>0.0</c:formatCode>
                <c:ptCount val="12"/>
                <c:pt idx="0">
                  <c:v>16.349472454801759</c:v>
                </c:pt>
                <c:pt idx="1">
                  <c:v>26.595783845670137</c:v>
                </c:pt>
                <c:pt idx="2">
                  <c:v>73.821087894278648</c:v>
                </c:pt>
                <c:pt idx="3">
                  <c:v>80.199743810826135</c:v>
                </c:pt>
                <c:pt idx="4">
                  <c:v>91.997858618978299</c:v>
                </c:pt>
                <c:pt idx="5">
                  <c:v>69.567453856476476</c:v>
                </c:pt>
                <c:pt idx="6">
                  <c:v>89.762489677097221</c:v>
                </c:pt>
                <c:pt idx="7">
                  <c:v>102.00309461902724</c:v>
                </c:pt>
                <c:pt idx="8">
                  <c:v>71.282097099590601</c:v>
                </c:pt>
                <c:pt idx="9">
                  <c:v>52.288552620583509</c:v>
                </c:pt>
                <c:pt idx="10">
                  <c:v>30.182131610277629</c:v>
                </c:pt>
                <c:pt idx="11">
                  <c:v>22.996611235469199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9-FD48-9EBE-3CFD6A26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Worst Case'!$AG$18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Worst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Worst Case'!$AG$20:$AG$43</c:f>
              <c:numCache>
                <c:formatCode>0.00</c:formatCode>
                <c:ptCount val="24"/>
                <c:pt idx="0">
                  <c:v>-1440.5303508908528</c:v>
                </c:pt>
                <c:pt idx="1">
                  <c:v>553.34646030515523</c:v>
                </c:pt>
                <c:pt idx="2">
                  <c:v>9743.1353562505956</c:v>
                </c:pt>
                <c:pt idx="3">
                  <c:v>10984.387318389567</c:v>
                </c:pt>
                <c:pt idx="4">
                  <c:v>13280.236686462416</c:v>
                </c:pt>
                <c:pt idx="5">
                  <c:v>8915.4011651107139</c:v>
                </c:pt>
                <c:pt idx="6">
                  <c:v>12845.245973447723</c:v>
                </c:pt>
                <c:pt idx="7">
                  <c:v>15227.201529715185</c:v>
                </c:pt>
                <c:pt idx="8">
                  <c:v>9249.0614718788675</c:v>
                </c:pt>
                <c:pt idx="9">
                  <c:v>5553.0203840720824</c:v>
                </c:pt>
                <c:pt idx="10">
                  <c:v>1251.2303496341801</c:v>
                </c:pt>
                <c:pt idx="11">
                  <c:v>-147.03307465286525</c:v>
                </c:pt>
                <c:pt idx="12">
                  <c:v>-1440.5303508908528</c:v>
                </c:pt>
                <c:pt idx="13">
                  <c:v>553.34646030515523</c:v>
                </c:pt>
                <c:pt idx="14">
                  <c:v>9743.1353562505956</c:v>
                </c:pt>
                <c:pt idx="15">
                  <c:v>10984.387318389567</c:v>
                </c:pt>
                <c:pt idx="16">
                  <c:v>13280.236686462416</c:v>
                </c:pt>
                <c:pt idx="17">
                  <c:v>8915.4011651107139</c:v>
                </c:pt>
                <c:pt idx="18">
                  <c:v>12845.245973447723</c:v>
                </c:pt>
                <c:pt idx="19">
                  <c:v>15227.201529715185</c:v>
                </c:pt>
                <c:pt idx="20">
                  <c:v>9249.0614718788675</c:v>
                </c:pt>
                <c:pt idx="21">
                  <c:v>5553.0203840720824</c:v>
                </c:pt>
                <c:pt idx="22">
                  <c:v>1251.2303496341801</c:v>
                </c:pt>
                <c:pt idx="23">
                  <c:v>-147.03307465286525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F-8843-B3A0-5E200D3B33E4}"/>
            </c:ext>
          </c:extLst>
        </c:ser>
        <c:ser>
          <c:idx val="1"/>
          <c:order val="1"/>
          <c:tx>
            <c:strRef>
              <c:f>'2 Pan - Worst Case'!$AH$18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Worst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Worst Case'!$AH$20:$AH$43</c:f>
              <c:numCache>
                <c:formatCode>0.00</c:formatCode>
                <c:ptCount val="24"/>
                <c:pt idx="0">
                  <c:v>-1440.5303508908528</c:v>
                </c:pt>
                <c:pt idx="1">
                  <c:v>553.34646030515523</c:v>
                </c:pt>
                <c:pt idx="2">
                  <c:v>9743.1353562505956</c:v>
                </c:pt>
                <c:pt idx="3">
                  <c:v>10984.387318389567</c:v>
                </c:pt>
                <c:pt idx="4">
                  <c:v>13280.236686462416</c:v>
                </c:pt>
                <c:pt idx="5">
                  <c:v>8915.4011651107139</c:v>
                </c:pt>
                <c:pt idx="6">
                  <c:v>12845.245973447723</c:v>
                </c:pt>
                <c:pt idx="7">
                  <c:v>15227.201529715185</c:v>
                </c:pt>
                <c:pt idx="8">
                  <c:v>9249.0614718788675</c:v>
                </c:pt>
                <c:pt idx="9">
                  <c:v>5553.0203840720824</c:v>
                </c:pt>
                <c:pt idx="10">
                  <c:v>1251.2303496341801</c:v>
                </c:pt>
                <c:pt idx="11">
                  <c:v>-147.03307465286525</c:v>
                </c:pt>
                <c:pt idx="12">
                  <c:v>-1440.5303508908528</c:v>
                </c:pt>
                <c:pt idx="13">
                  <c:v>553.34646030515523</c:v>
                </c:pt>
                <c:pt idx="14">
                  <c:v>9743.1353562505956</c:v>
                </c:pt>
                <c:pt idx="15">
                  <c:v>10984.387318389567</c:v>
                </c:pt>
                <c:pt idx="16">
                  <c:v>13280.236686462416</c:v>
                </c:pt>
                <c:pt idx="17">
                  <c:v>8915.4011651107139</c:v>
                </c:pt>
                <c:pt idx="18">
                  <c:v>12845.245973447723</c:v>
                </c:pt>
                <c:pt idx="19">
                  <c:v>15227.201529715185</c:v>
                </c:pt>
                <c:pt idx="20">
                  <c:v>9249.0614718788675</c:v>
                </c:pt>
                <c:pt idx="21">
                  <c:v>5553.0203840720824</c:v>
                </c:pt>
                <c:pt idx="22">
                  <c:v>1251.2303496341801</c:v>
                </c:pt>
                <c:pt idx="23">
                  <c:v>-147.03307465286525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6F-8843-B3A0-5E200D3B33E4}"/>
            </c:ext>
          </c:extLst>
        </c:ser>
        <c:ser>
          <c:idx val="2"/>
          <c:order val="2"/>
          <c:tx>
            <c:strRef>
              <c:f>'2 Pan - Worst Case'!$AI$18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Worst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Worst Case'!$AI$20:$AI$43</c:f>
              <c:numCache>
                <c:formatCode>0.00</c:formatCode>
                <c:ptCount val="24"/>
                <c:pt idx="0">
                  <c:v>-1440.5303508908528</c:v>
                </c:pt>
                <c:pt idx="1">
                  <c:v>553.34646030515523</c:v>
                </c:pt>
                <c:pt idx="2">
                  <c:v>9743.1353562505956</c:v>
                </c:pt>
                <c:pt idx="3">
                  <c:v>10984.387318389567</c:v>
                </c:pt>
                <c:pt idx="4">
                  <c:v>13280.236686462416</c:v>
                </c:pt>
                <c:pt idx="5">
                  <c:v>8915.4011651107139</c:v>
                </c:pt>
                <c:pt idx="6">
                  <c:v>12845.245973447723</c:v>
                </c:pt>
                <c:pt idx="7">
                  <c:v>15227.201529715185</c:v>
                </c:pt>
                <c:pt idx="8">
                  <c:v>9249.0614718788675</c:v>
                </c:pt>
                <c:pt idx="9">
                  <c:v>5553.0203840720824</c:v>
                </c:pt>
                <c:pt idx="10">
                  <c:v>1251.2303496341801</c:v>
                </c:pt>
                <c:pt idx="11">
                  <c:v>-147.03307465286525</c:v>
                </c:pt>
                <c:pt idx="12">
                  <c:v>-1440.5303508908528</c:v>
                </c:pt>
                <c:pt idx="13">
                  <c:v>553.34646030515523</c:v>
                </c:pt>
                <c:pt idx="14">
                  <c:v>9743.1353562505956</c:v>
                </c:pt>
                <c:pt idx="15">
                  <c:v>10984.387318389567</c:v>
                </c:pt>
                <c:pt idx="16">
                  <c:v>13280.236686462416</c:v>
                </c:pt>
                <c:pt idx="17">
                  <c:v>8915.4011651107139</c:v>
                </c:pt>
                <c:pt idx="18">
                  <c:v>12845.245973447723</c:v>
                </c:pt>
                <c:pt idx="19">
                  <c:v>15227.201529715185</c:v>
                </c:pt>
                <c:pt idx="20">
                  <c:v>9249.0614718788675</c:v>
                </c:pt>
                <c:pt idx="21">
                  <c:v>5553.0203840720824</c:v>
                </c:pt>
                <c:pt idx="22">
                  <c:v>1251.2303496341801</c:v>
                </c:pt>
                <c:pt idx="23">
                  <c:v>-147.03307465286525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6F-8843-B3A0-5E200D3B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Worst Case'!$AM$18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Worst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Worst Case'!$AM$20:$AM$43</c:f>
              <c:numCache>
                <c:formatCode>0.00</c:formatCode>
                <c:ptCount val="24"/>
                <c:pt idx="0">
                  <c:v>559.46964910914721</c:v>
                </c:pt>
                <c:pt idx="1">
                  <c:v>1112.8161094143024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2152.9669253471347</c:v>
                </c:pt>
                <c:pt idx="12">
                  <c:v>712.43657445628196</c:v>
                </c:pt>
                <c:pt idx="13">
                  <c:v>1265.7830347614372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2152.9669253471347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304D-A3D5-686637281D3E}"/>
            </c:ext>
          </c:extLst>
        </c:ser>
        <c:ser>
          <c:idx val="1"/>
          <c:order val="1"/>
          <c:tx>
            <c:strRef>
              <c:f>'2 Pan - Worst Case'!$AN$18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Worst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Worst Case'!$AN$20:$AN$43</c:f>
              <c:numCache>
                <c:formatCode>0.00</c:formatCode>
                <c:ptCount val="24"/>
                <c:pt idx="0">
                  <c:v>559.46964910914721</c:v>
                </c:pt>
                <c:pt idx="1">
                  <c:v>1112.8161094143024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2152.9669253471347</c:v>
                </c:pt>
                <c:pt idx="12">
                  <c:v>712.43657445628196</c:v>
                </c:pt>
                <c:pt idx="13">
                  <c:v>1265.7830347614372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2152.9669253471347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B-304D-A3D5-686637281D3E}"/>
            </c:ext>
          </c:extLst>
        </c:ser>
        <c:ser>
          <c:idx val="2"/>
          <c:order val="2"/>
          <c:tx>
            <c:strRef>
              <c:f>'2 Pan - Worst Case'!$AO$18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Worst Case'!$AA$20:$AA$43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Worst Case'!$AO$20:$AO$43</c:f>
              <c:numCache>
                <c:formatCode>0.00</c:formatCode>
                <c:ptCount val="24"/>
                <c:pt idx="0">
                  <c:v>559.46964910914721</c:v>
                </c:pt>
                <c:pt idx="1">
                  <c:v>1112.8161094143024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2152.9669253471347</c:v>
                </c:pt>
                <c:pt idx="12">
                  <c:v>712.43657445628196</c:v>
                </c:pt>
                <c:pt idx="13">
                  <c:v>1265.7830347614372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2152.9669253471347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B-304D-A3D5-68663728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Pan - Av Case - 44% Var'!$D$27:$D$38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'2 Pan - Av Case - 44% Var'!$E$27:$E$38</c:f>
              <c:numCache>
                <c:formatCode>0.0</c:formatCode>
                <c:ptCount val="12"/>
                <c:pt idx="0">
                  <c:v>34.691466074962044</c:v>
                </c:pt>
                <c:pt idx="1">
                  <c:v>54.885477430468086</c:v>
                </c:pt>
                <c:pt idx="2">
                  <c:v>92.633800017805129</c:v>
                </c:pt>
                <c:pt idx="3">
                  <c:v>111.19307171505132</c:v>
                </c:pt>
                <c:pt idx="4">
                  <c:v>114.35833163412033</c:v>
                </c:pt>
                <c:pt idx="5">
                  <c:v>111.5096588986336</c:v>
                </c:pt>
                <c:pt idx="6">
                  <c:v>119.4397606137143</c:v>
                </c:pt>
                <c:pt idx="7">
                  <c:v>117.60412468043216</c:v>
                </c:pt>
                <c:pt idx="8">
                  <c:v>97.696764353313085</c:v>
                </c:pt>
                <c:pt idx="9">
                  <c:v>69.360999125440088</c:v>
                </c:pt>
                <c:pt idx="10">
                  <c:v>40.334597594995238</c:v>
                </c:pt>
                <c:pt idx="11">
                  <c:v>36.650805451962704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B-4D47-82CB-C20E3427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158441879289"/>
          <c:y val="0.11568838934894569"/>
          <c:w val="0.871733835634964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Av Case - 44% Var'!$AG$18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Av Case - 44% Var'!$AA$20:$AA$43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Av Case - 44% Var'!$AG$20:$AG$43</c:f>
              <c:numCache>
                <c:formatCode>0.00</c:formatCode>
                <c:ptCount val="24"/>
                <c:pt idx="0">
                  <c:v>2128.722461680878</c:v>
                </c:pt>
                <c:pt idx="1">
                  <c:v>6058.3679146442155</c:v>
                </c:pt>
                <c:pt idx="2">
                  <c:v>13403.987445153045</c:v>
                </c:pt>
                <c:pt idx="3">
                  <c:v>17015.521397049597</c:v>
                </c:pt>
                <c:pt idx="4">
                  <c:v>17631.463867787355</c:v>
                </c:pt>
                <c:pt idx="5">
                  <c:v>17077.12755169264</c:v>
                </c:pt>
                <c:pt idx="6">
                  <c:v>18620.282480032667</c:v>
                </c:pt>
                <c:pt idx="7">
                  <c:v>18263.07764977236</c:v>
                </c:pt>
                <c:pt idx="8">
                  <c:v>14389.212937468106</c:v>
                </c:pt>
                <c:pt idx="9">
                  <c:v>8875.2261904225506</c:v>
                </c:pt>
                <c:pt idx="10">
                  <c:v>3226.8453520657158</c:v>
                </c:pt>
                <c:pt idx="11">
                  <c:v>2509.9993134215465</c:v>
                </c:pt>
                <c:pt idx="12">
                  <c:v>2128.722461680878</c:v>
                </c:pt>
                <c:pt idx="13">
                  <c:v>6058.3679146442155</c:v>
                </c:pt>
                <c:pt idx="14">
                  <c:v>13403.987445153045</c:v>
                </c:pt>
                <c:pt idx="15">
                  <c:v>17015.521397049597</c:v>
                </c:pt>
                <c:pt idx="16">
                  <c:v>17631.463867787355</c:v>
                </c:pt>
                <c:pt idx="17">
                  <c:v>17077.12755169264</c:v>
                </c:pt>
                <c:pt idx="18">
                  <c:v>18620.282480032667</c:v>
                </c:pt>
                <c:pt idx="19">
                  <c:v>18263.07764977236</c:v>
                </c:pt>
                <c:pt idx="20">
                  <c:v>14389.212937468106</c:v>
                </c:pt>
                <c:pt idx="21">
                  <c:v>8875.2261904225506</c:v>
                </c:pt>
                <c:pt idx="22">
                  <c:v>3226.8453520657158</c:v>
                </c:pt>
                <c:pt idx="23">
                  <c:v>2509.9993134215465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F-254F-B3BD-7D76CC0A0F08}"/>
            </c:ext>
          </c:extLst>
        </c:ser>
        <c:ser>
          <c:idx val="1"/>
          <c:order val="1"/>
          <c:tx>
            <c:strRef>
              <c:f>'2 Pan - Av Case - 44% Var'!$AH$18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Av Case - 44% Var'!$AA$20:$AA$43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Av Case - 44% Var'!$AH$20:$AH$43</c:f>
              <c:numCache>
                <c:formatCode>0.00</c:formatCode>
                <c:ptCount val="24"/>
                <c:pt idx="0">
                  <c:v>-841.61712008884479</c:v>
                </c:pt>
                <c:pt idx="1">
                  <c:v>1358.9843335706246</c:v>
                </c:pt>
                <c:pt idx="2">
                  <c:v>5472.5312706555687</c:v>
                </c:pt>
                <c:pt idx="3">
                  <c:v>7494.9902837176396</c:v>
                </c:pt>
                <c:pt idx="4">
                  <c:v>7839.9180673307837</c:v>
                </c:pt>
                <c:pt idx="5">
                  <c:v>7529.4897303177422</c:v>
                </c:pt>
                <c:pt idx="6">
                  <c:v>8393.6564901881575</c:v>
                </c:pt>
                <c:pt idx="7">
                  <c:v>8193.621785242387</c:v>
                </c:pt>
                <c:pt idx="8">
                  <c:v>6024.2575463520043</c:v>
                </c:pt>
                <c:pt idx="9">
                  <c:v>2936.4249680064922</c:v>
                </c:pt>
                <c:pt idx="10">
                  <c:v>-226.6683014733353</c:v>
                </c:pt>
                <c:pt idx="11">
                  <c:v>-628.10208311407041</c:v>
                </c:pt>
                <c:pt idx="12">
                  <c:v>-841.61712008884479</c:v>
                </c:pt>
                <c:pt idx="13">
                  <c:v>1358.9843335706246</c:v>
                </c:pt>
                <c:pt idx="14">
                  <c:v>5472.5312706555687</c:v>
                </c:pt>
                <c:pt idx="15">
                  <c:v>7494.9902837176396</c:v>
                </c:pt>
                <c:pt idx="16">
                  <c:v>7839.9180673307837</c:v>
                </c:pt>
                <c:pt idx="17">
                  <c:v>7529.4897303177422</c:v>
                </c:pt>
                <c:pt idx="18">
                  <c:v>8393.6564901881575</c:v>
                </c:pt>
                <c:pt idx="19">
                  <c:v>8193.621785242387</c:v>
                </c:pt>
                <c:pt idx="20">
                  <c:v>6024.2575463520043</c:v>
                </c:pt>
                <c:pt idx="21">
                  <c:v>2936.4249680064922</c:v>
                </c:pt>
                <c:pt idx="22">
                  <c:v>-226.6683014733353</c:v>
                </c:pt>
                <c:pt idx="23">
                  <c:v>-628.10208311407041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F-254F-B3BD-7D76CC0A0F08}"/>
            </c:ext>
          </c:extLst>
        </c:ser>
        <c:ser>
          <c:idx val="2"/>
          <c:order val="2"/>
          <c:tx>
            <c:strRef>
              <c:f>'2 Pan - Av Case - 44% Var'!$AI$18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Av Case - 44% Var'!$AA$20:$AA$43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Av Case - 44% Var'!$AI$20:$AI$43</c:f>
              <c:numCache>
                <c:formatCode>0.00</c:formatCode>
                <c:ptCount val="24"/>
                <c:pt idx="0">
                  <c:v>5099.0620434506</c:v>
                </c:pt>
                <c:pt idx="1">
                  <c:v>10757.751495717806</c:v>
                </c:pt>
                <c:pt idx="2">
                  <c:v>21335.443619650519</c:v>
                </c:pt>
                <c:pt idx="3">
                  <c:v>26536.052510381556</c:v>
                </c:pt>
                <c:pt idx="4">
                  <c:v>27423.009668243929</c:v>
                </c:pt>
                <c:pt idx="5">
                  <c:v>26624.765373067537</c:v>
                </c:pt>
                <c:pt idx="6">
                  <c:v>28846.908469877177</c:v>
                </c:pt>
                <c:pt idx="7">
                  <c:v>28332.533514302333</c:v>
                </c:pt>
                <c:pt idx="8">
                  <c:v>22754.168328584208</c:v>
                </c:pt>
                <c:pt idx="9">
                  <c:v>14814.027412838608</c:v>
                </c:pt>
                <c:pt idx="10">
                  <c:v>6680.3590056047669</c:v>
                </c:pt>
                <c:pt idx="11">
                  <c:v>5648.1007099571634</c:v>
                </c:pt>
                <c:pt idx="12">
                  <c:v>5099.0620434506</c:v>
                </c:pt>
                <c:pt idx="13">
                  <c:v>10757.751495717806</c:v>
                </c:pt>
                <c:pt idx="14">
                  <c:v>21335.443619650519</c:v>
                </c:pt>
                <c:pt idx="15">
                  <c:v>26536.052510381556</c:v>
                </c:pt>
                <c:pt idx="16">
                  <c:v>27423.009668243929</c:v>
                </c:pt>
                <c:pt idx="17">
                  <c:v>26624.765373067537</c:v>
                </c:pt>
                <c:pt idx="18">
                  <c:v>28846.908469877177</c:v>
                </c:pt>
                <c:pt idx="19">
                  <c:v>28332.533514302333</c:v>
                </c:pt>
                <c:pt idx="20">
                  <c:v>22754.168328584208</c:v>
                </c:pt>
                <c:pt idx="21">
                  <c:v>14814.027412838608</c:v>
                </c:pt>
                <c:pt idx="22">
                  <c:v>6680.3590056047669</c:v>
                </c:pt>
                <c:pt idx="23">
                  <c:v>5648.1007099571634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F-254F-B3BD-7D76CC0A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Pan - Av Case - 44% Var'!$AM$18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Pan - Av Case - 44% Var'!$AA$20:$AA$43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Av Case - 44% Var'!$AM$20:$AM$43</c:f>
              <c:numCache>
                <c:formatCode>0.00</c:formatCode>
                <c:ptCount val="2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F-9A40-BBAB-C91AAB1AC4C5}"/>
            </c:ext>
          </c:extLst>
        </c:ser>
        <c:ser>
          <c:idx val="1"/>
          <c:order val="1"/>
          <c:tx>
            <c:strRef>
              <c:f>'2 Pan - Av Case - 44% Var'!$AN$18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Pan - Av Case - 44% Var'!$AA$20:$AA$43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Av Case - 44% Var'!$AN$20:$AN$43</c:f>
              <c:numCache>
                <c:formatCode>0.00</c:formatCode>
                <c:ptCount val="24"/>
                <c:pt idx="0">
                  <c:v>1158.3828799111552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2073.3316985266647</c:v>
                </c:pt>
                <c:pt idx="11">
                  <c:v>1445.2296154125943</c:v>
                </c:pt>
                <c:pt idx="12">
                  <c:v>603.6124953237495</c:v>
                </c:pt>
                <c:pt idx="13">
                  <c:v>1962.5968288943741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2073.3316985266647</c:v>
                </c:pt>
                <c:pt idx="23">
                  <c:v>1445.2296154125943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F-9A40-BBAB-C91AAB1AC4C5}"/>
            </c:ext>
          </c:extLst>
        </c:ser>
        <c:ser>
          <c:idx val="2"/>
          <c:order val="2"/>
          <c:tx>
            <c:strRef>
              <c:f>'2 Pan - Av Case - 44% Var'!$AO$18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Pan - Av Case - 44% Var'!$AA$20:$AA$43</c:f>
              <c:numCache>
                <c:formatCode>m/d/yy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</c:numCache>
            </c:numRef>
          </c:xVal>
          <c:yVal>
            <c:numRef>
              <c:f>'2 Pan - Av Case - 44% Var'!$AO$20:$AO$43</c:f>
              <c:numCache>
                <c:formatCode>0.00</c:formatCode>
                <c:ptCount val="24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EF-9A40-BBAB-C91AAB1A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6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4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7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image" Target="../media/image9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image" Target="../media/image9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image" Target="../media/image9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image" Target="../media/image9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image" Target="../media/image9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683AFD2-E4FB-6842-8605-7BFF4B02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0</xdr:col>
      <xdr:colOff>68384</xdr:colOff>
      <xdr:row>11</xdr:row>
      <xdr:rowOff>87923</xdr:rowOff>
    </xdr:from>
    <xdr:to>
      <xdr:col>5</xdr:col>
      <xdr:colOff>352919</xdr:colOff>
      <xdr:row>24</xdr:row>
      <xdr:rowOff>44798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F7A26C-2623-8247-8433-AA2A9679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384" y="2452077"/>
          <a:ext cx="2629150" cy="26434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16932</xdr:colOff>
      <xdr:row>4</xdr:row>
      <xdr:rowOff>120651</xdr:rowOff>
    </xdr:from>
    <xdr:to>
      <xdr:col>8</xdr:col>
      <xdr:colOff>794051</xdr:colOff>
      <xdr:row>7</xdr:row>
      <xdr:rowOff>62160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6755BE6-1371-A041-A7CE-152B7497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39099" y="1178984"/>
          <a:ext cx="777119" cy="1037943"/>
        </a:xfrm>
        <a:prstGeom prst="rect">
          <a:avLst/>
        </a:prstGeom>
      </xdr:spPr>
    </xdr:pic>
    <xdr:clientData/>
  </xdr:twoCellAnchor>
  <xdr:twoCellAnchor editAs="oneCell">
    <xdr:from>
      <xdr:col>1</xdr:col>
      <xdr:colOff>2298700</xdr:colOff>
      <xdr:row>0</xdr:row>
      <xdr:rowOff>215900</xdr:rowOff>
    </xdr:from>
    <xdr:to>
      <xdr:col>5</xdr:col>
      <xdr:colOff>470150</xdr:colOff>
      <xdr:row>7</xdr:row>
      <xdr:rowOff>281213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A4F81B-C928-FB41-8BB5-58C967D33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4200" y="215900"/>
          <a:ext cx="2629150" cy="2643413"/>
        </a:xfrm>
        <a:prstGeom prst="rect">
          <a:avLst/>
        </a:prstGeom>
      </xdr:spPr>
    </xdr:pic>
    <xdr:clientData/>
  </xdr:twoCellAnchor>
  <xdr:twoCellAnchor>
    <xdr:from>
      <xdr:col>23</xdr:col>
      <xdr:colOff>114300</xdr:colOff>
      <xdr:row>15</xdr:row>
      <xdr:rowOff>120650</xdr:rowOff>
    </xdr:from>
    <xdr:to>
      <xdr:col>32</xdr:col>
      <xdr:colOff>736600</xdr:colOff>
      <xdr:row>31</xdr:row>
      <xdr:rowOff>215900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B6DE6A-B8D0-E840-8AA2-922D26FF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25</xdr:row>
      <xdr:rowOff>95250</xdr:rowOff>
    </xdr:from>
    <xdr:to>
      <xdr:col>17</xdr:col>
      <xdr:colOff>495300</xdr:colOff>
      <xdr:row>46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AF47D5-82C8-684A-95BE-A0C15C3C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D31F1C-5CB8-9A4E-821A-C027F57FF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55B24C0-B337-F345-9828-E137BC751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9D4212-9F05-B44E-9414-F9DD1B81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3CA4CE7-54ED-844B-A48D-980E20C7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7F116DC-6C64-F241-90C8-83BF9BF4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B7A042B-0738-C745-A513-82B9EC884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EBFC37-1256-2D4A-82F2-1604CF55F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629E73-6AEB-884B-82A0-C261EC8C4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2328012-CE34-674F-BDF5-A0A87379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6986670-B448-524F-9C9A-9E84FD66F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2D879209-0C4B-CC42-BC28-4431112A3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998A11-B6DC-A644-B9A9-89530D072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CB4B6D-312B-4040-94A7-358A08303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EECDCD-2831-CE40-A2D4-E01F5EC5B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C9F9F6-048B-1242-9733-E999EF62E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00DC872-A587-2841-B4E1-3ECF52CE7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E4B4E8A-BCA2-1B43-A108-54B1C40A5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DB7451E-A2FD-A246-923B-7BF8F7A6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862DF1-7E4D-554E-BCDD-1417A835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2AD2F8-1545-7541-96AD-6A648B83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50D4B21-9139-8F47-AFB6-74A61C493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EFAC51E-380C-7F4C-869B-AE78665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12015" y="106201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BE7D168-8852-C540-98F5-DA64F94A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708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8" name="Grafik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5F145C-DFD1-EA40-B36F-2A0A20455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4A0000-CE1D-A84C-B0DB-D3C88373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E80B1F4-602E-9142-9BB2-193BDF94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D3DB28-90AF-894E-A5F4-5EE98986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9AC09D2-CA14-3146-96D1-471A65FFD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E95C566-60FB-704A-BFBC-97A794144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084C431-68F7-DD45-ACED-778E758C3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153929-F501-7544-9ED0-0F24944F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566D1FE-6140-724E-9861-790BAA20E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08A637-5F88-4047-8EB0-31DA1CBF6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CAC5137-5329-E14E-BDF0-122827E7C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9DBC05F-3B62-2B49-A77F-BBC3D778B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E9F404-C8E3-9246-B788-1F12FC030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51AF5A-093E-2B44-9E2D-34B362F7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1A5054-E3F1-A74D-9389-D10156038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0EA91E4-4BE4-BC46-913F-67A145790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485A7A2-621C-A24D-8524-4AD5452DD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688EDEA-4BAA-F34A-8290-52F8D2C40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B999D7-EC83-5B40-8BFD-7A150B2E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E86FA5-22AF-CF4A-9B94-895B3DB5D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344120</xdr:colOff>
      <xdr:row>82</xdr:row>
      <xdr:rowOff>38101</xdr:rowOff>
    </xdr:from>
    <xdr:to>
      <xdr:col>22</xdr:col>
      <xdr:colOff>800100</xdr:colOff>
      <xdr:row>106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1D2CB2-26BC-BC45-AA22-D29EA388D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396853</xdr:colOff>
      <xdr:row>45</xdr:row>
      <xdr:rowOff>25400</xdr:rowOff>
    </xdr:from>
    <xdr:to>
      <xdr:col>22</xdr:col>
      <xdr:colOff>619276</xdr:colOff>
      <xdr:row>76</xdr:row>
      <xdr:rowOff>266700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401EC4-50B4-C74B-9CFF-5DCD668C3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CA9EDE7-7801-D744-8CF8-35F383AC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7615" y="135919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15CF46D-8488-C443-8512-A5CEEFEF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82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0</xdr:row>
      <xdr:rowOff>241300</xdr:rowOff>
    </xdr:from>
    <xdr:to>
      <xdr:col>3</xdr:col>
      <xdr:colOff>2324350</xdr:colOff>
      <xdr:row>10</xdr:row>
      <xdr:rowOff>217713</xdr:rowOff>
    </xdr:to>
    <xdr:pic>
      <xdr:nvPicPr>
        <xdr:cNvPr id="7" name="Grafik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4885F9-F5CF-5845-A15F-6AE0A234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56200" y="241300"/>
          <a:ext cx="2629150" cy="2643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6713-B779-8942-A9CF-22CCFFCF9BB7}">
  <dimension ref="B1:L38"/>
  <sheetViews>
    <sheetView zoomScale="140" zoomScaleNormal="140" workbookViewId="0">
      <selection activeCell="O22" sqref="O22"/>
    </sheetView>
  </sheetViews>
  <sheetFormatPr baseColWidth="10" defaultRowHeight="16"/>
  <cols>
    <col min="1" max="1" width="3.5" style="36" customWidth="1"/>
    <col min="2" max="2" width="4.1640625" style="36" customWidth="1"/>
    <col min="3" max="3" width="12.5" style="36" customWidth="1"/>
    <col min="4" max="4" width="5.6640625" style="36" customWidth="1"/>
    <col min="5" max="5" width="4.83203125" style="36" customWidth="1"/>
    <col min="6" max="6" width="31.83203125" style="36" customWidth="1"/>
    <col min="7" max="11" width="10.83203125" style="36"/>
    <col min="12" max="12" width="4.33203125" style="36" customWidth="1"/>
    <col min="13" max="16384" width="10.83203125" style="36"/>
  </cols>
  <sheetData>
    <row r="1" spans="2:12" ht="17" thickBot="1"/>
    <row r="2" spans="2:12" ht="17" thickTop="1">
      <c r="B2" s="37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2:12">
      <c r="B3" s="40"/>
      <c r="L3" s="41"/>
    </row>
    <row r="4" spans="2:12" ht="23">
      <c r="B4" s="40"/>
      <c r="C4" s="42"/>
      <c r="L4" s="41"/>
    </row>
    <row r="5" spans="2:12">
      <c r="B5" s="40"/>
      <c r="L5" s="41"/>
    </row>
    <row r="6" spans="2:12">
      <c r="B6" s="40"/>
      <c r="C6" s="43" t="s">
        <v>137</v>
      </c>
      <c r="L6" s="41"/>
    </row>
    <row r="7" spans="2:12">
      <c r="B7" s="40"/>
      <c r="C7" s="43" t="s">
        <v>138</v>
      </c>
      <c r="L7" s="41"/>
    </row>
    <row r="8" spans="2:12">
      <c r="B8" s="40"/>
      <c r="L8" s="41"/>
    </row>
    <row r="9" spans="2:12">
      <c r="B9" s="40"/>
      <c r="L9" s="41"/>
    </row>
    <row r="10" spans="2:12">
      <c r="B10" s="40"/>
      <c r="L10" s="41"/>
    </row>
    <row r="11" spans="2:12">
      <c r="B11" s="40"/>
      <c r="L11" s="41"/>
    </row>
    <row r="12" spans="2:12">
      <c r="B12" s="40"/>
      <c r="L12" s="41"/>
    </row>
    <row r="13" spans="2:12">
      <c r="B13" s="40"/>
      <c r="L13" s="41"/>
    </row>
    <row r="14" spans="2:12">
      <c r="B14" s="40"/>
      <c r="L14" s="41"/>
    </row>
    <row r="15" spans="2:12">
      <c r="B15" s="40"/>
      <c r="L15" s="41"/>
    </row>
    <row r="16" spans="2:12">
      <c r="B16" s="40"/>
      <c r="L16" s="41"/>
    </row>
    <row r="17" spans="2:12">
      <c r="B17" s="40"/>
      <c r="L17" s="41"/>
    </row>
    <row r="18" spans="2:12">
      <c r="B18" s="40"/>
      <c r="L18" s="41"/>
    </row>
    <row r="19" spans="2:12">
      <c r="B19" s="40"/>
      <c r="L19" s="41"/>
    </row>
    <row r="20" spans="2:12">
      <c r="B20" s="40"/>
      <c r="L20" s="41"/>
    </row>
    <row r="21" spans="2:12">
      <c r="B21" s="40"/>
      <c r="L21" s="41"/>
    </row>
    <row r="22" spans="2:12" ht="18">
      <c r="B22" s="40"/>
      <c r="C22" s="44" t="s">
        <v>139</v>
      </c>
      <c r="L22" s="41"/>
    </row>
    <row r="23" spans="2:12">
      <c r="B23" s="40"/>
      <c r="L23" s="41"/>
    </row>
    <row r="24" spans="2:12">
      <c r="B24" s="40"/>
      <c r="L24" s="41"/>
    </row>
    <row r="25" spans="2:12">
      <c r="B25" s="40"/>
      <c r="L25" s="41"/>
    </row>
    <row r="26" spans="2:12">
      <c r="B26" s="40"/>
      <c r="L26" s="41"/>
    </row>
    <row r="27" spans="2:12" ht="33">
      <c r="B27" s="40"/>
      <c r="C27" s="42" t="s">
        <v>140</v>
      </c>
      <c r="E27" s="52" t="s">
        <v>143</v>
      </c>
      <c r="F27" s="45"/>
      <c r="L27" s="41"/>
    </row>
    <row r="28" spans="2:12" ht="25">
      <c r="B28" s="40"/>
      <c r="E28" s="45"/>
      <c r="F28" s="45"/>
      <c r="L28" s="41"/>
    </row>
    <row r="29" spans="2:12" ht="19" customHeight="1">
      <c r="B29" s="40"/>
      <c r="F29" s="46" t="s">
        <v>144</v>
      </c>
      <c r="L29" s="41"/>
    </row>
    <row r="30" spans="2:12" ht="19" customHeight="1">
      <c r="B30" s="40"/>
      <c r="F30" s="46" t="s">
        <v>184</v>
      </c>
      <c r="L30" s="41"/>
    </row>
    <row r="31" spans="2:12" ht="19" customHeight="1">
      <c r="B31" s="40"/>
      <c r="F31" s="46" t="s">
        <v>145</v>
      </c>
      <c r="L31" s="41"/>
    </row>
    <row r="32" spans="2:12" ht="19" customHeight="1">
      <c r="B32" s="40"/>
      <c r="F32" s="46"/>
      <c r="L32" s="41"/>
    </row>
    <row r="33" spans="2:12" ht="18" customHeight="1">
      <c r="B33" s="40"/>
      <c r="C33" s="36" t="s">
        <v>166</v>
      </c>
      <c r="F33" s="46"/>
      <c r="L33" s="41"/>
    </row>
    <row r="34" spans="2:12">
      <c r="B34" s="40"/>
      <c r="C34" s="36" t="s">
        <v>164</v>
      </c>
      <c r="L34" s="41"/>
    </row>
    <row r="35" spans="2:12">
      <c r="B35" s="40"/>
      <c r="C35" s="47" t="s">
        <v>142</v>
      </c>
      <c r="L35" s="41"/>
    </row>
    <row r="36" spans="2:12">
      <c r="B36" s="40"/>
      <c r="C36" s="48" t="s">
        <v>141</v>
      </c>
      <c r="L36" s="41"/>
    </row>
    <row r="37" spans="2:12" ht="17" thickBot="1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1"/>
    </row>
    <row r="38" spans="2:12" ht="17" thickTop="1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49E5-BF77-2942-A469-223C4B2482EA}">
  <dimension ref="B1:AO40"/>
  <sheetViews>
    <sheetView workbookViewId="0">
      <selection activeCell="AF35" sqref="AF35"/>
    </sheetView>
  </sheetViews>
  <sheetFormatPr baseColWidth="10" defaultRowHeight="29"/>
  <cols>
    <col min="1" max="1" width="4.83203125" style="14" customWidth="1"/>
    <col min="2" max="2" width="18.33203125" style="182" customWidth="1"/>
    <col min="3" max="3" width="3" style="12" customWidth="1"/>
    <col min="4" max="4" width="11.33203125" style="13" bestFit="1" customWidth="1"/>
    <col min="5" max="5" width="14" style="13" customWidth="1"/>
    <col min="6" max="13" width="11.33203125" style="13" bestFit="1" customWidth="1"/>
    <col min="14" max="14" width="10.83203125" style="14"/>
    <col min="15" max="15" width="15.1640625" style="15" customWidth="1"/>
    <col min="16" max="16" width="17" style="15" customWidth="1"/>
    <col min="17" max="17" width="14.33203125" style="16" customWidth="1"/>
    <col min="18" max="18" width="6" style="16" customWidth="1"/>
    <col min="19" max="20" width="15.1640625" style="15" customWidth="1"/>
    <col min="21" max="23" width="14.33203125" style="16" customWidth="1"/>
    <col min="24" max="24" width="26.83203125" style="14" customWidth="1"/>
    <col min="25" max="16384" width="10.83203125" style="14"/>
  </cols>
  <sheetData>
    <row r="1" spans="2:41" s="10" customFormat="1">
      <c r="B1" s="182"/>
      <c r="C1" s="2"/>
      <c r="D1" s="1"/>
      <c r="E1" s="1"/>
      <c r="I1" s="1"/>
      <c r="J1" s="11"/>
      <c r="L1" s="1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5"/>
      <c r="AC1" s="5"/>
      <c r="AD1" s="5"/>
      <c r="AE1" s="5"/>
      <c r="AF1" s="6"/>
      <c r="AG1" s="7"/>
      <c r="AH1" s="8"/>
      <c r="AI1" s="9"/>
      <c r="AJ1" s="9"/>
      <c r="AK1" s="3"/>
      <c r="AL1" s="3"/>
      <c r="AM1" s="3"/>
      <c r="AN1" s="3"/>
      <c r="AO1" s="3"/>
    </row>
    <row r="2" spans="2:41" s="10" customFormat="1">
      <c r="B2" s="182"/>
      <c r="C2" s="2"/>
      <c r="D2" s="1"/>
      <c r="E2" s="1"/>
      <c r="I2" s="1"/>
      <c r="J2" s="11"/>
      <c r="L2" s="1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5"/>
      <c r="AC2" s="5"/>
      <c r="AD2" s="5"/>
      <c r="AE2" s="5"/>
      <c r="AF2" s="6"/>
      <c r="AG2" s="7"/>
      <c r="AH2" s="8"/>
      <c r="AI2" s="9"/>
      <c r="AJ2" s="9"/>
      <c r="AK2" s="3"/>
      <c r="AL2" s="3"/>
      <c r="AM2" s="3"/>
      <c r="AN2" s="3"/>
      <c r="AO2" s="3"/>
    </row>
    <row r="3" spans="2:41" s="10" customFormat="1">
      <c r="B3" s="182"/>
      <c r="C3" s="2"/>
      <c r="D3" s="27"/>
      <c r="E3" s="28"/>
      <c r="F3" s="28"/>
      <c r="G3" s="27"/>
      <c r="I3" s="1"/>
      <c r="J3" s="11"/>
      <c r="L3" s="1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5"/>
      <c r="AC3" s="5"/>
      <c r="AD3" s="5"/>
      <c r="AE3" s="5"/>
      <c r="AF3" s="6"/>
      <c r="AG3" s="7"/>
      <c r="AH3" s="8"/>
      <c r="AI3" s="9"/>
      <c r="AJ3" s="9"/>
      <c r="AK3" s="3"/>
      <c r="AL3" s="3"/>
      <c r="AM3" s="3"/>
      <c r="AN3" s="3"/>
      <c r="AO3" s="3"/>
    </row>
    <row r="4" spans="2:41" s="10" customFormat="1">
      <c r="B4" s="182"/>
      <c r="C4" s="2"/>
      <c r="D4" s="27"/>
      <c r="E4" s="28"/>
      <c r="F4" s="28"/>
      <c r="G4" s="27"/>
      <c r="I4" s="1"/>
      <c r="J4" s="11"/>
      <c r="L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5"/>
      <c r="AC4" s="5"/>
      <c r="AD4" s="5"/>
      <c r="AE4" s="5"/>
      <c r="AF4" s="6"/>
      <c r="AG4" s="7"/>
      <c r="AH4" s="8"/>
      <c r="AI4" s="9"/>
      <c r="AJ4" s="9"/>
      <c r="AK4" s="3"/>
      <c r="AL4" s="3"/>
      <c r="AM4" s="3"/>
      <c r="AN4" s="3"/>
      <c r="AO4" s="3"/>
    </row>
    <row r="5" spans="2:41" s="10" customFormat="1">
      <c r="B5" s="182"/>
      <c r="C5" s="2"/>
      <c r="D5" s="27"/>
      <c r="E5" s="28"/>
      <c r="F5" s="28"/>
      <c r="G5" s="27"/>
      <c r="I5" s="1"/>
      <c r="J5" s="11"/>
      <c r="L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  <c r="AB5" s="5"/>
      <c r="AC5" s="5"/>
      <c r="AD5" s="5"/>
      <c r="AE5" s="5"/>
      <c r="AF5" s="6"/>
      <c r="AG5" s="7"/>
      <c r="AH5" s="8"/>
      <c r="AI5" s="9"/>
      <c r="AJ5" s="9"/>
      <c r="AK5" s="3"/>
      <c r="AL5" s="3"/>
      <c r="AM5" s="3"/>
      <c r="AN5" s="3"/>
      <c r="AO5" s="3"/>
    </row>
    <row r="6" spans="2:41" s="10" customFormat="1">
      <c r="B6" s="182"/>
      <c r="C6" s="2"/>
      <c r="D6" s="27"/>
      <c r="E6" s="28"/>
      <c r="G6" s="27"/>
      <c r="J6" s="2"/>
      <c r="L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  <c r="AB6" s="5"/>
      <c r="AC6" s="5"/>
      <c r="AD6" s="5"/>
      <c r="AE6" s="5"/>
      <c r="AF6" s="6"/>
      <c r="AG6" s="7"/>
      <c r="AH6" s="8"/>
      <c r="AI6" s="9"/>
      <c r="AJ6" s="9"/>
      <c r="AK6" s="3"/>
      <c r="AL6" s="3"/>
      <c r="AM6" s="3"/>
      <c r="AN6" s="3"/>
      <c r="AO6" s="3"/>
    </row>
    <row r="7" spans="2:41" s="10" customFormat="1">
      <c r="B7" s="182"/>
      <c r="C7" s="2"/>
      <c r="D7" s="27"/>
      <c r="E7" s="28"/>
      <c r="G7" s="27"/>
      <c r="J7" s="2" t="s">
        <v>136</v>
      </c>
      <c r="L7" s="1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4"/>
      <c r="AB7" s="5"/>
      <c r="AC7" s="5"/>
      <c r="AD7" s="5"/>
      <c r="AE7" s="5"/>
      <c r="AF7" s="6"/>
      <c r="AG7" s="7"/>
      <c r="AH7" s="8"/>
      <c r="AI7" s="9"/>
      <c r="AJ7" s="9"/>
      <c r="AK7" s="3"/>
      <c r="AL7" s="3"/>
      <c r="AM7" s="3"/>
      <c r="AN7" s="3"/>
      <c r="AO7" s="3"/>
    </row>
    <row r="8" spans="2:41" s="10" customFormat="1">
      <c r="B8" s="182"/>
      <c r="C8" s="2"/>
      <c r="D8" s="29"/>
      <c r="E8" s="30"/>
      <c r="G8" s="29"/>
      <c r="J8" s="2" t="s">
        <v>135</v>
      </c>
      <c r="L8" s="1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5"/>
      <c r="AC8" s="5"/>
      <c r="AD8" s="5"/>
      <c r="AE8" s="5"/>
      <c r="AF8" s="6"/>
      <c r="AG8" s="7"/>
      <c r="AH8" s="8"/>
      <c r="AI8" s="9"/>
      <c r="AJ8" s="9"/>
      <c r="AK8" s="3"/>
      <c r="AL8" s="3"/>
      <c r="AM8" s="3"/>
      <c r="AN8" s="3"/>
      <c r="AO8" s="3"/>
    </row>
    <row r="9" spans="2:41" s="10" customFormat="1">
      <c r="B9" s="182"/>
      <c r="C9" s="2"/>
      <c r="D9" s="29"/>
      <c r="E9" s="27"/>
      <c r="F9" s="30"/>
      <c r="G9" s="29"/>
      <c r="I9" s="1"/>
      <c r="J9" s="11"/>
      <c r="L9" s="1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4"/>
      <c r="AB9" s="5"/>
      <c r="AC9" s="5"/>
      <c r="AD9" s="5"/>
      <c r="AE9" s="5"/>
      <c r="AF9" s="6"/>
      <c r="AG9" s="7"/>
      <c r="AH9" s="8"/>
      <c r="AI9" s="9"/>
      <c r="AJ9" s="9"/>
      <c r="AK9" s="3"/>
      <c r="AL9" s="3"/>
      <c r="AM9" s="3"/>
      <c r="AN9" s="3"/>
      <c r="AO9" s="3"/>
    </row>
    <row r="10" spans="2:41" s="10" customFormat="1">
      <c r="B10" s="182"/>
      <c r="C10" s="2"/>
      <c r="D10" s="31" t="s">
        <v>131</v>
      </c>
      <c r="E10" s="1"/>
      <c r="F10" s="27"/>
      <c r="G10" s="27"/>
      <c r="I10" s="1"/>
      <c r="J10" s="11"/>
      <c r="L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  <c r="AB10" s="5"/>
      <c r="AC10" s="5"/>
      <c r="AD10" s="5"/>
      <c r="AE10" s="5"/>
      <c r="AF10" s="6"/>
      <c r="AG10" s="7"/>
      <c r="AH10" s="8"/>
      <c r="AI10" s="9"/>
      <c r="AJ10" s="9"/>
      <c r="AK10" s="3"/>
      <c r="AL10" s="3"/>
      <c r="AM10" s="3"/>
      <c r="AN10" s="3"/>
      <c r="AO10" s="3"/>
    </row>
    <row r="12" spans="2:41" ht="34">
      <c r="C12" s="24" t="s">
        <v>128</v>
      </c>
    </row>
    <row r="13" spans="2:41" ht="34">
      <c r="C13" s="24" t="s">
        <v>125</v>
      </c>
    </row>
    <row r="14" spans="2:41" ht="34">
      <c r="C14" s="24" t="s">
        <v>126</v>
      </c>
    </row>
    <row r="15" spans="2:41" ht="20" customHeight="1">
      <c r="C15" s="24"/>
    </row>
    <row r="16" spans="2:41" s="18" customFormat="1" ht="29" customHeight="1">
      <c r="B16" s="182"/>
      <c r="D16" s="19"/>
      <c r="E16" s="19"/>
      <c r="F16" s="19"/>
      <c r="G16" s="19"/>
      <c r="H16" s="19"/>
      <c r="I16" s="19"/>
      <c r="J16" s="19"/>
      <c r="K16" s="19"/>
      <c r="L16" s="19"/>
      <c r="M16" s="19"/>
      <c r="O16" s="20"/>
      <c r="P16" s="20" t="s">
        <v>122</v>
      </c>
      <c r="Q16" s="21" t="s">
        <v>122</v>
      </c>
      <c r="R16" s="21"/>
      <c r="S16" s="20" t="s">
        <v>171</v>
      </c>
      <c r="T16" s="20" t="s">
        <v>170</v>
      </c>
      <c r="U16" s="21" t="s">
        <v>171</v>
      </c>
      <c r="V16" s="21" t="s">
        <v>170</v>
      </c>
      <c r="W16" s="21"/>
    </row>
    <row r="17" spans="2:24" s="18" customFormat="1" ht="28" customHeight="1">
      <c r="B17" s="25"/>
      <c r="C17" s="25"/>
      <c r="D17" s="22">
        <v>2011</v>
      </c>
      <c r="E17" s="22">
        <v>2012</v>
      </c>
      <c r="F17" s="22">
        <v>2013</v>
      </c>
      <c r="G17" s="22">
        <v>2014</v>
      </c>
      <c r="H17" s="22">
        <v>2015</v>
      </c>
      <c r="I17" s="22">
        <v>2016</v>
      </c>
      <c r="J17" s="22">
        <v>2017</v>
      </c>
      <c r="K17" s="22">
        <v>2018</v>
      </c>
      <c r="L17" s="22">
        <v>2019</v>
      </c>
      <c r="M17" s="22">
        <v>2020</v>
      </c>
      <c r="O17" s="20" t="s">
        <v>122</v>
      </c>
      <c r="P17" s="20" t="s">
        <v>123</v>
      </c>
      <c r="Q17" s="21" t="s">
        <v>124</v>
      </c>
      <c r="R17" s="21"/>
      <c r="S17" s="20" t="s">
        <v>171</v>
      </c>
      <c r="T17" s="20" t="s">
        <v>170</v>
      </c>
      <c r="U17" s="21" t="s">
        <v>124</v>
      </c>
      <c r="V17" s="21" t="s">
        <v>124</v>
      </c>
      <c r="W17" s="21"/>
    </row>
    <row r="18" spans="2:24" s="18" customFormat="1" ht="14" customHeight="1">
      <c r="B18" s="25"/>
      <c r="C18" s="25"/>
      <c r="D18" s="22"/>
      <c r="E18" s="22"/>
      <c r="F18" s="22"/>
      <c r="G18" s="22"/>
      <c r="H18" s="22"/>
      <c r="I18" s="22"/>
      <c r="J18" s="22"/>
      <c r="K18" s="22"/>
      <c r="L18" s="22"/>
      <c r="M18" s="22"/>
      <c r="O18" s="20"/>
      <c r="P18" s="20"/>
      <c r="Q18" s="21"/>
      <c r="R18" s="21"/>
      <c r="S18" s="20"/>
      <c r="T18" s="20"/>
      <c r="U18" s="21"/>
      <c r="V18" s="21"/>
      <c r="W18" s="21"/>
    </row>
    <row r="19" spans="2:24" ht="28">
      <c r="B19" s="25" t="s">
        <v>48</v>
      </c>
      <c r="C19" s="25"/>
      <c r="D19" s="17">
        <v>25.706930921939282</v>
      </c>
      <c r="E19" s="17">
        <v>39.696457014909505</v>
      </c>
      <c r="F19" s="194">
        <v>16.349472454801759</v>
      </c>
      <c r="G19" s="17">
        <v>39.697836710755304</v>
      </c>
      <c r="H19" s="17">
        <v>39.19060608057746</v>
      </c>
      <c r="I19" s="17">
        <v>34.555902296175759</v>
      </c>
      <c r="J19" s="17">
        <v>29.038968033341266</v>
      </c>
      <c r="K19" s="17">
        <v>44.933299197505185</v>
      </c>
      <c r="L19" s="17">
        <v>26.180606469904504</v>
      </c>
      <c r="M19" s="17">
        <v>51.564581569710484</v>
      </c>
      <c r="O19" s="15">
        <f>AVERAGE(D19:N19)</f>
        <v>34.691466074962044</v>
      </c>
      <c r="P19" s="15">
        <f>AVEDEV(D19:M19)</f>
        <v>8.3250900397295364</v>
      </c>
      <c r="Q19" s="16">
        <f>P19/O19</f>
        <v>0.23997515762927135</v>
      </c>
      <c r="S19" s="15">
        <f>MIN(D19:M19)</f>
        <v>16.349472454801759</v>
      </c>
      <c r="T19" s="15">
        <f>MAX(D19:M19)</f>
        <v>51.564581569710484</v>
      </c>
      <c r="U19" s="16">
        <f>S19/$O19-1</f>
        <v>-0.52871774229796231</v>
      </c>
      <c r="V19" s="16">
        <f>T19/$O19-1</f>
        <v>0.48637654742779279</v>
      </c>
      <c r="X19" s="15"/>
    </row>
    <row r="20" spans="2:24" ht="28">
      <c r="B20" s="25" t="s">
        <v>49</v>
      </c>
      <c r="C20" s="25"/>
      <c r="D20" s="17">
        <v>50.858318684135796</v>
      </c>
      <c r="E20" s="17">
        <v>43.827630062287199</v>
      </c>
      <c r="F20" s="194">
        <v>26.595783845670137</v>
      </c>
      <c r="G20" s="17">
        <v>68.490045524502264</v>
      </c>
      <c r="H20" s="17">
        <v>55.208663888175302</v>
      </c>
      <c r="I20" s="17">
        <v>55.631287134390888</v>
      </c>
      <c r="J20" s="17">
        <v>64.128530678728538</v>
      </c>
      <c r="K20" s="17">
        <v>31.256542479672611</v>
      </c>
      <c r="L20" s="17">
        <v>87.273775072454129</v>
      </c>
      <c r="M20" s="17">
        <v>65.584196934664092</v>
      </c>
      <c r="O20" s="15">
        <f t="shared" ref="O20:O30" si="0">AVERAGE(D20:N20)</f>
        <v>54.885477430468086</v>
      </c>
      <c r="P20" s="15">
        <f t="shared" ref="P20:P30" si="1">AVEDEV(D20:M20)</f>
        <v>13.40072693002133</v>
      </c>
      <c r="Q20" s="16">
        <f t="shared" ref="Q20:Q30" si="2">P20/O20</f>
        <v>0.24415797324525601</v>
      </c>
      <c r="S20" s="15">
        <f t="shared" ref="S20:S30" si="3">MIN(D20:M20)</f>
        <v>26.595783845670137</v>
      </c>
      <c r="T20" s="15">
        <f t="shared" ref="T20:T30" si="4">MAX(D20:M20)</f>
        <v>87.273775072454129</v>
      </c>
      <c r="U20" s="16">
        <f t="shared" ref="U20:U30" si="5">S20/$O20-1</f>
        <v>-0.51543131096266537</v>
      </c>
      <c r="V20" s="16">
        <f t="shared" ref="V20:V30" si="6">T20/$O20-1</f>
        <v>0.59010687632292713</v>
      </c>
      <c r="X20" s="15"/>
    </row>
    <row r="21" spans="2:24" ht="28">
      <c r="B21" s="25" t="s">
        <v>121</v>
      </c>
      <c r="C21" s="25"/>
      <c r="D21" s="17">
        <v>104.64545433805006</v>
      </c>
      <c r="E21" s="17">
        <v>103.07561234022137</v>
      </c>
      <c r="F21" s="17">
        <v>73.821087894278648</v>
      </c>
      <c r="G21" s="17">
        <v>113.37770596055306</v>
      </c>
      <c r="H21" s="17">
        <v>87.959051370865467</v>
      </c>
      <c r="I21" s="17">
        <v>75.600627048492427</v>
      </c>
      <c r="J21" s="17">
        <v>93.443150898059514</v>
      </c>
      <c r="K21" s="17">
        <v>77.917874276569336</v>
      </c>
      <c r="L21" s="17">
        <v>97.688899555988613</v>
      </c>
      <c r="M21" s="17">
        <v>98.80853649497277</v>
      </c>
      <c r="O21" s="15">
        <f t="shared" si="0"/>
        <v>92.633800017805129</v>
      </c>
      <c r="P21" s="15">
        <f t="shared" si="1"/>
        <v>11.047311896202924</v>
      </c>
      <c r="Q21" s="16">
        <f t="shared" si="2"/>
        <v>0.11925789392294736</v>
      </c>
      <c r="S21" s="15">
        <f t="shared" si="3"/>
        <v>73.821087894278648</v>
      </c>
      <c r="T21" s="15">
        <f t="shared" si="4"/>
        <v>113.37770596055306</v>
      </c>
      <c r="U21" s="16">
        <f t="shared" si="5"/>
        <v>-0.20308690909700877</v>
      </c>
      <c r="V21" s="16">
        <f t="shared" si="6"/>
        <v>0.22393452431791361</v>
      </c>
      <c r="X21" s="15"/>
    </row>
    <row r="22" spans="2:24" ht="28">
      <c r="B22" s="25" t="s">
        <v>51</v>
      </c>
      <c r="C22" s="25"/>
      <c r="D22" s="17">
        <v>130.78204563295932</v>
      </c>
      <c r="E22" s="17">
        <v>86.040688499386874</v>
      </c>
      <c r="F22" s="17">
        <v>80.199743810826135</v>
      </c>
      <c r="G22" s="17">
        <v>101.90203252725611</v>
      </c>
      <c r="H22" s="17">
        <v>128.25262615720877</v>
      </c>
      <c r="I22" s="17">
        <v>101.36026333901859</v>
      </c>
      <c r="J22" s="17">
        <v>93.208242416151009</v>
      </c>
      <c r="K22" s="17">
        <v>135.73772372460016</v>
      </c>
      <c r="L22" s="17">
        <v>107.21490366640265</v>
      </c>
      <c r="M22" s="17">
        <v>147.23244737670356</v>
      </c>
      <c r="O22" s="15">
        <f t="shared" si="0"/>
        <v>111.19307171505132</v>
      </c>
      <c r="P22" s="15">
        <f t="shared" si="1"/>
        <v>19.446511206253309</v>
      </c>
      <c r="Q22" s="16">
        <f t="shared" si="2"/>
        <v>0.17488959434530119</v>
      </c>
      <c r="S22" s="15">
        <f t="shared" si="3"/>
        <v>80.199743810826135</v>
      </c>
      <c r="T22" s="15">
        <f t="shared" si="4"/>
        <v>147.23244737670356</v>
      </c>
      <c r="U22" s="16">
        <f t="shared" si="5"/>
        <v>-0.27873434402145281</v>
      </c>
      <c r="V22" s="16">
        <f t="shared" si="6"/>
        <v>0.32411529878415868</v>
      </c>
      <c r="X22" s="15"/>
    </row>
    <row r="23" spans="2:24" ht="28">
      <c r="B23" s="25" t="s">
        <v>52</v>
      </c>
      <c r="C23" s="25"/>
      <c r="D23" s="17">
        <v>129.27937343544667</v>
      </c>
      <c r="E23" s="17">
        <v>119.95273582157355</v>
      </c>
      <c r="F23" s="17">
        <v>91.997858618978299</v>
      </c>
      <c r="G23" s="17">
        <v>109.60598937615387</v>
      </c>
      <c r="H23" s="17">
        <v>103.60800678203987</v>
      </c>
      <c r="I23" s="17">
        <v>112.75663523360151</v>
      </c>
      <c r="J23" s="17">
        <v>132.41529847960911</v>
      </c>
      <c r="K23" s="17">
        <v>126.74319593988986</v>
      </c>
      <c r="L23" s="17">
        <v>101.37772201738856</v>
      </c>
      <c r="M23" s="17">
        <v>115.84650063652195</v>
      </c>
      <c r="O23" s="15">
        <f t="shared" si="0"/>
        <v>114.35833163412033</v>
      </c>
      <c r="P23" s="15">
        <f t="shared" si="1"/>
        <v>10.489089228487902</v>
      </c>
      <c r="Q23" s="16">
        <f t="shared" si="2"/>
        <v>9.1721250901480825E-2</v>
      </c>
      <c r="S23" s="15">
        <f t="shared" si="3"/>
        <v>91.997858618978299</v>
      </c>
      <c r="T23" s="15">
        <f t="shared" si="4"/>
        <v>132.41529847960911</v>
      </c>
      <c r="U23" s="16">
        <f t="shared" si="5"/>
        <v>-0.19552989883310334</v>
      </c>
      <c r="V23" s="16">
        <f t="shared" si="6"/>
        <v>0.1578981311415113</v>
      </c>
      <c r="X23" s="15"/>
    </row>
    <row r="24" spans="2:24" ht="28">
      <c r="B24" s="25" t="s">
        <v>53</v>
      </c>
      <c r="C24" s="25"/>
      <c r="D24" s="17">
        <v>96.160795513475904</v>
      </c>
      <c r="E24" s="17">
        <v>69.567453856476476</v>
      </c>
      <c r="F24" s="17">
        <v>106.68690585319465</v>
      </c>
      <c r="G24" s="17">
        <v>136.20503872741631</v>
      </c>
      <c r="H24" s="17">
        <v>121.03795911653235</v>
      </c>
      <c r="I24" s="17">
        <v>110.75510863663338</v>
      </c>
      <c r="J24" s="17">
        <v>129.40709581597471</v>
      </c>
      <c r="K24" s="17">
        <v>114.02275769591095</v>
      </c>
      <c r="L24" s="17">
        <v>134.1936718747352</v>
      </c>
      <c r="M24" s="17">
        <v>97.059801895986197</v>
      </c>
      <c r="O24" s="15">
        <f t="shared" si="0"/>
        <v>111.5096588986336</v>
      </c>
      <c r="P24" s="15">
        <f t="shared" si="1"/>
        <v>15.463645747480294</v>
      </c>
      <c r="Q24" s="16">
        <f t="shared" si="2"/>
        <v>0.1386753927885056</v>
      </c>
      <c r="S24" s="15">
        <f t="shared" si="3"/>
        <v>69.567453856476476</v>
      </c>
      <c r="T24" s="15">
        <f t="shared" si="4"/>
        <v>136.20503872741631</v>
      </c>
      <c r="U24" s="16">
        <f t="shared" si="5"/>
        <v>-0.37613069088736195</v>
      </c>
      <c r="V24" s="16">
        <f t="shared" si="6"/>
        <v>0.22146404242193696</v>
      </c>
      <c r="X24" s="15"/>
    </row>
    <row r="25" spans="2:24" ht="28">
      <c r="B25" s="25" t="s">
        <v>54</v>
      </c>
      <c r="C25" s="25"/>
      <c r="D25" s="17">
        <v>102.1330243176875</v>
      </c>
      <c r="E25" s="17">
        <v>93.466464551449917</v>
      </c>
      <c r="F25" s="17">
        <v>147.61494744076685</v>
      </c>
      <c r="G25" s="17">
        <v>89.762489677097221</v>
      </c>
      <c r="H25" s="17">
        <v>128.85820789748453</v>
      </c>
      <c r="I25" s="17">
        <v>122.98852780610812</v>
      </c>
      <c r="J25" s="17">
        <v>120.48022906932998</v>
      </c>
      <c r="K25" s="17">
        <v>139.46332765850136</v>
      </c>
      <c r="L25" s="17">
        <v>120.24645431826285</v>
      </c>
      <c r="M25" s="17">
        <v>129.38393340045459</v>
      </c>
      <c r="O25" s="15">
        <f t="shared" si="0"/>
        <v>119.4397606137143</v>
      </c>
      <c r="P25" s="15">
        <f t="shared" si="1"/>
        <v>14.591460658981646</v>
      </c>
      <c r="Q25" s="16">
        <f t="shared" si="2"/>
        <v>0.12216585652890388</v>
      </c>
      <c r="S25" s="15">
        <f t="shared" si="3"/>
        <v>89.762489677097221</v>
      </c>
      <c r="T25" s="15">
        <f t="shared" si="4"/>
        <v>147.61494744076685</v>
      </c>
      <c r="U25" s="16">
        <f t="shared" si="5"/>
        <v>-0.24847061635193424</v>
      </c>
      <c r="V25" s="16">
        <f t="shared" si="6"/>
        <v>0.23589453530617188</v>
      </c>
      <c r="X25" s="15"/>
    </row>
    <row r="26" spans="2:24" ht="28">
      <c r="B26" s="25" t="s">
        <v>55</v>
      </c>
      <c r="C26" s="25"/>
      <c r="D26" s="17">
        <v>120.23681566250947</v>
      </c>
      <c r="E26" s="17">
        <v>117.57840103409066</v>
      </c>
      <c r="F26" s="17">
        <v>136.94975945763551</v>
      </c>
      <c r="G26" s="17">
        <v>102.00309461902724</v>
      </c>
      <c r="H26" s="17">
        <v>129.6810289569878</v>
      </c>
      <c r="I26" s="17">
        <v>112.97389648863221</v>
      </c>
      <c r="J26" s="17">
        <v>121.07114116263175</v>
      </c>
      <c r="K26" s="17">
        <v>117.93082166700133</v>
      </c>
      <c r="L26" s="17">
        <v>108.53745406653792</v>
      </c>
      <c r="M26" s="17">
        <v>109.07883368926764</v>
      </c>
      <c r="O26" s="15">
        <f t="shared" si="0"/>
        <v>117.60412468043216</v>
      </c>
      <c r="P26" s="15">
        <f t="shared" si="1"/>
        <v>7.569788700921019</v>
      </c>
      <c r="Q26" s="16">
        <f t="shared" si="2"/>
        <v>6.4366693953044118E-2</v>
      </c>
      <c r="S26" s="15">
        <f t="shared" si="3"/>
        <v>102.00309461902724</v>
      </c>
      <c r="T26" s="15">
        <f t="shared" si="4"/>
        <v>136.94975945763551</v>
      </c>
      <c r="U26" s="16">
        <f t="shared" si="5"/>
        <v>-0.13265716745733103</v>
      </c>
      <c r="V26" s="16">
        <f t="shared" si="6"/>
        <v>0.1644979275154812</v>
      </c>
      <c r="X26" s="15"/>
    </row>
    <row r="27" spans="2:24" ht="28">
      <c r="B27" s="25" t="s">
        <v>56</v>
      </c>
      <c r="C27" s="25"/>
      <c r="D27" s="17">
        <v>101.48378069124004</v>
      </c>
      <c r="E27" s="17">
        <v>84.104257147612742</v>
      </c>
      <c r="F27" s="17">
        <v>71.282097099590601</v>
      </c>
      <c r="G27" s="17">
        <v>82.753802098801074</v>
      </c>
      <c r="H27" s="17">
        <v>92.481775268883467</v>
      </c>
      <c r="I27" s="17">
        <v>131.05893247125746</v>
      </c>
      <c r="J27" s="17">
        <v>81.386041513537137</v>
      </c>
      <c r="K27" s="17">
        <v>122.81805137753186</v>
      </c>
      <c r="L27" s="17">
        <v>107.55432912379629</v>
      </c>
      <c r="M27" s="17">
        <v>102.04457674088022</v>
      </c>
      <c r="O27" s="15">
        <f t="shared" si="0"/>
        <v>97.696764353313085</v>
      </c>
      <c r="P27" s="15">
        <f t="shared" si="1"/>
        <v>15.295169727628087</v>
      </c>
      <c r="Q27" s="16">
        <f t="shared" si="2"/>
        <v>0.15655758743773993</v>
      </c>
      <c r="S27" s="15">
        <f t="shared" si="3"/>
        <v>71.282097099590601</v>
      </c>
      <c r="T27" s="15">
        <f t="shared" si="4"/>
        <v>131.05893247125746</v>
      </c>
      <c r="U27" s="16">
        <f t="shared" si="5"/>
        <v>-0.27037402342411054</v>
      </c>
      <c r="V27" s="16">
        <f t="shared" si="6"/>
        <v>0.34148692987715101</v>
      </c>
      <c r="X27" s="15"/>
    </row>
    <row r="28" spans="2:24" ht="28">
      <c r="B28" s="25" t="s">
        <v>57</v>
      </c>
      <c r="C28" s="25"/>
      <c r="D28" s="17">
        <v>86.25794510442752</v>
      </c>
      <c r="E28" s="17">
        <v>66.430657414753497</v>
      </c>
      <c r="F28" s="17">
        <v>64.050902956016301</v>
      </c>
      <c r="G28" s="17">
        <v>64.697551393996022</v>
      </c>
      <c r="H28" s="17">
        <v>52.288552620583509</v>
      </c>
      <c r="I28" s="17">
        <v>61.329826717771091</v>
      </c>
      <c r="J28" s="17">
        <v>84.60219942379787</v>
      </c>
      <c r="K28" s="17">
        <v>86.254022832985768</v>
      </c>
      <c r="L28" s="17">
        <v>71.251809161317226</v>
      </c>
      <c r="M28" s="17">
        <v>56.446523628752047</v>
      </c>
      <c r="O28" s="15">
        <f t="shared" si="0"/>
        <v>69.360999125440088</v>
      </c>
      <c r="P28" s="15">
        <f t="shared" si="1"/>
        <v>10.184396004153609</v>
      </c>
      <c r="Q28" s="16">
        <f t="shared" si="2"/>
        <v>0.1468317373245305</v>
      </c>
      <c r="S28" s="15">
        <f t="shared" si="3"/>
        <v>52.288552620583509</v>
      </c>
      <c r="T28" s="15">
        <f t="shared" si="4"/>
        <v>86.25794510442752</v>
      </c>
      <c r="U28" s="16">
        <f t="shared" si="5"/>
        <v>-0.24613899338417666</v>
      </c>
      <c r="V28" s="16">
        <f t="shared" si="6"/>
        <v>0.24360874543385869</v>
      </c>
      <c r="X28" s="15"/>
    </row>
    <row r="29" spans="2:24" ht="28">
      <c r="B29" s="25" t="s">
        <v>58</v>
      </c>
      <c r="C29" s="25"/>
      <c r="D29" s="17">
        <v>54.376583209506052</v>
      </c>
      <c r="E29" s="17">
        <v>36.898721682604879</v>
      </c>
      <c r="F29" s="194">
        <v>31.050716900299431</v>
      </c>
      <c r="G29" s="17">
        <v>32.99154473894891</v>
      </c>
      <c r="H29" s="17">
        <v>57.39394050707903</v>
      </c>
      <c r="I29" s="17">
        <v>40.766770336755883</v>
      </c>
      <c r="J29" s="17">
        <v>32.299254954598574</v>
      </c>
      <c r="K29" s="17">
        <v>43.963152190257688</v>
      </c>
      <c r="L29" s="194">
        <v>30.182131610277629</v>
      </c>
      <c r="M29" s="17">
        <v>43.423159819624296</v>
      </c>
      <c r="O29" s="15">
        <f t="shared" si="0"/>
        <v>40.334597594995238</v>
      </c>
      <c r="P29" s="15">
        <f t="shared" si="1"/>
        <v>7.6501236176493519</v>
      </c>
      <c r="Q29" s="16">
        <f t="shared" si="2"/>
        <v>0.18966654122758839</v>
      </c>
      <c r="S29" s="15">
        <f t="shared" si="3"/>
        <v>30.182131610277629</v>
      </c>
      <c r="T29" s="15">
        <f t="shared" si="4"/>
        <v>57.39394050707903</v>
      </c>
      <c r="U29" s="16">
        <f t="shared" si="5"/>
        <v>-0.25170614286672188</v>
      </c>
      <c r="V29" s="16">
        <f t="shared" si="6"/>
        <v>0.42294565780422055</v>
      </c>
      <c r="X29" s="15"/>
    </row>
    <row r="30" spans="2:24" ht="28">
      <c r="B30" s="25" t="s">
        <v>59</v>
      </c>
      <c r="C30" s="25"/>
      <c r="D30" s="17">
        <v>28.535268828447858</v>
      </c>
      <c r="E30" s="17">
        <v>23.96836977795941</v>
      </c>
      <c r="F30" s="195">
        <v>55.076300346953346</v>
      </c>
      <c r="G30" s="194">
        <v>22.996611235469199</v>
      </c>
      <c r="H30" s="17">
        <v>62.34311669685421</v>
      </c>
      <c r="I30" s="17">
        <v>44.210822095388167</v>
      </c>
      <c r="J30" s="17">
        <v>28.080810113242013</v>
      </c>
      <c r="K30" s="17">
        <v>25.256877169420584</v>
      </c>
      <c r="L30" s="17">
        <v>44.532908585424174</v>
      </c>
      <c r="M30" s="17">
        <v>31.506969670468031</v>
      </c>
      <c r="O30" s="15">
        <f t="shared" si="0"/>
        <v>36.650805451962704</v>
      </c>
      <c r="P30" s="15">
        <f t="shared" si="1"/>
        <v>11.911985183353819</v>
      </c>
      <c r="Q30" s="16">
        <f t="shared" si="2"/>
        <v>0.32501291680933342</v>
      </c>
      <c r="S30" s="15">
        <f t="shared" si="3"/>
        <v>22.996611235469199</v>
      </c>
      <c r="T30" s="15">
        <f t="shared" si="4"/>
        <v>62.34311669685421</v>
      </c>
      <c r="U30" s="16">
        <f t="shared" si="5"/>
        <v>-0.37254827139855673</v>
      </c>
      <c r="V30" s="16">
        <f t="shared" si="6"/>
        <v>0.70100263631493109</v>
      </c>
      <c r="X30" s="15"/>
    </row>
    <row r="31" spans="2:24" ht="16" customHeight="1">
      <c r="C31" s="26"/>
    </row>
    <row r="32" spans="2:24">
      <c r="B32" s="182" t="s">
        <v>160</v>
      </c>
      <c r="C32" s="26"/>
      <c r="O32" s="15">
        <f>SUM(O19:O31)</f>
        <v>1000.358857590898</v>
      </c>
      <c r="S32" s="15">
        <f>SUM(S19:S31)</f>
        <v>727.04637734307687</v>
      </c>
      <c r="T32" s="15">
        <f>SUM(T19:T31)</f>
        <v>1289.6874888644672</v>
      </c>
      <c r="X32" s="15"/>
    </row>
    <row r="33" spans="2:22" ht="48" customHeight="1">
      <c r="C33" s="26"/>
    </row>
    <row r="34" spans="2:22">
      <c r="B34" s="182" t="s">
        <v>172</v>
      </c>
      <c r="C34" s="26"/>
      <c r="D34" s="13">
        <f>SUM(D19:D33)</f>
        <v>1030.4563363398254</v>
      </c>
      <c r="E34" s="13">
        <f>SUM(E19:E33)</f>
        <v>884.60744920332615</v>
      </c>
      <c r="F34" s="13">
        <f t="shared" ref="F34:L34" si="7">SUM(F19:F33)</f>
        <v>901.67557667901167</v>
      </c>
      <c r="G34" s="13">
        <f t="shared" si="7"/>
        <v>964.48374258997671</v>
      </c>
      <c r="H34" s="13">
        <f t="shared" si="7"/>
        <v>1058.3035353432717</v>
      </c>
      <c r="I34" s="13">
        <f t="shared" si="7"/>
        <v>1003.9885996042254</v>
      </c>
      <c r="J34" s="13">
        <f t="shared" si="7"/>
        <v>1009.5609625590015</v>
      </c>
      <c r="K34" s="13">
        <f t="shared" si="7"/>
        <v>1066.2976462098466</v>
      </c>
      <c r="L34" s="13">
        <f t="shared" si="7"/>
        <v>1036.2346655224899</v>
      </c>
      <c r="M34" s="13">
        <f>SUM(M19:M33)</f>
        <v>1047.9800618580059</v>
      </c>
      <c r="O34" s="15">
        <f t="shared" ref="O34" si="8">AVERAGE(D34:N34)</f>
        <v>1000.3588575908982</v>
      </c>
      <c r="P34" s="15">
        <f t="shared" ref="P34" si="9">AVEDEV(D34:M34)</f>
        <v>50.061960860075907</v>
      </c>
      <c r="Q34" s="16">
        <f>P34/O34</f>
        <v>5.0044002190011094E-2</v>
      </c>
      <c r="S34" s="15">
        <f>MIN(D34:M34)</f>
        <v>884.60744920332615</v>
      </c>
      <c r="T34" s="15">
        <f t="shared" ref="T34" si="10">MAX(D34:M34)</f>
        <v>1066.2976462098466</v>
      </c>
      <c r="U34" s="16">
        <f t="shared" ref="U34" si="11">S34/$O34-1</f>
        <v>-0.11570988501699175</v>
      </c>
      <c r="V34" s="16">
        <f t="shared" ref="V34" si="12">T34/$O34-1</f>
        <v>6.59151344725879E-2</v>
      </c>
    </row>
    <row r="35" spans="2:22">
      <c r="C35" s="23"/>
    </row>
    <row r="36" spans="2:22">
      <c r="B36" s="182" t="s">
        <v>175</v>
      </c>
      <c r="C36" s="14"/>
      <c r="D36" s="13">
        <f>(D19+D20+D29+D30)/4</f>
        <v>39.869275411007244</v>
      </c>
      <c r="E36" s="13">
        <f t="shared" ref="E36:M36" si="13">(E19+E20+E29+E30)/4</f>
        <v>36.097794634440248</v>
      </c>
      <c r="F36" s="13">
        <f t="shared" si="13"/>
        <v>32.268068386931169</v>
      </c>
      <c r="G36" s="13">
        <f t="shared" si="13"/>
        <v>41.04400955241892</v>
      </c>
      <c r="H36" s="13">
        <f t="shared" si="13"/>
        <v>53.534081793171495</v>
      </c>
      <c r="I36" s="13">
        <f t="shared" si="13"/>
        <v>43.791195465677674</v>
      </c>
      <c r="J36" s="13">
        <f t="shared" si="13"/>
        <v>38.386890944977601</v>
      </c>
      <c r="K36" s="13">
        <f t="shared" si="13"/>
        <v>36.352467759214015</v>
      </c>
      <c r="L36" s="13">
        <f t="shared" si="13"/>
        <v>47.042355434515109</v>
      </c>
      <c r="M36" s="13">
        <f t="shared" si="13"/>
        <v>48.019726998616726</v>
      </c>
      <c r="O36" s="15">
        <f t="shared" ref="O36" si="14">AVERAGE(D36:N36)</f>
        <v>41.64058663809702</v>
      </c>
      <c r="P36" s="15">
        <f t="shared" ref="P36" si="15">AVEDEV(D36:M36)</f>
        <v>5.1650026279185841</v>
      </c>
      <c r="Q36" s="16">
        <f t="shared" ref="Q36" si="16">P36/O36</f>
        <v>0.1240377008328004</v>
      </c>
      <c r="S36" s="15">
        <f t="shared" ref="S36" si="17">MIN(D36:M36)</f>
        <v>32.268068386931169</v>
      </c>
      <c r="T36" s="15">
        <f t="shared" ref="T36" si="18">MAX(D36:M36)</f>
        <v>53.534081793171495</v>
      </c>
      <c r="U36" s="16">
        <f t="shared" ref="U36" si="19">S36/$O36-1</f>
        <v>-0.22508132108280443</v>
      </c>
      <c r="V36" s="16">
        <f t="shared" ref="V36" si="20">T36/$O36-1</f>
        <v>0.28562266085351218</v>
      </c>
    </row>
    <row r="38" spans="2:22">
      <c r="B38" s="182" t="s">
        <v>176</v>
      </c>
      <c r="D38" s="13">
        <f>(D19+D20)/2</f>
        <v>38.282624803037535</v>
      </c>
      <c r="E38" s="13">
        <f t="shared" ref="E38:M38" si="21">(E19+E20)/2</f>
        <v>41.762043538598348</v>
      </c>
      <c r="F38" s="13">
        <f t="shared" si="21"/>
        <v>21.472628150235948</v>
      </c>
      <c r="G38" s="13">
        <f t="shared" si="21"/>
        <v>54.093941117628788</v>
      </c>
      <c r="H38" s="13">
        <f t="shared" si="21"/>
        <v>47.199634984376381</v>
      </c>
      <c r="I38" s="13">
        <f t="shared" si="21"/>
        <v>45.093594715283324</v>
      </c>
      <c r="J38" s="13">
        <f t="shared" si="21"/>
        <v>46.5837493560349</v>
      </c>
      <c r="K38" s="13">
        <f t="shared" si="21"/>
        <v>38.094920838588898</v>
      </c>
      <c r="L38" s="13">
        <f t="shared" si="21"/>
        <v>56.727190771179316</v>
      </c>
      <c r="M38" s="13">
        <f t="shared" si="21"/>
        <v>58.574389252187288</v>
      </c>
      <c r="O38" s="15">
        <f t="shared" ref="O38" si="22">AVERAGE(D38:N38)</f>
        <v>44.788471752715076</v>
      </c>
      <c r="P38" s="15">
        <f t="shared" ref="P38" si="23">AVEDEV(D38:M38)</f>
        <v>7.908333936079913</v>
      </c>
      <c r="Q38" s="16">
        <f t="shared" ref="Q38" si="24">P38/O38</f>
        <v>0.17657074748482593</v>
      </c>
      <c r="S38" s="15">
        <f t="shared" ref="S38" si="25">MIN(D38:M38)</f>
        <v>21.472628150235948</v>
      </c>
      <c r="T38" s="15">
        <f t="shared" ref="T38" si="26">MAX(D38:M38)</f>
        <v>58.574389252187288</v>
      </c>
      <c r="U38" s="16">
        <f t="shared" ref="U38" si="27">S38/$O38-1</f>
        <v>-0.52057689601935841</v>
      </c>
      <c r="V38" s="16">
        <f t="shared" ref="V38" si="28">T38/$O38-1</f>
        <v>0.3078005781395412</v>
      </c>
    </row>
    <row r="40" spans="2:22">
      <c r="B40" s="182" t="s">
        <v>177</v>
      </c>
      <c r="D40" s="13">
        <f>(D29+D30)/2</f>
        <v>41.455926018976953</v>
      </c>
      <c r="E40" s="13">
        <f t="shared" ref="E40:M40" si="29">(E29+E30)/2</f>
        <v>30.433545730282145</v>
      </c>
      <c r="F40" s="13">
        <f t="shared" si="29"/>
        <v>43.06350862362639</v>
      </c>
      <c r="G40" s="13">
        <f t="shared" si="29"/>
        <v>27.994077987209053</v>
      </c>
      <c r="H40" s="13">
        <f t="shared" si="29"/>
        <v>59.868528601966617</v>
      </c>
      <c r="I40" s="13">
        <f t="shared" si="29"/>
        <v>42.488796216072025</v>
      </c>
      <c r="J40" s="13">
        <f t="shared" si="29"/>
        <v>30.190032533920295</v>
      </c>
      <c r="K40" s="13">
        <f t="shared" si="29"/>
        <v>34.610014679839139</v>
      </c>
      <c r="L40" s="13">
        <f t="shared" si="29"/>
        <v>37.357520097850902</v>
      </c>
      <c r="M40" s="13">
        <f t="shared" si="29"/>
        <v>37.465064745046163</v>
      </c>
      <c r="O40" s="15">
        <f t="shared" ref="O40" si="30">AVERAGE(D40:N40)</f>
        <v>38.492701523478971</v>
      </c>
      <c r="P40" s="15">
        <f t="shared" ref="P40" si="31">AVEDEV(D40:M40)</f>
        <v>6.5811906733452235</v>
      </c>
      <c r="Q40" s="16">
        <f t="shared" ref="Q40" si="32">P40/O40</f>
        <v>0.17097242887280767</v>
      </c>
      <c r="S40" s="15">
        <f t="shared" ref="S40" si="33">MIN(D40:M40)</f>
        <v>27.994077987209053</v>
      </c>
      <c r="T40" s="15">
        <f t="shared" ref="T40" si="34">MAX(D40:M40)</f>
        <v>59.868528601966617</v>
      </c>
      <c r="U40" s="16">
        <f t="shared" ref="U40" si="35">S40/$O40-1</f>
        <v>-0.27274322457898126</v>
      </c>
      <c r="V40" s="16">
        <f t="shared" ref="V40" si="36">T40/$O40-1</f>
        <v>0.55532156051581016</v>
      </c>
    </row>
  </sheetData>
  <conditionalFormatting sqref="U19:V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EB9-39E7-E942-9FF7-8F3FF794B98B}">
  <dimension ref="B3:AM39"/>
  <sheetViews>
    <sheetView workbookViewId="0"/>
  </sheetViews>
  <sheetFormatPr baseColWidth="10" defaultRowHeight="21"/>
  <cols>
    <col min="1" max="1" width="7" style="3" customWidth="1"/>
    <col min="2" max="2" width="3.5" style="2" customWidth="1"/>
    <col min="3" max="3" width="11.5" style="58" customWidth="1"/>
    <col min="4" max="4" width="12" style="67" customWidth="1"/>
    <col min="5" max="5" width="6.83203125" style="67" customWidth="1"/>
    <col min="6" max="6" width="10.33203125" style="67" customWidth="1"/>
    <col min="7" max="7" width="8.5" style="68" customWidth="1"/>
    <col min="8" max="9" width="2.83203125" style="9" customWidth="1"/>
    <col min="10" max="10" width="11.5" style="9" customWidth="1"/>
    <col min="11" max="11" width="7.83203125" style="9" customWidth="1"/>
    <col min="12" max="12" width="10.1640625" style="9" customWidth="1"/>
    <col min="13" max="13" width="7.5" style="9" customWidth="1"/>
    <col min="14" max="14" width="7.33203125" style="9" customWidth="1"/>
    <col min="15" max="15" width="10" style="9" customWidth="1"/>
    <col min="16" max="16" width="7.1640625" style="9" customWidth="1"/>
    <col min="17" max="17" width="11" style="9" customWidth="1"/>
    <col min="18" max="18" width="14.83203125" style="9" customWidth="1"/>
    <col min="19" max="19" width="17.5" style="9" customWidth="1"/>
    <col min="20" max="20" width="7.5" style="70" customWidth="1"/>
    <col min="21" max="21" width="10.83203125" style="2"/>
    <col min="22" max="22" width="26.83203125" style="3" customWidth="1"/>
    <col min="23" max="16384" width="10.83203125" style="3"/>
  </cols>
  <sheetData>
    <row r="3" spans="2:39" ht="31">
      <c r="E3" s="88" t="s">
        <v>165</v>
      </c>
    </row>
    <row r="4" spans="2:39" s="10" customFormat="1">
      <c r="B4" s="1"/>
      <c r="C4" s="58"/>
      <c r="D4" s="1"/>
      <c r="E4" s="1"/>
      <c r="F4" s="1"/>
      <c r="G4" s="2"/>
      <c r="J4" s="1"/>
      <c r="K4" s="1"/>
      <c r="L4" s="11"/>
      <c r="N4" s="11"/>
      <c r="O4" s="11"/>
      <c r="P4" s="11"/>
      <c r="Q4" s="11"/>
      <c r="R4" s="11"/>
      <c r="S4" s="181" t="s">
        <v>169</v>
      </c>
      <c r="T4" s="3"/>
      <c r="U4" s="2"/>
      <c r="V4" s="3"/>
      <c r="W4" s="3"/>
      <c r="X4" s="3"/>
      <c r="Y4" s="4"/>
      <c r="Z4" s="5"/>
      <c r="AA4" s="5"/>
      <c r="AB4" s="5"/>
      <c r="AC4" s="5"/>
      <c r="AD4" s="6"/>
      <c r="AE4" s="7"/>
      <c r="AF4" s="8"/>
      <c r="AG4" s="9"/>
      <c r="AH4" s="9"/>
      <c r="AI4" s="3"/>
      <c r="AJ4" s="3"/>
      <c r="AK4" s="3"/>
      <c r="AL4" s="3"/>
      <c r="AM4" s="3"/>
    </row>
    <row r="5" spans="2:39" s="59" customFormat="1">
      <c r="B5" s="58"/>
      <c r="C5" s="58"/>
      <c r="D5" s="58" t="s">
        <v>157</v>
      </c>
      <c r="E5" s="58"/>
      <c r="F5" s="58">
        <v>7.32</v>
      </c>
      <c r="G5" s="55" t="s">
        <v>8</v>
      </c>
      <c r="J5" s="58" t="s">
        <v>157</v>
      </c>
      <c r="K5" s="58"/>
      <c r="L5" s="71">
        <v>1</v>
      </c>
      <c r="M5" s="55" t="s">
        <v>8</v>
      </c>
      <c r="N5" s="60"/>
      <c r="O5" s="71"/>
      <c r="P5" s="71"/>
      <c r="Q5" s="71"/>
      <c r="R5" s="71"/>
      <c r="S5" s="71" t="s">
        <v>167</v>
      </c>
      <c r="T5" s="56"/>
      <c r="U5" s="55"/>
      <c r="V5" s="56"/>
      <c r="W5" s="56"/>
      <c r="X5" s="56"/>
      <c r="Y5" s="61"/>
      <c r="Z5" s="62"/>
      <c r="AA5" s="62"/>
      <c r="AB5" s="62"/>
      <c r="AC5" s="62"/>
      <c r="AD5" s="63"/>
      <c r="AE5" s="64"/>
      <c r="AF5" s="65"/>
      <c r="AG5" s="66"/>
      <c r="AH5" s="66"/>
      <c r="AI5" s="56"/>
      <c r="AJ5" s="56"/>
      <c r="AK5" s="56"/>
      <c r="AL5" s="56"/>
      <c r="AM5" s="56"/>
    </row>
    <row r="6" spans="2:39" s="10" customFormat="1">
      <c r="B6" s="1"/>
      <c r="C6" s="58"/>
      <c r="D6" s="1"/>
      <c r="E6" s="1"/>
      <c r="F6" s="1"/>
      <c r="G6" s="2"/>
      <c r="J6" s="1"/>
      <c r="K6" s="1"/>
      <c r="L6" s="1"/>
      <c r="M6" s="2"/>
      <c r="N6" s="11"/>
      <c r="O6" s="1"/>
      <c r="P6" s="1"/>
      <c r="Q6" s="1"/>
      <c r="R6" s="1"/>
      <c r="S6" s="58" t="s">
        <v>168</v>
      </c>
      <c r="T6" s="3"/>
      <c r="U6" s="2"/>
      <c r="V6" s="3"/>
      <c r="W6" s="3"/>
      <c r="X6" s="3"/>
      <c r="Y6" s="4"/>
      <c r="Z6" s="5"/>
      <c r="AA6" s="5"/>
      <c r="AB6" s="5"/>
      <c r="AC6" s="5"/>
      <c r="AD6" s="6"/>
      <c r="AE6" s="7"/>
      <c r="AF6" s="8"/>
      <c r="AG6" s="9"/>
      <c r="AH6" s="9"/>
      <c r="AI6" s="3"/>
      <c r="AJ6" s="3"/>
      <c r="AK6" s="3"/>
      <c r="AL6" s="3"/>
      <c r="AM6" s="3"/>
    </row>
    <row r="7" spans="2:39" s="10" customFormat="1">
      <c r="B7" s="1"/>
      <c r="C7" s="58"/>
      <c r="D7" s="58">
        <v>2021</v>
      </c>
      <c r="E7" s="58"/>
      <c r="F7" s="58">
        <v>2021</v>
      </c>
      <c r="G7" s="2"/>
      <c r="J7" s="58">
        <v>2021</v>
      </c>
      <c r="K7" s="58"/>
      <c r="L7" s="58">
        <v>2021</v>
      </c>
      <c r="M7" s="2"/>
      <c r="N7" s="11"/>
      <c r="O7" s="58" t="s">
        <v>158</v>
      </c>
      <c r="P7" s="58"/>
      <c r="Q7" s="58"/>
      <c r="R7" s="58"/>
      <c r="S7" s="58">
        <v>2021</v>
      </c>
      <c r="T7" s="3"/>
      <c r="U7" s="2"/>
      <c r="V7" s="3"/>
      <c r="W7" s="3"/>
      <c r="X7" s="3"/>
      <c r="Y7" s="4"/>
      <c r="Z7" s="5"/>
      <c r="AA7" s="5"/>
      <c r="AB7" s="5"/>
      <c r="AC7" s="5"/>
      <c r="AD7" s="6"/>
      <c r="AE7" s="7"/>
      <c r="AF7" s="8"/>
      <c r="AG7" s="9"/>
      <c r="AH7" s="9"/>
      <c r="AI7" s="3"/>
      <c r="AJ7" s="3"/>
      <c r="AK7" s="3"/>
      <c r="AL7" s="3"/>
      <c r="AM7" s="3"/>
    </row>
    <row r="8" spans="2:39" s="59" customFormat="1">
      <c r="B8" s="58"/>
      <c r="C8" s="58"/>
      <c r="D8" s="58" t="s">
        <v>155</v>
      </c>
      <c r="E8" s="58"/>
      <c r="F8" s="58" t="s">
        <v>156</v>
      </c>
      <c r="G8" s="55"/>
      <c r="J8" s="58" t="s">
        <v>155</v>
      </c>
      <c r="K8" s="58"/>
      <c r="L8" s="58" t="s">
        <v>156</v>
      </c>
      <c r="M8" s="55"/>
      <c r="N8" s="60"/>
      <c r="O8" s="58" t="s">
        <v>162</v>
      </c>
      <c r="P8" s="58"/>
      <c r="Q8" s="58" t="s">
        <v>159</v>
      </c>
      <c r="R8" s="58"/>
      <c r="S8" s="58" t="s">
        <v>163</v>
      </c>
      <c r="T8" s="56"/>
      <c r="U8" s="55"/>
      <c r="V8" s="56"/>
      <c r="W8" s="56"/>
      <c r="X8" s="56"/>
      <c r="Y8" s="61"/>
      <c r="Z8" s="62"/>
      <c r="AA8" s="62"/>
      <c r="AB8" s="62"/>
      <c r="AC8" s="62"/>
      <c r="AD8" s="63"/>
      <c r="AE8" s="64"/>
      <c r="AF8" s="65"/>
      <c r="AG8" s="66"/>
      <c r="AH8" s="66"/>
      <c r="AI8" s="56"/>
      <c r="AJ8" s="56"/>
      <c r="AK8" s="56"/>
      <c r="AL8" s="56"/>
      <c r="AM8" s="56"/>
    </row>
    <row r="9" spans="2:39" s="10" customFormat="1" ht="12" customHeight="1">
      <c r="B9" s="1"/>
      <c r="C9" s="58"/>
      <c r="D9" s="1"/>
      <c r="E9" s="1"/>
      <c r="F9" s="1"/>
      <c r="G9" s="2"/>
      <c r="L9" s="2"/>
      <c r="N9" s="11"/>
      <c r="O9" s="2"/>
      <c r="P9" s="2"/>
      <c r="Q9" s="2"/>
      <c r="R9" s="2"/>
      <c r="S9" s="2"/>
      <c r="T9" s="3"/>
      <c r="U9" s="2"/>
      <c r="V9" s="3"/>
      <c r="W9" s="3"/>
      <c r="X9" s="3"/>
      <c r="Y9" s="4"/>
      <c r="Z9" s="5"/>
      <c r="AA9" s="5"/>
      <c r="AB9" s="5"/>
      <c r="AC9" s="5"/>
      <c r="AD9" s="6"/>
      <c r="AE9" s="7"/>
      <c r="AF9" s="8"/>
      <c r="AG9" s="9"/>
      <c r="AH9" s="9"/>
      <c r="AI9" s="3"/>
      <c r="AJ9" s="3"/>
      <c r="AK9" s="3"/>
      <c r="AL9" s="3"/>
      <c r="AM9" s="3"/>
    </row>
    <row r="10" spans="2:39" s="10" customFormat="1" ht="21" customHeight="1">
      <c r="B10" s="1"/>
      <c r="C10" s="58" t="s">
        <v>48</v>
      </c>
      <c r="D10" s="78">
        <v>138</v>
      </c>
      <c r="E10" s="79" t="s">
        <v>161</v>
      </c>
      <c r="F10" s="78">
        <v>160</v>
      </c>
      <c r="G10" s="79" t="s">
        <v>161</v>
      </c>
      <c r="H10" s="80"/>
      <c r="I10" s="80"/>
      <c r="J10" s="83">
        <f>D10/$F$5</f>
        <v>18.852459016393443</v>
      </c>
      <c r="K10" s="79" t="s">
        <v>161</v>
      </c>
      <c r="L10" s="87">
        <f t="shared" ref="L10:L21" si="0">F10/$F$5</f>
        <v>21.857923497267759</v>
      </c>
      <c r="M10" s="79" t="s">
        <v>161</v>
      </c>
      <c r="N10" s="80"/>
      <c r="O10" s="87">
        <v>39.696457014909505</v>
      </c>
      <c r="P10" s="79" t="s">
        <v>161</v>
      </c>
      <c r="Q10" s="83">
        <f>L10-O10</f>
        <v>-17.838533517641746</v>
      </c>
      <c r="R10" s="79" t="s">
        <v>161</v>
      </c>
      <c r="S10" s="83">
        <f>L10*1.2</f>
        <v>26.229508196721309</v>
      </c>
      <c r="T10" s="79" t="s">
        <v>161</v>
      </c>
      <c r="U10" s="79" t="s">
        <v>163</v>
      </c>
      <c r="V10" s="5"/>
      <c r="W10" s="3"/>
      <c r="X10" s="3"/>
      <c r="Y10" s="4"/>
      <c r="Z10" s="5"/>
      <c r="AA10" s="5"/>
      <c r="AB10" s="5"/>
      <c r="AC10" s="5"/>
      <c r="AD10" s="6"/>
      <c r="AE10" s="7"/>
      <c r="AF10" s="8"/>
      <c r="AG10" s="9"/>
      <c r="AH10" s="9"/>
      <c r="AI10" s="3"/>
      <c r="AJ10" s="3"/>
      <c r="AK10" s="3"/>
      <c r="AL10" s="3"/>
      <c r="AM10" s="3"/>
    </row>
    <row r="11" spans="2:39" s="10" customFormat="1" ht="21" customHeight="1">
      <c r="B11" s="1"/>
      <c r="C11" s="58" t="s">
        <v>49</v>
      </c>
      <c r="D11" s="78">
        <v>413</v>
      </c>
      <c r="E11" s="79" t="s">
        <v>161</v>
      </c>
      <c r="F11" s="78">
        <v>406</v>
      </c>
      <c r="G11" s="79" t="s">
        <v>161</v>
      </c>
      <c r="H11" s="80"/>
      <c r="I11" s="80"/>
      <c r="J11" s="83">
        <f t="shared" ref="J11:J21" si="1">D11/$F$5</f>
        <v>56.420765027322403</v>
      </c>
      <c r="K11" s="79" t="s">
        <v>161</v>
      </c>
      <c r="L11" s="87">
        <f t="shared" si="0"/>
        <v>55.464480874316941</v>
      </c>
      <c r="M11" s="79" t="s">
        <v>161</v>
      </c>
      <c r="N11" s="80"/>
      <c r="O11" s="87">
        <v>43.827630062287199</v>
      </c>
      <c r="P11" s="79" t="s">
        <v>161</v>
      </c>
      <c r="Q11" s="83">
        <f t="shared" ref="Q11:Q21" si="2">L11-O11</f>
        <v>11.636850812029742</v>
      </c>
      <c r="R11" s="79" t="s">
        <v>161</v>
      </c>
      <c r="S11" s="83">
        <f t="shared" ref="S11:S19" si="3">L11*1.2</f>
        <v>66.557377049180332</v>
      </c>
      <c r="T11" s="79" t="s">
        <v>161</v>
      </c>
      <c r="U11" s="79" t="s">
        <v>163</v>
      </c>
      <c r="V11" s="5"/>
      <c r="W11" s="3"/>
      <c r="X11" s="3"/>
      <c r="Y11" s="4"/>
      <c r="Z11" s="5"/>
      <c r="AA11" s="5"/>
      <c r="AB11" s="5"/>
      <c r="AC11" s="5"/>
      <c r="AD11" s="6"/>
      <c r="AE11" s="7"/>
      <c r="AF11" s="8"/>
      <c r="AG11" s="9"/>
      <c r="AH11" s="9"/>
      <c r="AI11" s="3"/>
      <c r="AJ11" s="3"/>
      <c r="AK11" s="3"/>
      <c r="AL11" s="3"/>
      <c r="AM11" s="3"/>
    </row>
    <row r="12" spans="2:39" s="10" customFormat="1" ht="21" customHeight="1">
      <c r="B12" s="1"/>
      <c r="C12" s="58" t="s">
        <v>121</v>
      </c>
      <c r="D12" s="78">
        <v>619</v>
      </c>
      <c r="E12" s="79" t="s">
        <v>161</v>
      </c>
      <c r="F12" s="78">
        <v>759</v>
      </c>
      <c r="G12" s="79" t="s">
        <v>161</v>
      </c>
      <c r="H12" s="80"/>
      <c r="I12" s="80"/>
      <c r="J12" s="83">
        <f t="shared" si="1"/>
        <v>84.562841530054641</v>
      </c>
      <c r="K12" s="79" t="s">
        <v>161</v>
      </c>
      <c r="L12" s="87">
        <f t="shared" si="0"/>
        <v>103.68852459016394</v>
      </c>
      <c r="M12" s="79" t="s">
        <v>161</v>
      </c>
      <c r="N12" s="80"/>
      <c r="O12" s="87">
        <v>103.07561234022137</v>
      </c>
      <c r="P12" s="79" t="s">
        <v>161</v>
      </c>
      <c r="Q12" s="83">
        <f t="shared" si="2"/>
        <v>0.61291224994256766</v>
      </c>
      <c r="R12" s="79" t="s">
        <v>161</v>
      </c>
      <c r="S12" s="83">
        <f>L12</f>
        <v>103.68852459016394</v>
      </c>
      <c r="T12" s="79" t="s">
        <v>161</v>
      </c>
      <c r="U12" s="79"/>
      <c r="V12" s="5"/>
      <c r="W12" s="3"/>
      <c r="X12" s="3"/>
      <c r="Y12" s="4"/>
      <c r="Z12" s="5"/>
      <c r="AA12" s="5"/>
      <c r="AB12" s="5"/>
      <c r="AC12" s="5"/>
      <c r="AD12" s="6"/>
      <c r="AE12" s="7"/>
      <c r="AF12" s="8"/>
      <c r="AG12" s="9"/>
      <c r="AH12" s="9"/>
      <c r="AI12" s="3"/>
      <c r="AJ12" s="3"/>
      <c r="AK12" s="3"/>
      <c r="AL12" s="3"/>
      <c r="AM12" s="3"/>
    </row>
    <row r="13" spans="2:39" s="10" customFormat="1" ht="21" customHeight="1">
      <c r="B13" s="1"/>
      <c r="C13" s="58" t="s">
        <v>51</v>
      </c>
      <c r="D13" s="78">
        <v>757</v>
      </c>
      <c r="E13" s="79" t="s">
        <v>161</v>
      </c>
      <c r="F13" s="78">
        <v>873</v>
      </c>
      <c r="G13" s="79" t="s">
        <v>161</v>
      </c>
      <c r="H13" s="80"/>
      <c r="I13" s="80"/>
      <c r="J13" s="83">
        <f t="shared" si="1"/>
        <v>103.41530054644808</v>
      </c>
      <c r="K13" s="79" t="s">
        <v>161</v>
      </c>
      <c r="L13" s="87">
        <f t="shared" si="0"/>
        <v>119.26229508196721</v>
      </c>
      <c r="M13" s="79" t="s">
        <v>161</v>
      </c>
      <c r="N13" s="80"/>
      <c r="O13" s="87">
        <v>86.040688499386874</v>
      </c>
      <c r="P13" s="79" t="s">
        <v>161</v>
      </c>
      <c r="Q13" s="83">
        <f t="shared" si="2"/>
        <v>33.221606582580335</v>
      </c>
      <c r="R13" s="79" t="s">
        <v>161</v>
      </c>
      <c r="S13" s="83">
        <f t="shared" ref="S13:S18" si="4">L13</f>
        <v>119.26229508196721</v>
      </c>
      <c r="T13" s="79" t="s">
        <v>161</v>
      </c>
      <c r="U13" s="79"/>
      <c r="V13" s="5"/>
      <c r="W13" s="3"/>
      <c r="X13" s="3"/>
      <c r="Y13" s="4"/>
      <c r="Z13" s="5"/>
      <c r="AA13" s="5"/>
      <c r="AB13" s="5"/>
      <c r="AC13" s="5"/>
      <c r="AD13" s="6"/>
      <c r="AE13" s="7"/>
      <c r="AF13" s="8"/>
      <c r="AG13" s="9"/>
      <c r="AH13" s="9"/>
      <c r="AI13" s="3"/>
      <c r="AJ13" s="3"/>
      <c r="AK13" s="3"/>
      <c r="AL13" s="3"/>
      <c r="AM13" s="3"/>
    </row>
    <row r="14" spans="2:39" ht="21" customHeight="1">
      <c r="C14" s="58" t="s">
        <v>52</v>
      </c>
      <c r="D14" s="78">
        <v>757</v>
      </c>
      <c r="E14" s="79" t="s">
        <v>161</v>
      </c>
      <c r="F14" s="78">
        <v>542</v>
      </c>
      <c r="G14" s="79" t="s">
        <v>161</v>
      </c>
      <c r="H14" s="5"/>
      <c r="I14" s="5"/>
      <c r="J14" s="83">
        <f t="shared" si="1"/>
        <v>103.41530054644808</v>
      </c>
      <c r="K14" s="79" t="s">
        <v>161</v>
      </c>
      <c r="L14" s="87">
        <f t="shared" si="0"/>
        <v>74.04371584699453</v>
      </c>
      <c r="M14" s="79" t="s">
        <v>161</v>
      </c>
      <c r="N14" s="5"/>
      <c r="O14" s="87">
        <v>119.95273582157355</v>
      </c>
      <c r="P14" s="79" t="s">
        <v>161</v>
      </c>
      <c r="Q14" s="83">
        <f t="shared" si="2"/>
        <v>-45.909019974579024</v>
      </c>
      <c r="R14" s="79" t="s">
        <v>161</v>
      </c>
      <c r="S14" s="83">
        <f t="shared" si="4"/>
        <v>74.04371584699453</v>
      </c>
      <c r="T14" s="79" t="s">
        <v>161</v>
      </c>
      <c r="U14" s="79"/>
      <c r="V14" s="5"/>
    </row>
    <row r="15" spans="2:39" ht="21" customHeight="1">
      <c r="B15" s="55"/>
      <c r="C15" s="58" t="s">
        <v>53</v>
      </c>
      <c r="D15" s="78">
        <v>895</v>
      </c>
      <c r="E15" s="79" t="s">
        <v>161</v>
      </c>
      <c r="F15" s="78">
        <v>1044</v>
      </c>
      <c r="G15" s="79" t="s">
        <v>161</v>
      </c>
      <c r="H15" s="5"/>
      <c r="I15" s="5"/>
      <c r="J15" s="83">
        <f t="shared" si="1"/>
        <v>122.26775956284152</v>
      </c>
      <c r="K15" s="79" t="s">
        <v>161</v>
      </c>
      <c r="L15" s="87">
        <f t="shared" si="0"/>
        <v>142.62295081967213</v>
      </c>
      <c r="M15" s="79" t="s">
        <v>161</v>
      </c>
      <c r="N15" s="5"/>
      <c r="O15" s="87">
        <v>69.567453856476476</v>
      </c>
      <c r="P15" s="79" t="s">
        <v>161</v>
      </c>
      <c r="Q15" s="83">
        <f t="shared" si="2"/>
        <v>73.055496963195651</v>
      </c>
      <c r="R15" s="79" t="s">
        <v>161</v>
      </c>
      <c r="S15" s="83">
        <f t="shared" si="4"/>
        <v>142.62295081967213</v>
      </c>
      <c r="T15" s="79" t="s">
        <v>161</v>
      </c>
      <c r="U15" s="79"/>
      <c r="V15" s="5"/>
    </row>
    <row r="16" spans="2:39" ht="21" customHeight="1">
      <c r="B16" s="55"/>
      <c r="C16" s="58" t="s">
        <v>54</v>
      </c>
      <c r="D16" s="78">
        <v>895</v>
      </c>
      <c r="E16" s="79" t="s">
        <v>161</v>
      </c>
      <c r="F16" s="78">
        <v>930</v>
      </c>
      <c r="G16" s="79" t="s">
        <v>161</v>
      </c>
      <c r="H16" s="5"/>
      <c r="I16" s="5"/>
      <c r="J16" s="83">
        <f t="shared" si="1"/>
        <v>122.26775956284152</v>
      </c>
      <c r="K16" s="79" t="s">
        <v>161</v>
      </c>
      <c r="L16" s="87">
        <f t="shared" si="0"/>
        <v>127.04918032786885</v>
      </c>
      <c r="M16" s="79" t="s">
        <v>161</v>
      </c>
      <c r="N16" s="5"/>
      <c r="O16" s="87">
        <v>93.466464551449917</v>
      </c>
      <c r="P16" s="79" t="s">
        <v>161</v>
      </c>
      <c r="Q16" s="83">
        <f t="shared" si="2"/>
        <v>33.582715776418937</v>
      </c>
      <c r="R16" s="79" t="s">
        <v>161</v>
      </c>
      <c r="S16" s="83">
        <f t="shared" si="4"/>
        <v>127.04918032786885</v>
      </c>
      <c r="T16" s="79" t="s">
        <v>161</v>
      </c>
      <c r="U16" s="79"/>
      <c r="V16" s="5"/>
    </row>
    <row r="17" spans="2:22" ht="21" customHeight="1">
      <c r="B17" s="55"/>
      <c r="C17" s="58" t="s">
        <v>55</v>
      </c>
      <c r="D17" s="78">
        <v>826</v>
      </c>
      <c r="E17" s="79" t="s">
        <v>161</v>
      </c>
      <c r="F17" s="78">
        <v>767</v>
      </c>
      <c r="G17" s="79" t="s">
        <v>161</v>
      </c>
      <c r="H17" s="5"/>
      <c r="I17" s="5"/>
      <c r="J17" s="83">
        <f t="shared" si="1"/>
        <v>112.84153005464481</v>
      </c>
      <c r="K17" s="79" t="s">
        <v>161</v>
      </c>
      <c r="L17" s="87">
        <f t="shared" si="0"/>
        <v>104.78142076502732</v>
      </c>
      <c r="M17" s="79" t="s">
        <v>161</v>
      </c>
      <c r="N17" s="5"/>
      <c r="O17" s="87">
        <v>117.57840103409066</v>
      </c>
      <c r="P17" s="79" t="s">
        <v>161</v>
      </c>
      <c r="Q17" s="83">
        <f t="shared" si="2"/>
        <v>-12.79698026906334</v>
      </c>
      <c r="R17" s="79" t="s">
        <v>161</v>
      </c>
      <c r="S17" s="83">
        <f t="shared" si="4"/>
        <v>104.78142076502732</v>
      </c>
      <c r="T17" s="79" t="s">
        <v>161</v>
      </c>
      <c r="U17" s="79"/>
      <c r="V17" s="5"/>
    </row>
    <row r="18" spans="2:22" ht="21" customHeight="1">
      <c r="B18" s="55"/>
      <c r="C18" s="58" t="s">
        <v>56</v>
      </c>
      <c r="D18" s="78">
        <v>688</v>
      </c>
      <c r="E18" s="79" t="s">
        <v>161</v>
      </c>
      <c r="F18" s="78">
        <v>919</v>
      </c>
      <c r="G18" s="79" t="s">
        <v>161</v>
      </c>
      <c r="H18" s="5"/>
      <c r="I18" s="5"/>
      <c r="J18" s="83">
        <f t="shared" si="1"/>
        <v>93.989071038251367</v>
      </c>
      <c r="K18" s="79" t="s">
        <v>161</v>
      </c>
      <c r="L18" s="87">
        <f t="shared" si="0"/>
        <v>125.54644808743168</v>
      </c>
      <c r="M18" s="79" t="s">
        <v>161</v>
      </c>
      <c r="N18" s="5"/>
      <c r="O18" s="87">
        <v>84.104257147612742</v>
      </c>
      <c r="P18" s="79" t="s">
        <v>161</v>
      </c>
      <c r="Q18" s="83">
        <f t="shared" si="2"/>
        <v>41.442190939818943</v>
      </c>
      <c r="R18" s="79" t="s">
        <v>161</v>
      </c>
      <c r="S18" s="83">
        <f t="shared" si="4"/>
        <v>125.54644808743168</v>
      </c>
      <c r="T18" s="79" t="s">
        <v>161</v>
      </c>
      <c r="U18" s="79"/>
      <c r="V18" s="5"/>
    </row>
    <row r="19" spans="2:22" s="56" customFormat="1" ht="21" customHeight="1">
      <c r="C19" s="58" t="s">
        <v>57</v>
      </c>
      <c r="D19" s="78">
        <v>415</v>
      </c>
      <c r="E19" s="79" t="s">
        <v>161</v>
      </c>
      <c r="F19" s="78">
        <v>570</v>
      </c>
      <c r="G19" s="79" t="s">
        <v>161</v>
      </c>
      <c r="H19" s="5"/>
      <c r="I19" s="5"/>
      <c r="J19" s="83">
        <f t="shared" si="1"/>
        <v>56.693989071038246</v>
      </c>
      <c r="K19" s="79" t="s">
        <v>161</v>
      </c>
      <c r="L19" s="87">
        <f>F19/$F$5</f>
        <v>77.868852459016395</v>
      </c>
      <c r="M19" s="79" t="s">
        <v>161</v>
      </c>
      <c r="N19" s="5"/>
      <c r="O19" s="87">
        <v>66.430657414753497</v>
      </c>
      <c r="P19" s="79" t="s">
        <v>161</v>
      </c>
      <c r="Q19" s="83">
        <f t="shared" si="2"/>
        <v>11.438195044262898</v>
      </c>
      <c r="R19" s="79" t="s">
        <v>161</v>
      </c>
      <c r="S19" s="83">
        <f t="shared" si="3"/>
        <v>93.442622950819668</v>
      </c>
      <c r="T19" s="79" t="s">
        <v>161</v>
      </c>
      <c r="U19" s="183"/>
      <c r="V19" s="62"/>
    </row>
    <row r="20" spans="2:22" s="56" customFormat="1" ht="21" customHeight="1">
      <c r="B20" s="57"/>
      <c r="C20" s="57" t="s">
        <v>58</v>
      </c>
      <c r="D20" s="81">
        <v>275</v>
      </c>
      <c r="E20" s="79" t="s">
        <v>161</v>
      </c>
      <c r="F20" s="81"/>
      <c r="G20" s="79" t="s">
        <v>161</v>
      </c>
      <c r="H20" s="82"/>
      <c r="I20" s="82"/>
      <c r="J20" s="87">
        <f t="shared" si="1"/>
        <v>37.568306010928957</v>
      </c>
      <c r="K20" s="79" t="s">
        <v>161</v>
      </c>
      <c r="L20" s="83">
        <f t="shared" si="0"/>
        <v>0</v>
      </c>
      <c r="M20" s="79" t="s">
        <v>161</v>
      </c>
      <c r="N20" s="82"/>
      <c r="O20" s="87">
        <v>36.898721682604879</v>
      </c>
      <c r="P20" s="79" t="s">
        <v>161</v>
      </c>
      <c r="Q20" s="83">
        <f t="shared" si="2"/>
        <v>-36.898721682604879</v>
      </c>
      <c r="R20" s="79" t="s">
        <v>161</v>
      </c>
      <c r="S20" s="83">
        <f>J20*1.2</f>
        <v>45.081967213114744</v>
      </c>
      <c r="T20" s="79" t="s">
        <v>161</v>
      </c>
      <c r="U20" s="79" t="s">
        <v>163</v>
      </c>
      <c r="V20" s="62"/>
    </row>
    <row r="21" spans="2:22" s="56" customFormat="1" ht="21" customHeight="1">
      <c r="B21" s="57"/>
      <c r="C21" s="57" t="s">
        <v>59</v>
      </c>
      <c r="D21" s="81">
        <v>206</v>
      </c>
      <c r="E21" s="79" t="s">
        <v>161</v>
      </c>
      <c r="F21" s="81"/>
      <c r="G21" s="79" t="s">
        <v>161</v>
      </c>
      <c r="H21" s="82"/>
      <c r="I21" s="82"/>
      <c r="J21" s="87">
        <f t="shared" si="1"/>
        <v>28.142076502732241</v>
      </c>
      <c r="K21" s="79" t="s">
        <v>161</v>
      </c>
      <c r="L21" s="83">
        <f t="shared" si="0"/>
        <v>0</v>
      </c>
      <c r="M21" s="79" t="s">
        <v>161</v>
      </c>
      <c r="N21" s="82"/>
      <c r="O21" s="87">
        <v>23.96836977795941</v>
      </c>
      <c r="P21" s="79" t="s">
        <v>161</v>
      </c>
      <c r="Q21" s="83">
        <f t="shared" si="2"/>
        <v>-23.96836977795941</v>
      </c>
      <c r="R21" s="79" t="s">
        <v>161</v>
      </c>
      <c r="S21" s="83">
        <f>J21*1.2</f>
        <v>33.770491803278688</v>
      </c>
      <c r="T21" s="79" t="s">
        <v>161</v>
      </c>
      <c r="U21" s="79" t="s">
        <v>163</v>
      </c>
      <c r="V21" s="62"/>
    </row>
    <row r="22" spans="2:22">
      <c r="B22" s="57"/>
      <c r="C22" s="57"/>
      <c r="D22" s="75"/>
      <c r="E22" s="77"/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V22" s="69"/>
    </row>
    <row r="23" spans="2:22" s="56" customFormat="1">
      <c r="B23" s="57"/>
      <c r="C23" s="57" t="s">
        <v>160</v>
      </c>
      <c r="D23" s="84">
        <f>SUM(D10:D22)</f>
        <v>6884</v>
      </c>
      <c r="E23" s="79" t="s">
        <v>161</v>
      </c>
      <c r="F23" s="84">
        <f>SUM(F10:F22)</f>
        <v>6970</v>
      </c>
      <c r="G23" s="79" t="s">
        <v>161</v>
      </c>
      <c r="H23" s="85"/>
      <c r="I23" s="85"/>
      <c r="J23" s="84">
        <f>SUM(J10:J22)</f>
        <v>940.4371584699453</v>
      </c>
      <c r="K23" s="79" t="s">
        <v>161</v>
      </c>
      <c r="L23" s="84">
        <f>SUM(L10:L22)</f>
        <v>952.18579234972663</v>
      </c>
      <c r="M23" s="79" t="s">
        <v>161</v>
      </c>
      <c r="N23" s="85"/>
      <c r="O23" s="84">
        <f>SUM(O10:O22)</f>
        <v>884.60744920332615</v>
      </c>
      <c r="P23" s="79" t="s">
        <v>161</v>
      </c>
      <c r="Q23" s="84">
        <f>SUM(Q10:Q22)</f>
        <v>67.578343146400684</v>
      </c>
      <c r="R23" s="79" t="s">
        <v>161</v>
      </c>
      <c r="S23" s="84"/>
      <c r="T23" s="79"/>
      <c r="U23" s="55"/>
      <c r="V23" s="86"/>
    </row>
    <row r="24" spans="2:22">
      <c r="B24" s="57"/>
      <c r="C24" s="57"/>
      <c r="D24" s="75"/>
      <c r="E24" s="75"/>
      <c r="F24" s="75"/>
      <c r="G24" s="76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V24" s="69"/>
    </row>
    <row r="25" spans="2:22">
      <c r="B25" s="57"/>
      <c r="C25" s="57"/>
      <c r="D25" s="75"/>
      <c r="E25" s="75"/>
      <c r="F25" s="75"/>
      <c r="G25" s="76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V25" s="69"/>
    </row>
    <row r="26" spans="2:22">
      <c r="B26" s="57"/>
      <c r="C26" s="57"/>
      <c r="D26" s="72"/>
      <c r="E26" s="72"/>
      <c r="F26" s="72"/>
      <c r="G26" s="73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V26" s="69"/>
    </row>
    <row r="27" spans="2:22">
      <c r="B27" s="57"/>
      <c r="C27" s="57"/>
      <c r="D27" s="72"/>
      <c r="E27" s="72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V27" s="69"/>
    </row>
    <row r="28" spans="2:22">
      <c r="B28" s="57"/>
      <c r="C28" s="57"/>
      <c r="D28" s="72"/>
      <c r="E28" s="72"/>
      <c r="F28" s="72"/>
      <c r="G28" s="73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V28" s="69"/>
    </row>
    <row r="29" spans="2:22">
      <c r="B29" s="57"/>
      <c r="C29" s="57"/>
      <c r="D29" s="72"/>
      <c r="E29" s="72"/>
      <c r="F29" s="72"/>
      <c r="G29" s="7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V29" s="69"/>
    </row>
    <row r="30" spans="2:22">
      <c r="B30" s="57"/>
      <c r="C30" s="57"/>
      <c r="D30" s="72"/>
      <c r="E30" s="72"/>
      <c r="F30" s="72"/>
      <c r="G30" s="73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V30" s="69"/>
    </row>
    <row r="31" spans="2:22">
      <c r="B31" s="57"/>
      <c r="C31" s="57"/>
      <c r="D31" s="72"/>
      <c r="E31" s="72"/>
      <c r="F31" s="72"/>
      <c r="G31" s="73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V31" s="69"/>
    </row>
    <row r="32" spans="2:22">
      <c r="B32" s="57"/>
      <c r="C32" s="57"/>
      <c r="D32" s="72"/>
      <c r="E32" s="72"/>
      <c r="F32" s="72"/>
      <c r="G32" s="73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V32" s="69"/>
    </row>
    <row r="33" spans="2:22">
      <c r="B33" s="57"/>
      <c r="C33" s="57"/>
      <c r="D33" s="72"/>
      <c r="E33" s="72"/>
      <c r="F33" s="72"/>
      <c r="G33" s="7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V33" s="69"/>
    </row>
    <row r="34" spans="2:22" ht="16" customHeight="1">
      <c r="B34" s="1"/>
    </row>
    <row r="35" spans="2:22">
      <c r="B35" s="1"/>
      <c r="V35" s="69"/>
    </row>
    <row r="36" spans="2:22" ht="18" customHeight="1">
      <c r="B36" s="1"/>
    </row>
    <row r="37" spans="2:22">
      <c r="B37" s="1"/>
    </row>
    <row r="38" spans="2:22">
      <c r="B38" s="3"/>
    </row>
    <row r="39" spans="2:22">
      <c r="B39" s="3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E7E7-32AF-C746-9726-6C13FD6FDBFE}">
  <dimension ref="B2:AP39"/>
  <sheetViews>
    <sheetView workbookViewId="0">
      <selection activeCell="AE18" sqref="AE18"/>
    </sheetView>
  </sheetViews>
  <sheetFormatPr baseColWidth="10" defaultRowHeight="21"/>
  <cols>
    <col min="1" max="1" width="7" style="3" customWidth="1"/>
    <col min="2" max="2" width="3.5" style="2" customWidth="1"/>
    <col min="3" max="3" width="11.5" style="58" customWidth="1"/>
    <col min="4" max="4" width="12" style="67" customWidth="1"/>
    <col min="5" max="5" width="6.83203125" style="67" customWidth="1"/>
    <col min="6" max="6" width="10.33203125" style="67" customWidth="1"/>
    <col min="7" max="7" width="8.5" style="68" customWidth="1"/>
    <col min="8" max="9" width="2.83203125" style="9" customWidth="1"/>
    <col min="10" max="10" width="11.5" style="9" customWidth="1"/>
    <col min="11" max="11" width="7.83203125" style="9" customWidth="1"/>
    <col min="12" max="13" width="11.83203125" style="9" customWidth="1"/>
    <col min="14" max="14" width="10.83203125" style="3"/>
    <col min="15" max="15" width="10.1640625" style="9" customWidth="1"/>
    <col min="16" max="16" width="7.5" style="9" customWidth="1"/>
    <col min="17" max="17" width="7.33203125" style="9" customWidth="1"/>
    <col min="18" max="18" width="10" style="9" customWidth="1"/>
    <col min="19" max="19" width="7.1640625" style="9" customWidth="1"/>
    <col min="20" max="20" width="11" style="9" customWidth="1"/>
    <col min="21" max="21" width="14.83203125" style="9" customWidth="1"/>
    <col min="22" max="22" width="17.5" style="9" customWidth="1"/>
    <col min="23" max="23" width="7.1640625" style="70" customWidth="1"/>
    <col min="24" max="24" width="10.83203125" style="3"/>
    <col min="25" max="25" width="10.6640625" style="3" customWidth="1"/>
    <col min="26" max="27" width="10.83203125" style="69"/>
    <col min="28" max="16384" width="10.83203125" style="3"/>
  </cols>
  <sheetData>
    <row r="2" spans="2:42" ht="31">
      <c r="E2" s="88"/>
    </row>
    <row r="3" spans="2:42" ht="31">
      <c r="C3" s="184"/>
      <c r="D3" s="185"/>
      <c r="E3" s="186"/>
      <c r="F3" s="189" t="s">
        <v>173</v>
      </c>
      <c r="G3" s="187"/>
      <c r="H3" s="188"/>
      <c r="I3" s="188"/>
      <c r="J3" s="188"/>
      <c r="K3" s="188"/>
      <c r="L3" s="188"/>
      <c r="M3" s="188"/>
      <c r="O3" s="190"/>
      <c r="P3" s="190"/>
      <c r="Q3" s="190"/>
      <c r="R3" s="193" t="s">
        <v>174</v>
      </c>
      <c r="S3" s="190"/>
      <c r="T3" s="190"/>
      <c r="U3" s="190"/>
      <c r="V3" s="190"/>
      <c r="W3" s="191"/>
      <c r="X3" s="192"/>
      <c r="Z3" s="197" t="s">
        <v>185</v>
      </c>
      <c r="AA3" s="198"/>
    </row>
    <row r="4" spans="2:42" s="10" customFormat="1">
      <c r="B4" s="1"/>
      <c r="C4" s="58"/>
      <c r="D4" s="1"/>
      <c r="E4" s="1"/>
      <c r="F4" s="1"/>
      <c r="G4" s="2"/>
      <c r="J4" s="1"/>
      <c r="K4" s="1"/>
      <c r="L4" s="1"/>
      <c r="M4" s="1"/>
      <c r="N4" s="3"/>
      <c r="O4" s="11"/>
      <c r="Q4" s="11"/>
      <c r="R4" s="11"/>
      <c r="S4" s="11"/>
      <c r="T4" s="11"/>
      <c r="U4" s="11"/>
      <c r="V4" s="181" t="s">
        <v>169</v>
      </c>
      <c r="W4" s="3"/>
      <c r="X4" s="3"/>
      <c r="Y4" s="3"/>
      <c r="Z4" s="69"/>
      <c r="AA4" s="69"/>
      <c r="AB4" s="4"/>
      <c r="AC4" s="5"/>
      <c r="AD4" s="5"/>
      <c r="AE4" s="5"/>
      <c r="AF4" s="5"/>
      <c r="AG4" s="6"/>
      <c r="AH4" s="7"/>
      <c r="AI4" s="8"/>
      <c r="AJ4" s="9"/>
      <c r="AK4" s="9"/>
      <c r="AL4" s="3"/>
      <c r="AM4" s="3"/>
      <c r="AN4" s="3"/>
      <c r="AO4" s="3"/>
      <c r="AP4" s="3"/>
    </row>
    <row r="5" spans="2:42" s="59" customFormat="1">
      <c r="B5" s="58"/>
      <c r="C5" s="58"/>
      <c r="D5" s="58" t="s">
        <v>157</v>
      </c>
      <c r="E5" s="58"/>
      <c r="F5" s="58">
        <v>7.32</v>
      </c>
      <c r="G5" s="55" t="s">
        <v>8</v>
      </c>
      <c r="J5" s="58" t="s">
        <v>157</v>
      </c>
      <c r="K5" s="58"/>
      <c r="L5" s="58" t="s">
        <v>157</v>
      </c>
      <c r="M5" s="58"/>
      <c r="N5" s="56"/>
      <c r="O5" s="71">
        <v>1</v>
      </c>
      <c r="P5" s="55" t="s">
        <v>8</v>
      </c>
      <c r="Q5" s="60"/>
      <c r="R5" s="71"/>
      <c r="S5" s="71"/>
      <c r="T5" s="71"/>
      <c r="U5" s="71"/>
      <c r="V5" s="71" t="s">
        <v>167</v>
      </c>
      <c r="W5" s="56"/>
      <c r="X5" s="56"/>
      <c r="Y5" s="56"/>
      <c r="Z5" s="86"/>
      <c r="AA5" s="86"/>
      <c r="AB5" s="61"/>
      <c r="AC5" s="62"/>
      <c r="AD5" s="62"/>
      <c r="AE5" s="62"/>
      <c r="AF5" s="62"/>
      <c r="AG5" s="63"/>
      <c r="AH5" s="64"/>
      <c r="AI5" s="65"/>
      <c r="AJ5" s="66"/>
      <c r="AK5" s="66"/>
      <c r="AL5" s="56"/>
      <c r="AM5" s="56"/>
      <c r="AN5" s="56"/>
      <c r="AO5" s="56"/>
      <c r="AP5" s="56"/>
    </row>
    <row r="6" spans="2:42" s="10" customFormat="1">
      <c r="B6" s="1"/>
      <c r="C6" s="58"/>
      <c r="D6" s="1"/>
      <c r="E6" s="1"/>
      <c r="F6" s="1"/>
      <c r="G6" s="2"/>
      <c r="J6" s="1"/>
      <c r="K6" s="1"/>
      <c r="L6" s="1"/>
      <c r="M6" s="1"/>
      <c r="N6" s="3"/>
      <c r="O6" s="1"/>
      <c r="P6" s="2"/>
      <c r="Q6" s="11"/>
      <c r="R6" s="1"/>
      <c r="S6" s="1"/>
      <c r="T6" s="1"/>
      <c r="U6" s="1"/>
      <c r="V6" s="58" t="s">
        <v>168</v>
      </c>
      <c r="W6" s="3"/>
      <c r="X6" s="3"/>
      <c r="Y6" s="3"/>
      <c r="Z6" s="69"/>
      <c r="AA6" s="69"/>
      <c r="AB6" s="4"/>
      <c r="AC6" s="5"/>
      <c r="AD6" s="5"/>
      <c r="AE6" s="5"/>
      <c r="AF6" s="5"/>
      <c r="AG6" s="6"/>
      <c r="AH6" s="7"/>
      <c r="AI6" s="8"/>
      <c r="AJ6" s="9"/>
      <c r="AK6" s="9"/>
      <c r="AL6" s="3"/>
      <c r="AM6" s="3"/>
      <c r="AN6" s="3"/>
      <c r="AO6" s="3"/>
      <c r="AP6" s="3"/>
    </row>
    <row r="7" spans="2:42" s="10" customFormat="1">
      <c r="B7" s="1"/>
      <c r="C7" s="58"/>
      <c r="D7" s="58">
        <v>2021</v>
      </c>
      <c r="E7" s="58"/>
      <c r="F7" s="58">
        <v>2021</v>
      </c>
      <c r="G7" s="2"/>
      <c r="J7" s="58">
        <v>2021</v>
      </c>
      <c r="K7" s="58"/>
      <c r="L7" s="58">
        <v>2021</v>
      </c>
      <c r="M7" s="58"/>
      <c r="N7" s="3"/>
      <c r="O7" s="58">
        <v>2021</v>
      </c>
      <c r="P7" s="2"/>
      <c r="Q7" s="11"/>
      <c r="R7" s="58" t="s">
        <v>158</v>
      </c>
      <c r="S7" s="58"/>
      <c r="T7" s="58"/>
      <c r="U7" s="58"/>
      <c r="V7" s="58">
        <v>2021</v>
      </c>
      <c r="W7" s="3"/>
      <c r="X7" s="3"/>
      <c r="Y7" s="3"/>
      <c r="Z7" s="69" t="s">
        <v>171</v>
      </c>
      <c r="AA7" s="69" t="s">
        <v>170</v>
      </c>
      <c r="AB7" s="4"/>
      <c r="AC7" s="5"/>
      <c r="AD7" s="5"/>
      <c r="AE7" s="5"/>
      <c r="AF7" s="5"/>
      <c r="AG7" s="6"/>
      <c r="AH7" s="7"/>
      <c r="AI7" s="8"/>
      <c r="AJ7" s="9"/>
      <c r="AK7" s="9"/>
      <c r="AL7" s="3"/>
      <c r="AM7" s="3"/>
      <c r="AN7" s="3"/>
      <c r="AO7" s="3"/>
      <c r="AP7" s="3"/>
    </row>
    <row r="8" spans="2:42" s="59" customFormat="1">
      <c r="B8" s="58"/>
      <c r="C8" s="58"/>
      <c r="D8" s="58" t="s">
        <v>155</v>
      </c>
      <c r="E8" s="58"/>
      <c r="F8" s="58" t="s">
        <v>156</v>
      </c>
      <c r="G8" s="55"/>
      <c r="J8" s="58" t="s">
        <v>155</v>
      </c>
      <c r="K8" s="58"/>
      <c r="L8" s="58" t="s">
        <v>156</v>
      </c>
      <c r="M8" s="58"/>
      <c r="N8" s="56"/>
      <c r="O8" s="58" t="s">
        <v>156</v>
      </c>
      <c r="P8" s="55"/>
      <c r="Q8" s="60"/>
      <c r="R8" s="58" t="s">
        <v>162</v>
      </c>
      <c r="S8" s="58"/>
      <c r="T8" s="58" t="s">
        <v>159</v>
      </c>
      <c r="U8" s="58"/>
      <c r="V8" s="58" t="s">
        <v>163</v>
      </c>
      <c r="W8" s="56"/>
      <c r="X8" s="56"/>
      <c r="Y8" s="56"/>
      <c r="Z8" s="86" t="s">
        <v>171</v>
      </c>
      <c r="AA8" s="86" t="s">
        <v>170</v>
      </c>
      <c r="AB8" s="61"/>
      <c r="AC8" s="62"/>
      <c r="AD8" s="62"/>
      <c r="AE8" s="62"/>
      <c r="AF8" s="62"/>
      <c r="AG8" s="63"/>
      <c r="AH8" s="64"/>
      <c r="AI8" s="65"/>
      <c r="AJ8" s="66"/>
      <c r="AK8" s="66"/>
      <c r="AL8" s="56"/>
      <c r="AM8" s="56"/>
      <c r="AN8" s="56"/>
      <c r="AO8" s="56"/>
      <c r="AP8" s="56"/>
    </row>
    <row r="9" spans="2:42" s="10" customFormat="1" ht="12" customHeight="1">
      <c r="B9" s="1"/>
      <c r="C9" s="58"/>
      <c r="D9" s="1"/>
      <c r="E9" s="1"/>
      <c r="F9" s="1"/>
      <c r="G9" s="2"/>
      <c r="N9" s="3"/>
      <c r="O9" s="2"/>
      <c r="Q9" s="11"/>
      <c r="R9" s="2"/>
      <c r="S9" s="2"/>
      <c r="T9" s="2"/>
      <c r="U9" s="2"/>
      <c r="V9" s="2"/>
      <c r="W9" s="3"/>
      <c r="X9" s="3"/>
      <c r="Y9" s="3"/>
      <c r="Z9" s="69"/>
      <c r="AA9" s="69"/>
      <c r="AB9" s="4"/>
      <c r="AC9" s="5"/>
      <c r="AD9" s="5"/>
      <c r="AE9" s="5"/>
      <c r="AF9" s="5"/>
      <c r="AG9" s="6"/>
      <c r="AH9" s="7"/>
      <c r="AI9" s="8"/>
      <c r="AJ9" s="9"/>
      <c r="AK9" s="9"/>
      <c r="AL9" s="3"/>
      <c r="AM9" s="3"/>
      <c r="AN9" s="3"/>
      <c r="AO9" s="3"/>
      <c r="AP9" s="3"/>
    </row>
    <row r="10" spans="2:42" s="10" customFormat="1" ht="21" customHeight="1">
      <c r="B10" s="1"/>
      <c r="C10" s="58" t="s">
        <v>48</v>
      </c>
      <c r="D10" s="78">
        <v>138</v>
      </c>
      <c r="E10" s="79" t="s">
        <v>161</v>
      </c>
      <c r="F10" s="78">
        <v>160</v>
      </c>
      <c r="G10" s="79" t="s">
        <v>161</v>
      </c>
      <c r="H10" s="80"/>
      <c r="I10" s="80"/>
      <c r="J10" s="83">
        <f>D10/$F$5</f>
        <v>18.852459016393443</v>
      </c>
      <c r="K10" s="79" t="s">
        <v>161</v>
      </c>
      <c r="L10" s="83">
        <f>F10/$F$5</f>
        <v>21.857923497267759</v>
      </c>
      <c r="M10" s="79" t="s">
        <v>161</v>
      </c>
      <c r="N10" s="3"/>
      <c r="O10" s="87">
        <v>17</v>
      </c>
      <c r="P10" s="79" t="s">
        <v>161</v>
      </c>
      <c r="Q10" s="80"/>
      <c r="R10" s="87">
        <v>39.696457014909505</v>
      </c>
      <c r="S10" s="79" t="s">
        <v>161</v>
      </c>
      <c r="T10" s="83">
        <f>O10-R10</f>
        <v>-22.696457014909505</v>
      </c>
      <c r="U10" s="79" t="s">
        <v>161</v>
      </c>
      <c r="V10" s="83">
        <f>O10*1.2</f>
        <v>20.399999999999999</v>
      </c>
      <c r="W10" s="79" t="s">
        <v>161</v>
      </c>
      <c r="X10" s="79" t="s">
        <v>163</v>
      </c>
      <c r="Y10" s="5"/>
      <c r="Z10" s="69">
        <v>16.349472454801759</v>
      </c>
      <c r="AA10" s="69">
        <v>51.564581569710484</v>
      </c>
      <c r="AB10" s="4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</row>
    <row r="11" spans="2:42" s="10" customFormat="1" ht="21" customHeight="1">
      <c r="B11" s="1"/>
      <c r="C11" s="58" t="s">
        <v>49</v>
      </c>
      <c r="D11" s="78">
        <v>413</v>
      </c>
      <c r="E11" s="79" t="s">
        <v>161</v>
      </c>
      <c r="F11" s="78">
        <v>406</v>
      </c>
      <c r="G11" s="79" t="s">
        <v>161</v>
      </c>
      <c r="H11" s="80"/>
      <c r="I11" s="80"/>
      <c r="J11" s="83">
        <f t="shared" ref="J11:J21" si="0">D11/$F$5</f>
        <v>56.420765027322403</v>
      </c>
      <c r="K11" s="79" t="s">
        <v>161</v>
      </c>
      <c r="L11" s="83">
        <f t="shared" ref="L11:L21" si="1">F11/$F$5</f>
        <v>55.464480874316941</v>
      </c>
      <c r="M11" s="79" t="s">
        <v>161</v>
      </c>
      <c r="N11" s="3"/>
      <c r="O11" s="87">
        <v>52</v>
      </c>
      <c r="P11" s="79" t="s">
        <v>161</v>
      </c>
      <c r="Q11" s="80"/>
      <c r="R11" s="87">
        <v>43.827630062287199</v>
      </c>
      <c r="S11" s="79" t="s">
        <v>161</v>
      </c>
      <c r="T11" s="83">
        <f t="shared" ref="T11:T21" si="2">O11-R11</f>
        <v>8.1723699377128014</v>
      </c>
      <c r="U11" s="79" t="s">
        <v>161</v>
      </c>
      <c r="V11" s="83">
        <f t="shared" ref="V11" si="3">O11*1.2</f>
        <v>62.4</v>
      </c>
      <c r="W11" s="79" t="s">
        <v>161</v>
      </c>
      <c r="X11" s="79" t="s">
        <v>163</v>
      </c>
      <c r="Y11" s="5"/>
      <c r="Z11" s="69">
        <v>26.595783845670137</v>
      </c>
      <c r="AA11" s="69">
        <v>87.273775072454129</v>
      </c>
      <c r="AB11" s="4"/>
      <c r="AC11" s="5"/>
      <c r="AD11" s="5"/>
      <c r="AE11" s="5"/>
      <c r="AF11" s="5"/>
      <c r="AG11" s="6"/>
      <c r="AH11" s="7"/>
      <c r="AI11" s="8"/>
      <c r="AJ11" s="9"/>
      <c r="AK11" s="9"/>
      <c r="AL11" s="3"/>
      <c r="AM11" s="3"/>
      <c r="AN11" s="3"/>
      <c r="AO11" s="3"/>
      <c r="AP11" s="3"/>
    </row>
    <row r="12" spans="2:42" s="10" customFormat="1" ht="21" customHeight="1">
      <c r="B12" s="1"/>
      <c r="C12" s="58" t="s">
        <v>121</v>
      </c>
      <c r="D12" s="78">
        <v>619</v>
      </c>
      <c r="E12" s="79" t="s">
        <v>161</v>
      </c>
      <c r="F12" s="78">
        <v>759</v>
      </c>
      <c r="G12" s="79" t="s">
        <v>161</v>
      </c>
      <c r="H12" s="80"/>
      <c r="I12" s="80"/>
      <c r="J12" s="83">
        <f t="shared" si="0"/>
        <v>84.562841530054641</v>
      </c>
      <c r="K12" s="79" t="s">
        <v>161</v>
      </c>
      <c r="L12" s="83">
        <f t="shared" si="1"/>
        <v>103.68852459016394</v>
      </c>
      <c r="M12" s="79" t="s">
        <v>161</v>
      </c>
      <c r="N12" s="3"/>
      <c r="O12" s="87">
        <v>94</v>
      </c>
      <c r="P12" s="79" t="s">
        <v>161</v>
      </c>
      <c r="Q12" s="80"/>
      <c r="R12" s="87">
        <v>103.07561234022137</v>
      </c>
      <c r="S12" s="79" t="s">
        <v>161</v>
      </c>
      <c r="T12" s="83">
        <f t="shared" si="2"/>
        <v>-9.0756123402213689</v>
      </c>
      <c r="U12" s="79" t="s">
        <v>161</v>
      </c>
      <c r="V12" s="83">
        <f>O12</f>
        <v>94</v>
      </c>
      <c r="W12" s="79" t="s">
        <v>161</v>
      </c>
      <c r="X12" s="79"/>
      <c r="Y12" s="5"/>
      <c r="Z12" s="69">
        <v>73.821087894278648</v>
      </c>
      <c r="AA12" s="69">
        <v>113.37770596055306</v>
      </c>
      <c r="AB12" s="4"/>
      <c r="AC12" s="5"/>
      <c r="AD12" s="5"/>
      <c r="AE12" s="5"/>
      <c r="AF12" s="5"/>
      <c r="AG12" s="6"/>
      <c r="AH12" s="7"/>
      <c r="AI12" s="8"/>
      <c r="AJ12" s="9"/>
      <c r="AK12" s="9"/>
      <c r="AL12" s="3"/>
      <c r="AM12" s="3"/>
      <c r="AN12" s="3"/>
      <c r="AO12" s="3"/>
      <c r="AP12" s="3"/>
    </row>
    <row r="13" spans="2:42" s="10" customFormat="1" ht="21" customHeight="1">
      <c r="B13" s="1"/>
      <c r="C13" s="58" t="s">
        <v>51</v>
      </c>
      <c r="D13" s="78">
        <v>757</v>
      </c>
      <c r="E13" s="79" t="s">
        <v>161</v>
      </c>
      <c r="F13" s="78">
        <v>873</v>
      </c>
      <c r="G13" s="79" t="s">
        <v>161</v>
      </c>
      <c r="H13" s="80"/>
      <c r="I13" s="80"/>
      <c r="J13" s="83">
        <f t="shared" si="0"/>
        <v>103.41530054644808</v>
      </c>
      <c r="K13" s="79" t="s">
        <v>161</v>
      </c>
      <c r="L13" s="83">
        <f t="shared" si="1"/>
        <v>119.26229508196721</v>
      </c>
      <c r="M13" s="79" t="s">
        <v>161</v>
      </c>
      <c r="N13" s="3"/>
      <c r="O13" s="87">
        <v>114</v>
      </c>
      <c r="P13" s="79" t="s">
        <v>161</v>
      </c>
      <c r="Q13" s="80"/>
      <c r="R13" s="87">
        <v>86.040688499386874</v>
      </c>
      <c r="S13" s="79" t="s">
        <v>161</v>
      </c>
      <c r="T13" s="83">
        <f t="shared" si="2"/>
        <v>27.959311500613126</v>
      </c>
      <c r="U13" s="79" t="s">
        <v>161</v>
      </c>
      <c r="V13" s="83">
        <f t="shared" ref="V13:V19" si="4">O13</f>
        <v>114</v>
      </c>
      <c r="W13" s="79" t="s">
        <v>161</v>
      </c>
      <c r="X13" s="79"/>
      <c r="Y13" s="5"/>
      <c r="Z13" s="69">
        <v>80.199743810826135</v>
      </c>
      <c r="AA13" s="69">
        <v>147.23244737670356</v>
      </c>
      <c r="AB13" s="4"/>
      <c r="AC13" s="5"/>
      <c r="AD13" s="5"/>
      <c r="AE13" s="5"/>
      <c r="AF13" s="5"/>
      <c r="AG13" s="6"/>
      <c r="AH13" s="7"/>
      <c r="AI13" s="8"/>
      <c r="AJ13" s="9"/>
      <c r="AK13" s="9"/>
      <c r="AL13" s="3"/>
      <c r="AM13" s="3"/>
      <c r="AN13" s="3"/>
      <c r="AO13" s="3"/>
      <c r="AP13" s="3"/>
    </row>
    <row r="14" spans="2:42" ht="21" customHeight="1">
      <c r="C14" s="58" t="s">
        <v>52</v>
      </c>
      <c r="D14" s="78">
        <v>757</v>
      </c>
      <c r="E14" s="79" t="s">
        <v>161</v>
      </c>
      <c r="F14" s="78">
        <v>542</v>
      </c>
      <c r="G14" s="79" t="s">
        <v>161</v>
      </c>
      <c r="H14" s="5"/>
      <c r="I14" s="5"/>
      <c r="J14" s="83">
        <f t="shared" si="0"/>
        <v>103.41530054644808</v>
      </c>
      <c r="K14" s="79" t="s">
        <v>161</v>
      </c>
      <c r="L14" s="83">
        <f t="shared" si="1"/>
        <v>74.04371584699453</v>
      </c>
      <c r="M14" s="79" t="s">
        <v>161</v>
      </c>
      <c r="O14" s="87">
        <v>118</v>
      </c>
      <c r="P14" s="79" t="s">
        <v>161</v>
      </c>
      <c r="Q14" s="5"/>
      <c r="R14" s="87">
        <v>119.95273582157355</v>
      </c>
      <c r="S14" s="79" t="s">
        <v>161</v>
      </c>
      <c r="T14" s="83">
        <f t="shared" si="2"/>
        <v>-1.9527358215735546</v>
      </c>
      <c r="U14" s="79" t="s">
        <v>161</v>
      </c>
      <c r="V14" s="83">
        <f t="shared" si="4"/>
        <v>118</v>
      </c>
      <c r="W14" s="79" t="s">
        <v>161</v>
      </c>
      <c r="X14" s="79"/>
      <c r="Y14" s="5"/>
      <c r="Z14" s="69">
        <v>91.997858618978299</v>
      </c>
      <c r="AA14" s="69">
        <v>132.41529847960911</v>
      </c>
    </row>
    <row r="15" spans="2:42" ht="21" customHeight="1">
      <c r="B15" s="55"/>
      <c r="C15" s="58" t="s">
        <v>53</v>
      </c>
      <c r="D15" s="78">
        <v>895</v>
      </c>
      <c r="E15" s="79" t="s">
        <v>161</v>
      </c>
      <c r="F15" s="78">
        <v>1044</v>
      </c>
      <c r="G15" s="79" t="s">
        <v>161</v>
      </c>
      <c r="H15" s="5"/>
      <c r="I15" s="5"/>
      <c r="J15" s="83">
        <f t="shared" si="0"/>
        <v>122.26775956284152</v>
      </c>
      <c r="K15" s="79" t="s">
        <v>161</v>
      </c>
      <c r="L15" s="83">
        <f t="shared" si="1"/>
        <v>142.62295081967213</v>
      </c>
      <c r="M15" s="79" t="s">
        <v>161</v>
      </c>
      <c r="O15" s="87">
        <v>133</v>
      </c>
      <c r="P15" s="79" t="s">
        <v>161</v>
      </c>
      <c r="Q15" s="5"/>
      <c r="R15" s="87">
        <v>69.567453856476476</v>
      </c>
      <c r="S15" s="79" t="s">
        <v>161</v>
      </c>
      <c r="T15" s="83">
        <f t="shared" si="2"/>
        <v>63.432546143523524</v>
      </c>
      <c r="U15" s="79" t="s">
        <v>161</v>
      </c>
      <c r="V15" s="83">
        <f t="shared" si="4"/>
        <v>133</v>
      </c>
      <c r="W15" s="79" t="s">
        <v>161</v>
      </c>
      <c r="X15" s="79"/>
      <c r="Y15" s="5"/>
      <c r="Z15" s="69">
        <v>69.567453856476476</v>
      </c>
      <c r="AA15" s="69">
        <v>136.20503872741631</v>
      </c>
    </row>
    <row r="16" spans="2:42" ht="21" customHeight="1">
      <c r="B16" s="55"/>
      <c r="C16" s="58" t="s">
        <v>54</v>
      </c>
      <c r="D16" s="78">
        <v>895</v>
      </c>
      <c r="E16" s="79" t="s">
        <v>161</v>
      </c>
      <c r="F16" s="78">
        <v>930</v>
      </c>
      <c r="G16" s="79" t="s">
        <v>161</v>
      </c>
      <c r="H16" s="5"/>
      <c r="I16" s="5"/>
      <c r="J16" s="83">
        <f t="shared" si="0"/>
        <v>122.26775956284152</v>
      </c>
      <c r="K16" s="79" t="s">
        <v>161</v>
      </c>
      <c r="L16" s="83">
        <f t="shared" si="1"/>
        <v>127.04918032786885</v>
      </c>
      <c r="M16" s="79" t="s">
        <v>161</v>
      </c>
      <c r="O16" s="87">
        <v>119</v>
      </c>
      <c r="P16" s="79" t="s">
        <v>161</v>
      </c>
      <c r="Q16" s="5"/>
      <c r="R16" s="87">
        <v>93.466464551449917</v>
      </c>
      <c r="S16" s="79" t="s">
        <v>161</v>
      </c>
      <c r="T16" s="83">
        <f t="shared" si="2"/>
        <v>25.533535448550083</v>
      </c>
      <c r="U16" s="79" t="s">
        <v>161</v>
      </c>
      <c r="V16" s="83">
        <f t="shared" si="4"/>
        <v>119</v>
      </c>
      <c r="W16" s="79" t="s">
        <v>161</v>
      </c>
      <c r="X16" s="79"/>
      <c r="Y16" s="5"/>
      <c r="Z16" s="69">
        <v>89.762489677097221</v>
      </c>
      <c r="AA16" s="69">
        <v>147.61494744076685</v>
      </c>
    </row>
    <row r="17" spans="2:27" ht="21" customHeight="1">
      <c r="B17" s="55"/>
      <c r="C17" s="58" t="s">
        <v>55</v>
      </c>
      <c r="D17" s="78">
        <v>826</v>
      </c>
      <c r="E17" s="79" t="s">
        <v>161</v>
      </c>
      <c r="F17" s="78">
        <v>767</v>
      </c>
      <c r="G17" s="79" t="s">
        <v>161</v>
      </c>
      <c r="H17" s="5"/>
      <c r="I17" s="5"/>
      <c r="J17" s="83">
        <f t="shared" si="0"/>
        <v>112.84153005464481</v>
      </c>
      <c r="K17" s="79" t="s">
        <v>161</v>
      </c>
      <c r="L17" s="83">
        <f t="shared" si="1"/>
        <v>104.78142076502732</v>
      </c>
      <c r="M17" s="79" t="s">
        <v>161</v>
      </c>
      <c r="O17" s="87">
        <v>105</v>
      </c>
      <c r="P17" s="79" t="s">
        <v>161</v>
      </c>
      <c r="Q17" s="5"/>
      <c r="R17" s="87">
        <v>117.57840103409066</v>
      </c>
      <c r="S17" s="79" t="s">
        <v>161</v>
      </c>
      <c r="T17" s="83">
        <f t="shared" si="2"/>
        <v>-12.57840103409066</v>
      </c>
      <c r="U17" s="79" t="s">
        <v>161</v>
      </c>
      <c r="V17" s="83">
        <f t="shared" si="4"/>
        <v>105</v>
      </c>
      <c r="W17" s="79" t="s">
        <v>161</v>
      </c>
      <c r="X17" s="79"/>
      <c r="Y17" s="5"/>
      <c r="Z17" s="69">
        <v>102.00309461902724</v>
      </c>
      <c r="AA17" s="69">
        <v>136.94975945763551</v>
      </c>
    </row>
    <row r="18" spans="2:27" ht="21" customHeight="1">
      <c r="B18" s="55"/>
      <c r="C18" s="58" t="s">
        <v>56</v>
      </c>
      <c r="D18" s="78">
        <v>688</v>
      </c>
      <c r="E18" s="79" t="s">
        <v>161</v>
      </c>
      <c r="F18" s="78">
        <v>919</v>
      </c>
      <c r="G18" s="79" t="s">
        <v>161</v>
      </c>
      <c r="H18" s="5"/>
      <c r="I18" s="5"/>
      <c r="J18" s="83">
        <f t="shared" si="0"/>
        <v>93.989071038251367</v>
      </c>
      <c r="K18" s="79" t="s">
        <v>161</v>
      </c>
      <c r="L18" s="83">
        <f t="shared" si="1"/>
        <v>125.54644808743168</v>
      </c>
      <c r="M18" s="79" t="s">
        <v>161</v>
      </c>
      <c r="O18" s="87">
        <v>111</v>
      </c>
      <c r="P18" s="79" t="s">
        <v>161</v>
      </c>
      <c r="Q18" s="5"/>
      <c r="R18" s="87">
        <v>84.104257147612742</v>
      </c>
      <c r="S18" s="79" t="s">
        <v>161</v>
      </c>
      <c r="T18" s="83">
        <f t="shared" si="2"/>
        <v>26.895742852387258</v>
      </c>
      <c r="U18" s="79" t="s">
        <v>161</v>
      </c>
      <c r="V18" s="83">
        <f t="shared" si="4"/>
        <v>111</v>
      </c>
      <c r="W18" s="79" t="s">
        <v>161</v>
      </c>
      <c r="X18" s="79"/>
      <c r="Y18" s="5"/>
      <c r="Z18" s="69">
        <v>71.282097099590601</v>
      </c>
      <c r="AA18" s="69">
        <v>131.05893247125746</v>
      </c>
    </row>
    <row r="19" spans="2:27" s="56" customFormat="1" ht="21" customHeight="1">
      <c r="C19" s="58" t="s">
        <v>57</v>
      </c>
      <c r="D19" s="78">
        <v>415</v>
      </c>
      <c r="E19" s="79" t="s">
        <v>161</v>
      </c>
      <c r="F19" s="78">
        <v>570</v>
      </c>
      <c r="G19" s="79" t="s">
        <v>161</v>
      </c>
      <c r="H19" s="5"/>
      <c r="I19" s="5"/>
      <c r="J19" s="83">
        <f>D19/$F$5</f>
        <v>56.693989071038246</v>
      </c>
      <c r="K19" s="79" t="s">
        <v>161</v>
      </c>
      <c r="L19" s="83">
        <f t="shared" si="1"/>
        <v>77.868852459016395</v>
      </c>
      <c r="M19" s="79" t="s">
        <v>161</v>
      </c>
      <c r="O19" s="87">
        <v>79</v>
      </c>
      <c r="P19" s="79" t="s">
        <v>161</v>
      </c>
      <c r="Q19" s="5"/>
      <c r="R19" s="87">
        <v>66.430657414753497</v>
      </c>
      <c r="S19" s="79" t="s">
        <v>161</v>
      </c>
      <c r="T19" s="83">
        <f t="shared" si="2"/>
        <v>12.569342585246503</v>
      </c>
      <c r="U19" s="79" t="s">
        <v>161</v>
      </c>
      <c r="V19" s="83">
        <f t="shared" si="4"/>
        <v>79</v>
      </c>
      <c r="W19" s="79" t="s">
        <v>161</v>
      </c>
      <c r="X19" s="183"/>
      <c r="Y19" s="62"/>
      <c r="Z19" s="69">
        <v>52.288552620583509</v>
      </c>
      <c r="AA19" s="69">
        <v>86.25794510442752</v>
      </c>
    </row>
    <row r="20" spans="2:27" s="56" customFormat="1" ht="21" customHeight="1">
      <c r="B20" s="57"/>
      <c r="C20" s="57" t="s">
        <v>58</v>
      </c>
      <c r="D20" s="81">
        <v>275</v>
      </c>
      <c r="E20" s="79" t="s">
        <v>161</v>
      </c>
      <c r="F20" s="81"/>
      <c r="G20" s="79" t="s">
        <v>161</v>
      </c>
      <c r="H20" s="82"/>
      <c r="I20" s="82"/>
      <c r="J20" s="83">
        <f t="shared" si="0"/>
        <v>37.568306010928957</v>
      </c>
      <c r="K20" s="79" t="s">
        <v>161</v>
      </c>
      <c r="L20" s="83">
        <f t="shared" si="1"/>
        <v>0</v>
      </c>
      <c r="M20" s="79" t="s">
        <v>161</v>
      </c>
      <c r="O20" s="87">
        <v>28</v>
      </c>
      <c r="P20" s="79" t="s">
        <v>161</v>
      </c>
      <c r="Q20" s="82"/>
      <c r="R20" s="87">
        <v>36.898721682604901</v>
      </c>
      <c r="S20" s="79" t="s">
        <v>161</v>
      </c>
      <c r="T20" s="83">
        <f t="shared" si="2"/>
        <v>-8.8987216826049007</v>
      </c>
      <c r="U20" s="79" t="s">
        <v>161</v>
      </c>
      <c r="V20" s="83">
        <f>O20*1.2</f>
        <v>33.6</v>
      </c>
      <c r="W20" s="79" t="s">
        <v>161</v>
      </c>
      <c r="X20" s="79" t="s">
        <v>163</v>
      </c>
      <c r="Y20" s="62"/>
      <c r="Z20" s="69">
        <v>30.182131610277629</v>
      </c>
      <c r="AA20" s="69">
        <v>57.39394050707903</v>
      </c>
    </row>
    <row r="21" spans="2:27" s="56" customFormat="1" ht="21" customHeight="1">
      <c r="B21" s="57"/>
      <c r="C21" s="57" t="s">
        <v>59</v>
      </c>
      <c r="D21" s="81">
        <v>206</v>
      </c>
      <c r="E21" s="79" t="s">
        <v>161</v>
      </c>
      <c r="F21" s="81"/>
      <c r="G21" s="79" t="s">
        <v>161</v>
      </c>
      <c r="H21" s="82"/>
      <c r="I21" s="82"/>
      <c r="J21" s="83">
        <f t="shared" si="0"/>
        <v>28.142076502732241</v>
      </c>
      <c r="K21" s="79" t="s">
        <v>161</v>
      </c>
      <c r="L21" s="83">
        <f t="shared" si="1"/>
        <v>0</v>
      </c>
      <c r="M21" s="79" t="s">
        <v>161</v>
      </c>
      <c r="O21" s="87">
        <v>22</v>
      </c>
      <c r="P21" s="79" t="s">
        <v>161</v>
      </c>
      <c r="Q21" s="82"/>
      <c r="R21" s="87">
        <v>23.96836977795941</v>
      </c>
      <c r="S21" s="79" t="s">
        <v>161</v>
      </c>
      <c r="T21" s="83">
        <f t="shared" si="2"/>
        <v>-1.9683697779594098</v>
      </c>
      <c r="U21" s="79" t="s">
        <v>161</v>
      </c>
      <c r="V21" s="83">
        <f>O21*1.2</f>
        <v>26.4</v>
      </c>
      <c r="W21" s="79" t="s">
        <v>161</v>
      </c>
      <c r="X21" s="79" t="s">
        <v>163</v>
      </c>
      <c r="Y21" s="62"/>
      <c r="Z21" s="69">
        <v>22.996611235469199</v>
      </c>
      <c r="AA21" s="69">
        <v>62.34311669685421</v>
      </c>
    </row>
    <row r="22" spans="2:27">
      <c r="B22" s="57"/>
      <c r="C22" s="57"/>
      <c r="D22" s="75"/>
      <c r="E22" s="77"/>
      <c r="F22" s="75"/>
      <c r="G22" s="76"/>
      <c r="H22" s="77"/>
      <c r="I22" s="77"/>
      <c r="J22" s="77"/>
      <c r="K22" s="77"/>
      <c r="L22" s="77"/>
      <c r="M22" s="77"/>
      <c r="O22" s="77"/>
      <c r="P22" s="77"/>
      <c r="Q22" s="77"/>
      <c r="R22" s="77"/>
      <c r="S22" s="77"/>
      <c r="T22" s="77"/>
      <c r="U22" s="77"/>
      <c r="V22" s="77"/>
      <c r="W22" s="77"/>
      <c r="Y22" s="69"/>
    </row>
    <row r="23" spans="2:27" s="56" customFormat="1">
      <c r="B23" s="57"/>
      <c r="C23" s="57" t="s">
        <v>160</v>
      </c>
      <c r="D23" s="84">
        <f>SUM(D10:D22)</f>
        <v>6884</v>
      </c>
      <c r="E23" s="79" t="s">
        <v>161</v>
      </c>
      <c r="F23" s="84">
        <f>SUM(F10:F22)</f>
        <v>6970</v>
      </c>
      <c r="G23" s="79" t="s">
        <v>161</v>
      </c>
      <c r="H23" s="85"/>
      <c r="I23" s="85"/>
      <c r="J23" s="84">
        <f>SUM(J10:J22)</f>
        <v>940.4371584699453</v>
      </c>
      <c r="K23" s="79" t="s">
        <v>161</v>
      </c>
      <c r="L23" s="84">
        <f>SUM(L10:L22)</f>
        <v>952.18579234972663</v>
      </c>
      <c r="M23" s="79" t="s">
        <v>161</v>
      </c>
      <c r="O23" s="84">
        <f>SUM(O10:O22)</f>
        <v>992</v>
      </c>
      <c r="P23" s="79" t="s">
        <v>161</v>
      </c>
      <c r="Q23" s="85"/>
      <c r="R23" s="84">
        <f>SUM(R10:R22)</f>
        <v>884.60744920332615</v>
      </c>
      <c r="S23" s="79" t="s">
        <v>161</v>
      </c>
      <c r="T23" s="84">
        <f>SUM(T10:T22)</f>
        <v>107.3925507966739</v>
      </c>
      <c r="U23" s="79" t="s">
        <v>161</v>
      </c>
      <c r="V23" s="84"/>
      <c r="W23" s="79"/>
      <c r="Y23" s="86"/>
      <c r="Z23" s="86">
        <v>727.04637734307687</v>
      </c>
      <c r="AA23" s="86">
        <v>1289.6874888644672</v>
      </c>
    </row>
    <row r="24" spans="2:27">
      <c r="B24" s="57"/>
      <c r="C24" s="57"/>
      <c r="D24" s="75"/>
      <c r="E24" s="75"/>
      <c r="F24" s="75"/>
      <c r="G24" s="76"/>
      <c r="H24" s="77"/>
      <c r="I24" s="77"/>
      <c r="J24" s="77"/>
      <c r="K24" s="77"/>
      <c r="L24" s="77"/>
      <c r="M24" s="77"/>
      <c r="O24" s="77"/>
      <c r="P24" s="77"/>
      <c r="Q24" s="77"/>
      <c r="R24" s="77"/>
      <c r="S24" s="77"/>
      <c r="T24" s="77"/>
      <c r="U24" s="77"/>
      <c r="V24" s="77"/>
      <c r="W24" s="77"/>
      <c r="Y24" s="69"/>
    </row>
    <row r="25" spans="2:27">
      <c r="B25" s="57"/>
      <c r="C25" s="57"/>
      <c r="D25" s="75"/>
      <c r="E25" s="75"/>
      <c r="F25" s="75"/>
      <c r="G25" s="76"/>
      <c r="H25" s="77"/>
      <c r="I25" s="77"/>
      <c r="J25" s="77"/>
      <c r="K25" s="77"/>
      <c r="L25" s="77"/>
      <c r="M25" s="77"/>
      <c r="O25" s="77"/>
      <c r="P25" s="77"/>
      <c r="Q25" s="77"/>
      <c r="R25" s="77"/>
      <c r="S25" s="77"/>
      <c r="T25" s="77"/>
      <c r="U25" s="77"/>
      <c r="V25" s="77"/>
      <c r="Y25" s="69"/>
    </row>
    <row r="26" spans="2:27">
      <c r="B26" s="57"/>
      <c r="C26" s="57"/>
      <c r="D26" s="72"/>
      <c r="E26" s="72"/>
      <c r="F26" s="72"/>
      <c r="G26" s="73"/>
      <c r="H26" s="74"/>
      <c r="I26" s="74"/>
      <c r="J26" s="74"/>
      <c r="K26" s="74"/>
      <c r="L26" s="74"/>
      <c r="M26" s="74"/>
      <c r="O26" s="74"/>
      <c r="P26" s="74"/>
      <c r="Q26" s="74"/>
      <c r="R26" s="74"/>
      <c r="S26" s="74"/>
      <c r="T26" s="74"/>
      <c r="U26" s="74"/>
      <c r="V26" s="74"/>
      <c r="Y26" s="69"/>
    </row>
    <row r="27" spans="2:27">
      <c r="B27" s="57"/>
      <c r="C27" s="57"/>
      <c r="D27" s="72"/>
      <c r="E27" s="72"/>
      <c r="F27" s="72"/>
      <c r="G27" s="73"/>
      <c r="H27" s="74"/>
      <c r="I27" s="74"/>
      <c r="J27" s="74"/>
      <c r="K27" s="74"/>
      <c r="L27" s="74"/>
      <c r="M27" s="74"/>
      <c r="O27" s="74"/>
      <c r="P27" s="74"/>
      <c r="Q27" s="74"/>
      <c r="R27" s="74"/>
      <c r="S27" s="74"/>
      <c r="T27" s="74"/>
      <c r="U27" s="74"/>
      <c r="V27" s="74"/>
      <c r="Y27" s="69"/>
    </row>
    <row r="28" spans="2:27">
      <c r="B28" s="57"/>
      <c r="C28" s="57"/>
      <c r="D28" s="72"/>
      <c r="E28" s="72"/>
      <c r="F28" s="72"/>
      <c r="G28" s="73"/>
      <c r="H28" s="74"/>
      <c r="I28" s="74"/>
      <c r="J28" s="74"/>
      <c r="K28" s="74"/>
      <c r="L28" s="74"/>
      <c r="M28" s="74"/>
      <c r="O28" s="74"/>
      <c r="P28" s="74"/>
      <c r="Q28" s="74"/>
      <c r="R28" s="74"/>
      <c r="S28" s="74"/>
      <c r="T28" s="74"/>
      <c r="U28" s="74"/>
      <c r="V28" s="74"/>
      <c r="Y28" s="69"/>
    </row>
    <row r="29" spans="2:27">
      <c r="B29" s="57"/>
      <c r="C29" s="57"/>
      <c r="D29" s="72"/>
      <c r="E29" s="72"/>
      <c r="F29" s="72"/>
      <c r="G29" s="73"/>
      <c r="H29" s="74"/>
      <c r="I29" s="74"/>
      <c r="J29" s="74"/>
      <c r="K29" s="74"/>
      <c r="L29" s="74"/>
      <c r="M29" s="74"/>
      <c r="O29" s="74"/>
      <c r="P29" s="74"/>
      <c r="Q29" s="74"/>
      <c r="R29" s="74"/>
      <c r="S29" s="74"/>
      <c r="T29" s="74"/>
      <c r="U29" s="74"/>
      <c r="V29" s="74"/>
      <c r="Y29" s="69"/>
    </row>
    <row r="30" spans="2:27">
      <c r="B30" s="57"/>
      <c r="C30" s="57"/>
      <c r="D30" s="72"/>
      <c r="E30" s="72"/>
      <c r="F30" s="72"/>
      <c r="G30" s="73"/>
      <c r="H30" s="74"/>
      <c r="I30" s="74"/>
      <c r="J30" s="74"/>
      <c r="K30" s="74"/>
      <c r="L30" s="74"/>
      <c r="M30" s="74"/>
      <c r="O30" s="74"/>
      <c r="P30" s="74"/>
      <c r="Q30" s="74"/>
      <c r="R30" s="74"/>
      <c r="S30" s="74"/>
      <c r="T30" s="74"/>
      <c r="U30" s="74"/>
      <c r="V30" s="74"/>
      <c r="Y30" s="69"/>
    </row>
    <row r="31" spans="2:27">
      <c r="B31" s="57"/>
      <c r="C31" s="57"/>
      <c r="D31" s="72"/>
      <c r="E31" s="72"/>
      <c r="F31" s="72"/>
      <c r="G31" s="73"/>
      <c r="H31" s="74"/>
      <c r="I31" s="74"/>
      <c r="J31" s="74"/>
      <c r="K31" s="74"/>
      <c r="L31" s="74"/>
      <c r="M31" s="74"/>
      <c r="O31" s="74"/>
      <c r="P31" s="74"/>
      <c r="Q31" s="74"/>
      <c r="R31" s="74"/>
      <c r="S31" s="74"/>
      <c r="T31" s="74"/>
      <c r="U31" s="74"/>
      <c r="V31" s="74"/>
      <c r="Y31" s="69"/>
    </row>
    <row r="32" spans="2:27">
      <c r="B32" s="57"/>
      <c r="C32" s="57"/>
      <c r="D32" s="72"/>
      <c r="E32" s="72"/>
      <c r="F32" s="72"/>
      <c r="G32" s="73"/>
      <c r="H32" s="74"/>
      <c r="I32" s="74"/>
      <c r="J32" s="74"/>
      <c r="K32" s="74"/>
      <c r="L32" s="74"/>
      <c r="M32" s="74"/>
      <c r="O32" s="74"/>
      <c r="P32" s="74"/>
      <c r="Q32" s="74"/>
      <c r="R32" s="74"/>
      <c r="S32" s="74"/>
      <c r="T32" s="74"/>
      <c r="U32" s="74"/>
      <c r="V32" s="74"/>
      <c r="Y32" s="69"/>
    </row>
    <row r="33" spans="2:25">
      <c r="B33" s="57"/>
      <c r="C33" s="57"/>
      <c r="D33" s="72"/>
      <c r="E33" s="72"/>
      <c r="F33" s="72"/>
      <c r="G33" s="73"/>
      <c r="H33" s="74"/>
      <c r="I33" s="74"/>
      <c r="J33" s="74"/>
      <c r="K33" s="74"/>
      <c r="L33" s="74"/>
      <c r="M33" s="74"/>
      <c r="O33" s="74"/>
      <c r="P33" s="74"/>
      <c r="Q33" s="74"/>
      <c r="R33" s="74"/>
      <c r="S33" s="74"/>
      <c r="T33" s="74"/>
      <c r="U33" s="74"/>
      <c r="V33" s="74"/>
      <c r="Y33" s="69"/>
    </row>
    <row r="34" spans="2:25" ht="16" customHeight="1">
      <c r="B34" s="1"/>
    </row>
    <row r="35" spans="2:25">
      <c r="B35" s="1"/>
      <c r="Y35" s="69"/>
    </row>
    <row r="36" spans="2:25" ht="18" customHeight="1">
      <c r="B36" s="1"/>
    </row>
    <row r="37" spans="2:25">
      <c r="B37" s="1"/>
    </row>
    <row r="38" spans="2:25">
      <c r="B38" s="3"/>
    </row>
    <row r="39" spans="2:25">
      <c r="B39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7FB5-61DF-3446-B95C-02549C004F34}">
  <dimension ref="B1:AQ119"/>
  <sheetViews>
    <sheetView topLeftCell="A15" zoomScale="70" zoomScaleNormal="70" workbookViewId="0">
      <selection activeCell="B45" sqref="B45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178</v>
      </c>
    </row>
    <row r="13" spans="2:43" s="109" customFormat="1" ht="31" thickTop="1" thickBot="1">
      <c r="B13" s="104" t="s">
        <v>180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125</v>
      </c>
      <c r="F19" s="137" t="s">
        <v>1</v>
      </c>
      <c r="N19" s="136" t="s">
        <v>28</v>
      </c>
      <c r="O19" s="138">
        <f>E18*E19</f>
        <v>625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44</v>
      </c>
      <c r="F20" s="137" t="s">
        <v>9</v>
      </c>
      <c r="N20" s="136" t="s">
        <v>44</v>
      </c>
      <c r="O20" s="138">
        <f>E20*200*1000/10000</f>
        <v>880</v>
      </c>
      <c r="P20" s="137" t="s">
        <v>17</v>
      </c>
      <c r="AA20" s="176">
        <v>43861</v>
      </c>
      <c r="AB20" s="95">
        <f>E27</f>
        <v>51.564581569710484</v>
      </c>
      <c r="AC20" s="96">
        <f t="shared" ref="AC20:AC43" si="0">AB20/E$40</f>
        <v>3.9982229815311007E-2</v>
      </c>
      <c r="AD20" s="97">
        <f t="shared" ref="AD20:AD43" si="1">O$19*AB20*E$67*E$46</f>
        <v>18563.249365095773</v>
      </c>
      <c r="AE20" s="97">
        <f t="shared" ref="AE20:AE43" si="2">AD20/E$73</f>
        <v>5017.0944229988572</v>
      </c>
      <c r="AF20" s="116">
        <f>J$93</f>
        <v>4622.0493150684924</v>
      </c>
      <c r="AG20" s="116">
        <f>AE20-AF20</f>
        <v>395.04510793036479</v>
      </c>
      <c r="AH20" s="116">
        <f>(AE20) * (1-E$113/100) - AH$15-AF20</f>
        <v>395.04510793036479</v>
      </c>
      <c r="AI20" s="116">
        <f>(AE20) * (1+E$113/100) -AH$15 -AF20</f>
        <v>395.04510793036479</v>
      </c>
      <c r="AJ20" s="116">
        <f>IF($E$75+AG20 &lt; $E$74,$E$75+AG20, $E$74)</f>
        <v>2300</v>
      </c>
      <c r="AK20" s="116">
        <f>IF($E$75+AH20 &lt; $E$74,$E$75+AH20, $E$74)</f>
        <v>2300</v>
      </c>
      <c r="AL20" s="116">
        <f>IF($E$75+AI20 &lt; $E$74,$E$75+AI20, $E$74)</f>
        <v>2300</v>
      </c>
      <c r="AM20" s="116">
        <f>IF(AJ20&gt;0,AJ20,0)</f>
        <v>2300</v>
      </c>
      <c r="AN20" s="116">
        <f t="shared" ref="AN20:AO35" si="3">IF(AK20&gt;0,AK20,0)</f>
        <v>2300</v>
      </c>
      <c r="AO20" s="116">
        <f>IF(AL20&gt;0,AL20,0)</f>
        <v>2300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87.273775072454129</v>
      </c>
      <c r="AC21" s="96">
        <f t="shared" si="0"/>
        <v>6.7670482830919129E-2</v>
      </c>
      <c r="AD21" s="97">
        <f t="shared" si="1"/>
        <v>31418.559026083483</v>
      </c>
      <c r="AE21" s="97">
        <f t="shared" si="2"/>
        <v>8491.502439482023</v>
      </c>
      <c r="AF21" s="116">
        <f t="shared" ref="AF21:AF43" si="5">J$93</f>
        <v>4622.0493150684924</v>
      </c>
      <c r="AG21" s="116">
        <f>AE21-AF21</f>
        <v>3869.4531244135305</v>
      </c>
      <c r="AH21" s="116">
        <f t="shared" ref="AH21:AH43" si="6">(AE21) * (1-E$113/100) - AH$15-AF21</f>
        <v>3869.4531244135305</v>
      </c>
      <c r="AI21" s="116">
        <f t="shared" ref="AI21:AI43" si="7">(AE21) * (1+E$113/100) -AH$15 -AF21</f>
        <v>3869.4531244135305</v>
      </c>
      <c r="AJ21" s="116">
        <f>IF(AJ20+AG21 &lt; $E$74,AJ20+AG21, $E$74)</f>
        <v>2300</v>
      </c>
      <c r="AK21" s="116">
        <f t="shared" ref="AK21:AL36" si="8">IF(AK20+AH21 &lt; $E$74,AK20+AH21, $E$74)</f>
        <v>2300</v>
      </c>
      <c r="AL21" s="116">
        <f t="shared" si="8"/>
        <v>2300</v>
      </c>
      <c r="AM21" s="116">
        <f t="shared" ref="AM21:AO43" si="9">IF(AJ21&gt;0,AJ21,0)</f>
        <v>2300</v>
      </c>
      <c r="AN21" s="116">
        <f t="shared" si="3"/>
        <v>2300</v>
      </c>
      <c r="AO21" s="116">
        <f t="shared" si="3"/>
        <v>2300</v>
      </c>
    </row>
    <row r="22" spans="2:42" ht="22" thickTop="1">
      <c r="AA22" s="176">
        <v>43921</v>
      </c>
      <c r="AB22" s="95">
        <f t="shared" si="4"/>
        <v>113.37770596055306</v>
      </c>
      <c r="AC22" s="96">
        <f t="shared" si="0"/>
        <v>8.7910991569266808E-2</v>
      </c>
      <c r="AD22" s="97">
        <f t="shared" si="1"/>
        <v>40815.974145799111</v>
      </c>
      <c r="AE22" s="97">
        <f t="shared" si="2"/>
        <v>11031.344363729489</v>
      </c>
      <c r="AF22" s="116">
        <f t="shared" si="5"/>
        <v>4622.0493150684924</v>
      </c>
      <c r="AG22" s="116">
        <f t="shared" ref="AG22:AG43" si="10">AE22-AF22</f>
        <v>6409.2950486609971</v>
      </c>
      <c r="AH22" s="116">
        <f t="shared" si="6"/>
        <v>6409.2950486609971</v>
      </c>
      <c r="AI22" s="116">
        <f t="shared" si="7"/>
        <v>6409.2950486609971</v>
      </c>
      <c r="AJ22" s="116">
        <f t="shared" ref="AJ22:AL37" si="11">IF(AJ21+AG22 &lt; $E$74,AJ21+AG22, $E$74)</f>
        <v>2300</v>
      </c>
      <c r="AK22" s="116">
        <f t="shared" si="8"/>
        <v>2300</v>
      </c>
      <c r="AL22" s="116">
        <f t="shared" si="8"/>
        <v>2300</v>
      </c>
      <c r="AM22" s="116">
        <f t="shared" si="9"/>
        <v>2300</v>
      </c>
      <c r="AN22" s="116">
        <f t="shared" si="3"/>
        <v>2300</v>
      </c>
      <c r="AO22" s="116">
        <f t="shared" si="3"/>
        <v>2300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147.23244737670356</v>
      </c>
      <c r="AC23" s="96">
        <f t="shared" si="0"/>
        <v>0.11416133648496311</v>
      </c>
      <c r="AD23" s="97">
        <f t="shared" si="1"/>
        <v>53003.681055613284</v>
      </c>
      <c r="AE23" s="97">
        <f t="shared" si="2"/>
        <v>14325.319204219806</v>
      </c>
      <c r="AF23" s="116">
        <f t="shared" si="5"/>
        <v>4622.0493150684924</v>
      </c>
      <c r="AG23" s="116">
        <f t="shared" si="10"/>
        <v>9703.2698891513137</v>
      </c>
      <c r="AH23" s="116">
        <f t="shared" si="6"/>
        <v>9703.2698891513137</v>
      </c>
      <c r="AI23" s="116">
        <f t="shared" si="7"/>
        <v>9703.2698891513137</v>
      </c>
      <c r="AJ23" s="116">
        <f t="shared" si="11"/>
        <v>2300</v>
      </c>
      <c r="AK23" s="116">
        <f t="shared" si="8"/>
        <v>2300</v>
      </c>
      <c r="AL23" s="116">
        <f t="shared" si="8"/>
        <v>2300</v>
      </c>
      <c r="AM23" s="116">
        <f t="shared" si="9"/>
        <v>2300</v>
      </c>
      <c r="AN23" s="116">
        <f t="shared" si="3"/>
        <v>2300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132.41529847960911</v>
      </c>
      <c r="AC24" s="96">
        <f t="shared" si="0"/>
        <v>0.10267239127534451</v>
      </c>
      <c r="AD24" s="97">
        <f t="shared" si="1"/>
        <v>47669.507452659273</v>
      </c>
      <c r="AE24" s="97">
        <f t="shared" si="2"/>
        <v>12883.650662880884</v>
      </c>
      <c r="AF24" s="116">
        <f t="shared" si="5"/>
        <v>4622.0493150684924</v>
      </c>
      <c r="AG24" s="116">
        <f t="shared" si="10"/>
        <v>8261.6013478123914</v>
      </c>
      <c r="AH24" s="116">
        <f t="shared" si="6"/>
        <v>8261.6013478123914</v>
      </c>
      <c r="AI24" s="116">
        <f t="shared" si="7"/>
        <v>8261.6013478123914</v>
      </c>
      <c r="AJ24" s="116">
        <f t="shared" si="11"/>
        <v>2300</v>
      </c>
      <c r="AK24" s="116">
        <f t="shared" si="8"/>
        <v>2300</v>
      </c>
      <c r="AL24" s="116">
        <f t="shared" si="8"/>
        <v>2300</v>
      </c>
      <c r="AM24" s="116">
        <f t="shared" si="9"/>
        <v>2300</v>
      </c>
      <c r="AN24" s="116">
        <f t="shared" si="3"/>
        <v>2300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136.20503872741631</v>
      </c>
      <c r="AC25" s="96">
        <f t="shared" si="0"/>
        <v>0.10561088628326613</v>
      </c>
      <c r="AD25" s="97">
        <f t="shared" si="1"/>
        <v>49033.81394186987</v>
      </c>
      <c r="AE25" s="97">
        <f t="shared" si="2"/>
        <v>13252.382146451315</v>
      </c>
      <c r="AF25" s="116">
        <f t="shared" si="5"/>
        <v>4622.0493150684924</v>
      </c>
      <c r="AG25" s="116">
        <f t="shared" si="10"/>
        <v>8630.3328313828224</v>
      </c>
      <c r="AH25" s="116">
        <f t="shared" si="6"/>
        <v>8630.3328313828224</v>
      </c>
      <c r="AI25" s="116">
        <f t="shared" si="7"/>
        <v>8630.3328313828224</v>
      </c>
      <c r="AJ25" s="116">
        <f t="shared" si="11"/>
        <v>2300</v>
      </c>
      <c r="AK25" s="116">
        <f t="shared" si="8"/>
        <v>2300</v>
      </c>
      <c r="AL25" s="116">
        <f t="shared" si="8"/>
        <v>2300</v>
      </c>
      <c r="AM25" s="116">
        <f t="shared" si="9"/>
        <v>2300</v>
      </c>
      <c r="AN25" s="116">
        <f t="shared" si="3"/>
        <v>2300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147.61494744076685</v>
      </c>
      <c r="AC26" s="96">
        <f t="shared" si="0"/>
        <v>0.11445792001187634</v>
      </c>
      <c r="AD26" s="97">
        <f t="shared" si="1"/>
        <v>53141.381078676066</v>
      </c>
      <c r="AE26" s="97">
        <f t="shared" si="2"/>
        <v>14362.535426669207</v>
      </c>
      <c r="AF26" s="116">
        <f t="shared" si="5"/>
        <v>4622.0493150684924</v>
      </c>
      <c r="AG26" s="116">
        <f t="shared" si="10"/>
        <v>9740.4861116007141</v>
      </c>
      <c r="AH26" s="116">
        <f t="shared" si="6"/>
        <v>9740.4861116007141</v>
      </c>
      <c r="AI26" s="116">
        <f t="shared" si="7"/>
        <v>9740.4861116007141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51.564581569710484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136.94975945763551</v>
      </c>
      <c r="AC27" s="96">
        <f t="shared" si="0"/>
        <v>0.10618832906428816</v>
      </c>
      <c r="AD27" s="97">
        <f t="shared" si="1"/>
        <v>49301.913404748782</v>
      </c>
      <c r="AE27" s="97">
        <f t="shared" si="2"/>
        <v>13324.841460742913</v>
      </c>
      <c r="AF27" s="116">
        <f t="shared" si="5"/>
        <v>4622.0493150684924</v>
      </c>
      <c r="AG27" s="116">
        <f t="shared" si="10"/>
        <v>8702.7921456744207</v>
      </c>
      <c r="AH27" s="116">
        <f t="shared" si="6"/>
        <v>8702.7921456744207</v>
      </c>
      <c r="AI27" s="116">
        <f t="shared" si="7"/>
        <v>8702.7921456744207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87.273775072454129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131.05893247125746</v>
      </c>
      <c r="AC28" s="96">
        <f t="shared" si="0"/>
        <v>0.10162068997556228</v>
      </c>
      <c r="AD28" s="97">
        <f t="shared" si="1"/>
        <v>47181.215689652687</v>
      </c>
      <c r="AE28" s="97">
        <f t="shared" si="2"/>
        <v>12751.679916122348</v>
      </c>
      <c r="AF28" s="116">
        <f t="shared" si="5"/>
        <v>4622.0493150684924</v>
      </c>
      <c r="AG28" s="116">
        <f t="shared" si="10"/>
        <v>8129.6306010538556</v>
      </c>
      <c r="AH28" s="116">
        <f t="shared" si="6"/>
        <v>8129.6306010538556</v>
      </c>
      <c r="AI28" s="116">
        <f t="shared" si="7"/>
        <v>8129.6306010538556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113.37770596055306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86.25794510442752</v>
      </c>
      <c r="AC29" s="96">
        <f t="shared" si="0"/>
        <v>6.6882826924509572E-2</v>
      </c>
      <c r="AD29" s="97">
        <f t="shared" si="1"/>
        <v>31052.860237593904</v>
      </c>
      <c r="AE29" s="97">
        <f t="shared" si="2"/>
        <v>8392.6649290794339</v>
      </c>
      <c r="AF29" s="116">
        <f t="shared" si="5"/>
        <v>4622.0493150684924</v>
      </c>
      <c r="AG29" s="116">
        <f t="shared" si="10"/>
        <v>3770.6156140109415</v>
      </c>
      <c r="AH29" s="116">
        <f t="shared" si="6"/>
        <v>3770.6156140109415</v>
      </c>
      <c r="AI29" s="116">
        <f t="shared" si="7"/>
        <v>3770.6156140109415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147.23244737670356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57.39394050707903</v>
      </c>
      <c r="AC30" s="96">
        <f t="shared" si="0"/>
        <v>4.4502207707397969E-2</v>
      </c>
      <c r="AD30" s="97">
        <f t="shared" si="1"/>
        <v>20661.818582548454</v>
      </c>
      <c r="AE30" s="97">
        <f t="shared" si="2"/>
        <v>5584.2752925806626</v>
      </c>
      <c r="AF30" s="116">
        <f t="shared" si="5"/>
        <v>4622.0493150684924</v>
      </c>
      <c r="AG30" s="116">
        <f t="shared" si="10"/>
        <v>962.22597751217018</v>
      </c>
      <c r="AH30" s="116">
        <f t="shared" si="6"/>
        <v>962.22597751217018</v>
      </c>
      <c r="AI30" s="116">
        <f t="shared" si="7"/>
        <v>962.22597751217018</v>
      </c>
      <c r="AJ30" s="116">
        <f t="shared" si="11"/>
        <v>2300</v>
      </c>
      <c r="AK30" s="116">
        <f t="shared" si="8"/>
        <v>2300</v>
      </c>
      <c r="AL30" s="116">
        <f t="shared" si="8"/>
        <v>2300</v>
      </c>
      <c r="AM30" s="116">
        <f t="shared" si="9"/>
        <v>2300</v>
      </c>
      <c r="AN30" s="116">
        <f t="shared" si="3"/>
        <v>2300</v>
      </c>
      <c r="AO30" s="116">
        <f>IF(AL30&gt;0,AL30,0)</f>
        <v>2300</v>
      </c>
      <c r="AP30" s="115"/>
    </row>
    <row r="31" spans="2:42" ht="23">
      <c r="D31" s="136" t="s">
        <v>52</v>
      </c>
      <c r="E31" s="54">
        <v>132.41529847960911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62.34311669685421</v>
      </c>
      <c r="AC31" s="96">
        <f t="shared" si="0"/>
        <v>4.8339708057294976E-2</v>
      </c>
      <c r="AD31" s="97">
        <f t="shared" si="1"/>
        <v>22443.522010867517</v>
      </c>
      <c r="AE31" s="97">
        <f t="shared" si="2"/>
        <v>6065.8167596939229</v>
      </c>
      <c r="AF31" s="116">
        <f t="shared" si="5"/>
        <v>4622.0493150684924</v>
      </c>
      <c r="AG31" s="116">
        <f t="shared" si="10"/>
        <v>1443.7674446254305</v>
      </c>
      <c r="AH31" s="116">
        <f t="shared" si="6"/>
        <v>1443.7674446254305</v>
      </c>
      <c r="AI31" s="116">
        <f t="shared" si="7"/>
        <v>1443.7674446254305</v>
      </c>
      <c r="AJ31" s="116">
        <f t="shared" si="11"/>
        <v>2300</v>
      </c>
      <c r="AK31" s="116">
        <f t="shared" si="8"/>
        <v>2300</v>
      </c>
      <c r="AL31" s="116">
        <f t="shared" si="8"/>
        <v>2300</v>
      </c>
      <c r="AM31" s="116">
        <f t="shared" si="9"/>
        <v>2300</v>
      </c>
      <c r="AN31" s="116">
        <f t="shared" si="3"/>
        <v>2300</v>
      </c>
      <c r="AO31" s="116">
        <f t="shared" si="3"/>
        <v>2300</v>
      </c>
      <c r="AP31" s="115"/>
    </row>
    <row r="32" spans="2:42" ht="23">
      <c r="D32" s="136" t="s">
        <v>53</v>
      </c>
      <c r="E32" s="54">
        <v>136.20503872741631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51.564581569710484</v>
      </c>
      <c r="AC32" s="96">
        <f t="shared" si="0"/>
        <v>3.9982229815311007E-2</v>
      </c>
      <c r="AD32" s="97">
        <f t="shared" si="1"/>
        <v>18563.249365095773</v>
      </c>
      <c r="AE32" s="97">
        <f t="shared" si="2"/>
        <v>5017.0944229988572</v>
      </c>
      <c r="AF32" s="116">
        <f t="shared" si="5"/>
        <v>4622.0493150684924</v>
      </c>
      <c r="AG32" s="116">
        <f t="shared" si="10"/>
        <v>395.04510793036479</v>
      </c>
      <c r="AH32" s="116">
        <f t="shared" si="6"/>
        <v>395.04510793036479</v>
      </c>
      <c r="AI32" s="116">
        <f t="shared" si="7"/>
        <v>395.04510793036479</v>
      </c>
      <c r="AJ32" s="116">
        <f t="shared" si="11"/>
        <v>2300</v>
      </c>
      <c r="AK32" s="116">
        <f t="shared" si="8"/>
        <v>2300</v>
      </c>
      <c r="AL32" s="116">
        <f t="shared" si="8"/>
        <v>2300</v>
      </c>
      <c r="AM32" s="116">
        <f t="shared" si="9"/>
        <v>2300</v>
      </c>
      <c r="AN32" s="116">
        <f t="shared" si="3"/>
        <v>2300</v>
      </c>
      <c r="AO32" s="116">
        <f t="shared" si="3"/>
        <v>2300</v>
      </c>
      <c r="AP32" s="115"/>
    </row>
    <row r="33" spans="2:42" ht="23">
      <c r="D33" s="136" t="s">
        <v>54</v>
      </c>
      <c r="E33" s="54">
        <v>147.61494744076685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87.273775072454129</v>
      </c>
      <c r="AC33" s="96">
        <f t="shared" si="0"/>
        <v>6.7670482830919129E-2</v>
      </c>
      <c r="AD33" s="97">
        <f t="shared" si="1"/>
        <v>31418.559026083483</v>
      </c>
      <c r="AE33" s="97">
        <f t="shared" si="2"/>
        <v>8491.502439482023</v>
      </c>
      <c r="AF33" s="116">
        <f t="shared" si="5"/>
        <v>4622.0493150684924</v>
      </c>
      <c r="AG33" s="116">
        <f t="shared" si="10"/>
        <v>3869.4531244135305</v>
      </c>
      <c r="AH33" s="116">
        <f t="shared" si="6"/>
        <v>3869.4531244135305</v>
      </c>
      <c r="AI33" s="116">
        <f t="shared" si="7"/>
        <v>3869.4531244135305</v>
      </c>
      <c r="AJ33" s="116">
        <f t="shared" si="11"/>
        <v>2300</v>
      </c>
      <c r="AK33" s="116">
        <f t="shared" si="8"/>
        <v>2300</v>
      </c>
      <c r="AL33" s="116">
        <f t="shared" si="8"/>
        <v>2300</v>
      </c>
      <c r="AM33" s="116">
        <f t="shared" si="9"/>
        <v>2300</v>
      </c>
      <c r="AN33" s="116">
        <f t="shared" si="3"/>
        <v>2300</v>
      </c>
      <c r="AO33" s="116">
        <f t="shared" si="3"/>
        <v>2300</v>
      </c>
      <c r="AP33" s="115"/>
    </row>
    <row r="34" spans="2:42" ht="23">
      <c r="D34" s="136" t="s">
        <v>55</v>
      </c>
      <c r="E34" s="54">
        <v>136.94975945763551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113.37770596055306</v>
      </c>
      <c r="AC34" s="96">
        <f t="shared" si="0"/>
        <v>8.7910991569266808E-2</v>
      </c>
      <c r="AD34" s="97">
        <f t="shared" si="1"/>
        <v>40815.974145799111</v>
      </c>
      <c r="AE34" s="97">
        <f t="shared" si="2"/>
        <v>11031.344363729489</v>
      </c>
      <c r="AF34" s="116">
        <f t="shared" si="5"/>
        <v>4622.0493150684924</v>
      </c>
      <c r="AG34" s="116">
        <f t="shared" si="10"/>
        <v>6409.2950486609971</v>
      </c>
      <c r="AH34" s="116">
        <f t="shared" si="6"/>
        <v>6409.2950486609971</v>
      </c>
      <c r="AI34" s="116">
        <f t="shared" si="7"/>
        <v>6409.2950486609971</v>
      </c>
      <c r="AJ34" s="116">
        <f t="shared" si="11"/>
        <v>2300</v>
      </c>
      <c r="AK34" s="116">
        <f t="shared" si="8"/>
        <v>2300</v>
      </c>
      <c r="AL34" s="116">
        <f t="shared" si="8"/>
        <v>2300</v>
      </c>
      <c r="AM34" s="116">
        <f t="shared" si="9"/>
        <v>2300</v>
      </c>
      <c r="AN34" s="116">
        <f t="shared" si="3"/>
        <v>2300</v>
      </c>
      <c r="AO34" s="116">
        <f t="shared" si="3"/>
        <v>2300</v>
      </c>
      <c r="AP34" s="115"/>
    </row>
    <row r="35" spans="2:42" ht="23">
      <c r="D35" s="136" t="s">
        <v>56</v>
      </c>
      <c r="E35" s="54">
        <v>131.05893247125746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147.23244737670356</v>
      </c>
      <c r="AC35" s="96">
        <f t="shared" si="0"/>
        <v>0.11416133648496311</v>
      </c>
      <c r="AD35" s="97">
        <f t="shared" si="1"/>
        <v>53003.681055613284</v>
      </c>
      <c r="AE35" s="97">
        <f t="shared" si="2"/>
        <v>14325.319204219806</v>
      </c>
      <c r="AF35" s="116">
        <f t="shared" si="5"/>
        <v>4622.0493150684924</v>
      </c>
      <c r="AG35" s="116">
        <f t="shared" si="10"/>
        <v>9703.2698891513137</v>
      </c>
      <c r="AH35" s="116">
        <f t="shared" si="6"/>
        <v>9703.2698891513137</v>
      </c>
      <c r="AI35" s="116">
        <f t="shared" si="7"/>
        <v>9703.2698891513137</v>
      </c>
      <c r="AJ35" s="116">
        <f t="shared" si="11"/>
        <v>2300</v>
      </c>
      <c r="AK35" s="116">
        <f t="shared" si="8"/>
        <v>2300</v>
      </c>
      <c r="AL35" s="116">
        <f t="shared" si="8"/>
        <v>2300</v>
      </c>
      <c r="AM35" s="116">
        <f t="shared" si="9"/>
        <v>2300</v>
      </c>
      <c r="AN35" s="116">
        <f t="shared" si="3"/>
        <v>2300</v>
      </c>
      <c r="AO35" s="116">
        <f t="shared" si="3"/>
        <v>2300</v>
      </c>
      <c r="AP35" s="115"/>
    </row>
    <row r="36" spans="2:42" ht="23">
      <c r="D36" s="136" t="s">
        <v>57</v>
      </c>
      <c r="E36" s="54">
        <v>86.25794510442752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132.41529847960911</v>
      </c>
      <c r="AC36" s="96">
        <f t="shared" si="0"/>
        <v>0.10267239127534451</v>
      </c>
      <c r="AD36" s="97">
        <f t="shared" si="1"/>
        <v>47669.507452659273</v>
      </c>
      <c r="AE36" s="97">
        <f t="shared" si="2"/>
        <v>12883.650662880884</v>
      </c>
      <c r="AF36" s="116">
        <f t="shared" si="5"/>
        <v>4622.0493150684924</v>
      </c>
      <c r="AG36" s="116">
        <f t="shared" si="10"/>
        <v>8261.6013478123914</v>
      </c>
      <c r="AH36" s="116">
        <f t="shared" si="6"/>
        <v>8261.6013478123914</v>
      </c>
      <c r="AI36" s="116">
        <f t="shared" si="7"/>
        <v>8261.6013478123914</v>
      </c>
      <c r="AJ36" s="116">
        <f t="shared" si="11"/>
        <v>2300</v>
      </c>
      <c r="AK36" s="116">
        <f t="shared" si="8"/>
        <v>2300</v>
      </c>
      <c r="AL36" s="116">
        <f t="shared" si="8"/>
        <v>2300</v>
      </c>
      <c r="AM36" s="116">
        <f t="shared" si="9"/>
        <v>2300</v>
      </c>
      <c r="AN36" s="116">
        <f t="shared" si="9"/>
        <v>2300</v>
      </c>
      <c r="AO36" s="116">
        <f t="shared" si="9"/>
        <v>2300</v>
      </c>
      <c r="AP36" s="115"/>
    </row>
    <row r="37" spans="2:42" ht="23">
      <c r="D37" s="136" t="s">
        <v>58</v>
      </c>
      <c r="E37" s="54">
        <v>57.39394050707903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136.20503872741631</v>
      </c>
      <c r="AC37" s="96">
        <f t="shared" si="0"/>
        <v>0.10561088628326613</v>
      </c>
      <c r="AD37" s="97">
        <f t="shared" si="1"/>
        <v>49033.81394186987</v>
      </c>
      <c r="AE37" s="97">
        <f t="shared" si="2"/>
        <v>13252.382146451315</v>
      </c>
      <c r="AF37" s="116">
        <f t="shared" si="5"/>
        <v>4622.0493150684924</v>
      </c>
      <c r="AG37" s="116">
        <f t="shared" si="10"/>
        <v>8630.3328313828224</v>
      </c>
      <c r="AH37" s="116">
        <f t="shared" si="6"/>
        <v>8630.3328313828224</v>
      </c>
      <c r="AI37" s="116">
        <f t="shared" si="7"/>
        <v>8630.3328313828224</v>
      </c>
      <c r="AJ37" s="116">
        <f t="shared" si="11"/>
        <v>2300</v>
      </c>
      <c r="AK37" s="116">
        <f t="shared" si="11"/>
        <v>2300</v>
      </c>
      <c r="AL37" s="116">
        <f t="shared" si="11"/>
        <v>2300</v>
      </c>
      <c r="AM37" s="116">
        <f t="shared" si="9"/>
        <v>2300</v>
      </c>
      <c r="AN37" s="116">
        <f t="shared" si="9"/>
        <v>2300</v>
      </c>
      <c r="AO37" s="116">
        <f t="shared" si="9"/>
        <v>2300</v>
      </c>
      <c r="AP37" s="115"/>
    </row>
    <row r="38" spans="2:42" ht="23">
      <c r="D38" s="136" t="s">
        <v>59</v>
      </c>
      <c r="E38" s="54">
        <v>62.34311669685421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147.61494744076685</v>
      </c>
      <c r="AC38" s="96">
        <f t="shared" si="0"/>
        <v>0.11445792001187634</v>
      </c>
      <c r="AD38" s="97">
        <f t="shared" si="1"/>
        <v>53141.381078676066</v>
      </c>
      <c r="AE38" s="97">
        <f t="shared" si="2"/>
        <v>14362.535426669207</v>
      </c>
      <c r="AF38" s="116">
        <f t="shared" si="5"/>
        <v>4622.0493150684924</v>
      </c>
      <c r="AG38" s="116">
        <f t="shared" si="10"/>
        <v>9740.4861116007141</v>
      </c>
      <c r="AH38" s="116">
        <f t="shared" si="6"/>
        <v>9740.4861116007141</v>
      </c>
      <c r="AI38" s="116">
        <f t="shared" si="7"/>
        <v>9740.4861116007141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136.94975945763551</v>
      </c>
      <c r="AC39" s="96">
        <f t="shared" si="0"/>
        <v>0.10618832906428816</v>
      </c>
      <c r="AD39" s="97">
        <f t="shared" si="1"/>
        <v>49301.913404748782</v>
      </c>
      <c r="AE39" s="97">
        <f t="shared" si="2"/>
        <v>13324.841460742913</v>
      </c>
      <c r="AF39" s="116">
        <f t="shared" si="5"/>
        <v>4622.0493150684924</v>
      </c>
      <c r="AG39" s="116">
        <f t="shared" si="10"/>
        <v>8702.7921456744207</v>
      </c>
      <c r="AH39" s="116">
        <f t="shared" si="6"/>
        <v>8702.7921456744207</v>
      </c>
      <c r="AI39" s="116">
        <f t="shared" si="7"/>
        <v>8702.7921456744207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1289.6874888644672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131.05893247125746</v>
      </c>
      <c r="AC40" s="96">
        <f t="shared" si="0"/>
        <v>0.10162068997556228</v>
      </c>
      <c r="AD40" s="97">
        <f t="shared" si="1"/>
        <v>47181.215689652687</v>
      </c>
      <c r="AE40" s="97">
        <f t="shared" si="2"/>
        <v>12751.679916122348</v>
      </c>
      <c r="AF40" s="116">
        <f t="shared" si="5"/>
        <v>4622.0493150684924</v>
      </c>
      <c r="AG40" s="116">
        <f t="shared" si="10"/>
        <v>8129.6306010538556</v>
      </c>
      <c r="AH40" s="116">
        <f t="shared" si="6"/>
        <v>8129.6306010538556</v>
      </c>
      <c r="AI40" s="116">
        <f t="shared" si="7"/>
        <v>8129.6306010538556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86.25794510442752</v>
      </c>
      <c r="AC41" s="96">
        <f t="shared" si="0"/>
        <v>6.6882826924509572E-2</v>
      </c>
      <c r="AD41" s="97">
        <f t="shared" si="1"/>
        <v>31052.860237593904</v>
      </c>
      <c r="AE41" s="97">
        <f t="shared" si="2"/>
        <v>8392.6649290794339</v>
      </c>
      <c r="AF41" s="116">
        <f t="shared" si="5"/>
        <v>4622.0493150684924</v>
      </c>
      <c r="AG41" s="116">
        <f t="shared" si="10"/>
        <v>3770.6156140109415</v>
      </c>
      <c r="AH41" s="116">
        <f t="shared" si="6"/>
        <v>3770.6156140109415</v>
      </c>
      <c r="AI41" s="116">
        <f t="shared" si="7"/>
        <v>3770.6156140109415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57.39394050707903</v>
      </c>
      <c r="AC42" s="96">
        <f t="shared" si="0"/>
        <v>4.4502207707397969E-2</v>
      </c>
      <c r="AD42" s="97">
        <f t="shared" si="1"/>
        <v>20661.818582548454</v>
      </c>
      <c r="AE42" s="97">
        <f t="shared" si="2"/>
        <v>5584.2752925806626</v>
      </c>
      <c r="AF42" s="116">
        <f t="shared" si="5"/>
        <v>4622.0493150684924</v>
      </c>
      <c r="AG42" s="116">
        <f t="shared" si="10"/>
        <v>962.22597751217018</v>
      </c>
      <c r="AH42" s="116">
        <f t="shared" si="6"/>
        <v>962.22597751217018</v>
      </c>
      <c r="AI42" s="116">
        <f t="shared" si="7"/>
        <v>962.22597751217018</v>
      </c>
      <c r="AJ42" s="116">
        <f t="shared" si="13"/>
        <v>2300</v>
      </c>
      <c r="AK42" s="116">
        <f t="shared" si="13"/>
        <v>2300</v>
      </c>
      <c r="AL42" s="116">
        <f t="shared" si="13"/>
        <v>2300</v>
      </c>
      <c r="AM42" s="116">
        <f t="shared" si="9"/>
        <v>2300</v>
      </c>
      <c r="AN42" s="116">
        <f t="shared" si="9"/>
        <v>2300</v>
      </c>
      <c r="AO42" s="116">
        <f t="shared" si="9"/>
        <v>2300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62.34311669685421</v>
      </c>
      <c r="AC43" s="96">
        <f t="shared" si="0"/>
        <v>4.8339708057294976E-2</v>
      </c>
      <c r="AD43" s="97">
        <f t="shared" si="1"/>
        <v>22443.522010867517</v>
      </c>
      <c r="AE43" s="97">
        <f t="shared" si="2"/>
        <v>6065.8167596939229</v>
      </c>
      <c r="AF43" s="116">
        <f t="shared" si="5"/>
        <v>4622.0493150684924</v>
      </c>
      <c r="AG43" s="116">
        <f t="shared" si="10"/>
        <v>1443.7674446254305</v>
      </c>
      <c r="AH43" s="116">
        <f t="shared" si="6"/>
        <v>1443.7674446254305</v>
      </c>
      <c r="AI43" s="116">
        <f t="shared" si="7"/>
        <v>1443.7674446254305</v>
      </c>
      <c r="AJ43" s="116">
        <f t="shared" si="13"/>
        <v>2300</v>
      </c>
      <c r="AK43" s="116">
        <f t="shared" si="13"/>
        <v>2300</v>
      </c>
      <c r="AL43" s="116">
        <f t="shared" si="13"/>
        <v>2300</v>
      </c>
      <c r="AM43" s="116">
        <f t="shared" si="9"/>
        <v>2300</v>
      </c>
      <c r="AN43" s="116">
        <f t="shared" si="9"/>
        <v>2300</v>
      </c>
      <c r="AO43" s="116">
        <f t="shared" si="9"/>
        <v>2300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124.99999999999997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2000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6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5.9666666666666668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6.4195129375951288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154.06831050228308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4622.0493150684924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56273.450410958896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23.752197869101977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570.05274885844744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17101.582465753421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208211.76652054791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358.28263333349145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14.928443055562143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C3F-7128-E64E-8C3E-FBC695EF5578}">
  <dimension ref="B1:AQ119"/>
  <sheetViews>
    <sheetView topLeftCell="K40" workbookViewId="0">
      <selection activeCell="E20" sqref="E20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178</v>
      </c>
    </row>
    <row r="13" spans="2:43" s="109" customFormat="1" ht="31" thickTop="1" thickBot="1">
      <c r="B13" s="104" t="s">
        <v>179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250</v>
      </c>
      <c r="F19" s="137" t="s">
        <v>1</v>
      </c>
      <c r="N19" s="136" t="s">
        <v>28</v>
      </c>
      <c r="O19" s="138">
        <f>E18*E19</f>
        <v>1250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88</v>
      </c>
      <c r="F20" s="137" t="s">
        <v>9</v>
      </c>
      <c r="N20" s="136" t="s">
        <v>44</v>
      </c>
      <c r="O20" s="138">
        <f>E20*200*1000/10000</f>
        <v>1760</v>
      </c>
      <c r="P20" s="137" t="s">
        <v>17</v>
      </c>
      <c r="AA20" s="176">
        <v>43861</v>
      </c>
      <c r="AB20" s="95">
        <f>E27</f>
        <v>16.349472454801759</v>
      </c>
      <c r="AC20" s="96">
        <f t="shared" ref="AC20:AC43" si="0">AB20/E$40</f>
        <v>2.248752344320782E-2</v>
      </c>
      <c r="AD20" s="97">
        <f t="shared" ref="AD20:AD43" si="1">O$19*AB20*E$67*E$46</f>
        <v>11771.620167457268</v>
      </c>
      <c r="AE20" s="97">
        <f t="shared" ref="AE20:AE43" si="2">AD20/E$73</f>
        <v>3181.5189641776396</v>
      </c>
      <c r="AF20" s="116">
        <f>J$93</f>
        <v>4622.0493150684924</v>
      </c>
      <c r="AG20" s="116">
        <f>AE20-AF20</f>
        <v>-1440.5303508908528</v>
      </c>
      <c r="AH20" s="116">
        <f>(AE20) * (1-E$113/100) - AH$15-AF20</f>
        <v>-1440.5303508908528</v>
      </c>
      <c r="AI20" s="116">
        <f>(AE20) * (1+E$113/100) -AH$15 -AF20</f>
        <v>-1440.5303508908528</v>
      </c>
      <c r="AJ20" s="116">
        <f>IF($E$75+AG20 &lt; $E$74,$E$75+AG20, $E$74)</f>
        <v>559.46964910914721</v>
      </c>
      <c r="AK20" s="116">
        <f>IF($E$75+AH20 &lt; $E$74,$E$75+AH20, $E$74)</f>
        <v>559.46964910914721</v>
      </c>
      <c r="AL20" s="116">
        <f>IF($E$75+AI20 &lt; $E$74,$E$75+AI20, $E$74)</f>
        <v>559.46964910914721</v>
      </c>
      <c r="AM20" s="116">
        <f>IF(AJ20&gt;0,AJ20,0)</f>
        <v>559.46964910914721</v>
      </c>
      <c r="AN20" s="116">
        <f t="shared" ref="AN20:AO35" si="3">IF(AK20&gt;0,AK20,0)</f>
        <v>559.46964910914721</v>
      </c>
      <c r="AO20" s="116">
        <f>IF(AL20&gt;0,AL20,0)</f>
        <v>559.46964910914721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26.595783845670137</v>
      </c>
      <c r="AC21" s="96">
        <f t="shared" si="0"/>
        <v>3.658058780632667E-2</v>
      </c>
      <c r="AD21" s="97">
        <f t="shared" si="1"/>
        <v>19148.964368882498</v>
      </c>
      <c r="AE21" s="97">
        <f t="shared" si="2"/>
        <v>5175.3957753736477</v>
      </c>
      <c r="AF21" s="116">
        <f t="shared" ref="AF21:AF43" si="5">J$93</f>
        <v>4622.0493150684924</v>
      </c>
      <c r="AG21" s="116">
        <f>AE21-AF21</f>
        <v>553.34646030515523</v>
      </c>
      <c r="AH21" s="116">
        <f t="shared" ref="AH21:AH43" si="6">(AE21) * (1-E$113/100) - AH$15-AF21</f>
        <v>553.34646030515523</v>
      </c>
      <c r="AI21" s="116">
        <f t="shared" ref="AI21:AI43" si="7">(AE21) * (1+E$113/100) -AH$15 -AF21</f>
        <v>553.34646030515523</v>
      </c>
      <c r="AJ21" s="116">
        <f>IF(AJ20+AG21 &lt; $E$74,AJ20+AG21, $E$74)</f>
        <v>1112.8161094143024</v>
      </c>
      <c r="AK21" s="116">
        <f t="shared" ref="AK21:AL36" si="8">IF(AK20+AH21 &lt; $E$74,AK20+AH21, $E$74)</f>
        <v>1112.8161094143024</v>
      </c>
      <c r="AL21" s="116">
        <f t="shared" si="8"/>
        <v>1112.8161094143024</v>
      </c>
      <c r="AM21" s="116">
        <f t="shared" ref="AM21:AO43" si="9">IF(AJ21&gt;0,AJ21,0)</f>
        <v>1112.8161094143024</v>
      </c>
      <c r="AN21" s="116">
        <f t="shared" si="3"/>
        <v>1112.8161094143024</v>
      </c>
      <c r="AO21" s="116">
        <f t="shared" si="3"/>
        <v>1112.8161094143024</v>
      </c>
    </row>
    <row r="22" spans="2:42" ht="22" thickTop="1">
      <c r="AA22" s="176">
        <v>43921</v>
      </c>
      <c r="AB22" s="95">
        <f t="shared" si="4"/>
        <v>73.821087894278648</v>
      </c>
      <c r="AC22" s="96">
        <f t="shared" si="0"/>
        <v>0.10153559689555283</v>
      </c>
      <c r="AD22" s="97">
        <f t="shared" si="1"/>
        <v>53151.183283880629</v>
      </c>
      <c r="AE22" s="97">
        <f t="shared" si="2"/>
        <v>14365.184671319088</v>
      </c>
      <c r="AF22" s="116">
        <f t="shared" si="5"/>
        <v>4622.0493150684924</v>
      </c>
      <c r="AG22" s="116">
        <f t="shared" ref="AG22:AG43" si="10">AE22-AF22</f>
        <v>9743.1353562505956</v>
      </c>
      <c r="AH22" s="116">
        <f t="shared" si="6"/>
        <v>9743.1353562505956</v>
      </c>
      <c r="AI22" s="116">
        <f t="shared" si="7"/>
        <v>9743.1353562505956</v>
      </c>
      <c r="AJ22" s="116">
        <f t="shared" ref="AJ22:AL37" si="11">IF(AJ21+AG22 &lt; $E$74,AJ21+AG22, $E$74)</f>
        <v>2300</v>
      </c>
      <c r="AK22" s="116">
        <f t="shared" si="8"/>
        <v>2300</v>
      </c>
      <c r="AL22" s="116">
        <f t="shared" si="8"/>
        <v>2300</v>
      </c>
      <c r="AM22" s="116">
        <f t="shared" si="9"/>
        <v>2300</v>
      </c>
      <c r="AN22" s="116">
        <f t="shared" si="3"/>
        <v>2300</v>
      </c>
      <c r="AO22" s="116">
        <f t="shared" si="3"/>
        <v>2300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80.199743810826135</v>
      </c>
      <c r="AC23" s="96">
        <f t="shared" si="0"/>
        <v>0.11030897933073901</v>
      </c>
      <c r="AD23" s="97">
        <f t="shared" si="1"/>
        <v>57743.815543794823</v>
      </c>
      <c r="AE23" s="97">
        <f t="shared" si="2"/>
        <v>15606.436633458059</v>
      </c>
      <c r="AF23" s="116">
        <f t="shared" si="5"/>
        <v>4622.0493150684924</v>
      </c>
      <c r="AG23" s="116">
        <f t="shared" si="10"/>
        <v>10984.387318389567</v>
      </c>
      <c r="AH23" s="116">
        <f t="shared" si="6"/>
        <v>10984.387318389567</v>
      </c>
      <c r="AI23" s="116">
        <f t="shared" si="7"/>
        <v>10984.387318389567</v>
      </c>
      <c r="AJ23" s="116">
        <f t="shared" si="11"/>
        <v>2300</v>
      </c>
      <c r="AK23" s="116">
        <f t="shared" si="8"/>
        <v>2300</v>
      </c>
      <c r="AL23" s="116">
        <f t="shared" si="8"/>
        <v>2300</v>
      </c>
      <c r="AM23" s="116">
        <f t="shared" si="9"/>
        <v>2300</v>
      </c>
      <c r="AN23" s="116">
        <f t="shared" si="3"/>
        <v>2300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91.997858618978299</v>
      </c>
      <c r="AC24" s="96">
        <f t="shared" si="0"/>
        <v>0.12653643768252568</v>
      </c>
      <c r="AD24" s="97">
        <f t="shared" si="1"/>
        <v>66238.45820566437</v>
      </c>
      <c r="AE24" s="97">
        <f t="shared" si="2"/>
        <v>17902.286001530909</v>
      </c>
      <c r="AF24" s="116">
        <f t="shared" si="5"/>
        <v>4622.0493150684924</v>
      </c>
      <c r="AG24" s="116">
        <f t="shared" si="10"/>
        <v>13280.236686462416</v>
      </c>
      <c r="AH24" s="116">
        <f t="shared" si="6"/>
        <v>13280.236686462416</v>
      </c>
      <c r="AI24" s="116">
        <f t="shared" si="7"/>
        <v>13280.236686462416</v>
      </c>
      <c r="AJ24" s="116">
        <f t="shared" si="11"/>
        <v>2300</v>
      </c>
      <c r="AK24" s="116">
        <f t="shared" si="8"/>
        <v>2300</v>
      </c>
      <c r="AL24" s="116">
        <f t="shared" si="8"/>
        <v>2300</v>
      </c>
      <c r="AM24" s="116">
        <f t="shared" si="9"/>
        <v>2300</v>
      </c>
      <c r="AN24" s="116">
        <f t="shared" si="3"/>
        <v>2300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69.567453856476476</v>
      </c>
      <c r="AC25" s="96">
        <f t="shared" si="0"/>
        <v>9.5685029214648235E-2</v>
      </c>
      <c r="AD25" s="97">
        <f t="shared" si="1"/>
        <v>50088.566776663065</v>
      </c>
      <c r="AE25" s="97">
        <f t="shared" si="2"/>
        <v>13537.450480179206</v>
      </c>
      <c r="AF25" s="116">
        <f t="shared" si="5"/>
        <v>4622.0493150684924</v>
      </c>
      <c r="AG25" s="116">
        <f t="shared" si="10"/>
        <v>8915.4011651107139</v>
      </c>
      <c r="AH25" s="116">
        <f t="shared" si="6"/>
        <v>8915.4011651107139</v>
      </c>
      <c r="AI25" s="116">
        <f t="shared" si="7"/>
        <v>8915.4011651107139</v>
      </c>
      <c r="AJ25" s="116">
        <f t="shared" si="11"/>
        <v>2300</v>
      </c>
      <c r="AK25" s="116">
        <f t="shared" si="8"/>
        <v>2300</v>
      </c>
      <c r="AL25" s="116">
        <f t="shared" si="8"/>
        <v>2300</v>
      </c>
      <c r="AM25" s="116">
        <f t="shared" si="9"/>
        <v>2300</v>
      </c>
      <c r="AN25" s="116">
        <f t="shared" si="3"/>
        <v>2300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89.762489677097221</v>
      </c>
      <c r="AC26" s="96">
        <f t="shared" si="0"/>
        <v>0.12346184847949571</v>
      </c>
      <c r="AD26" s="97">
        <f t="shared" si="1"/>
        <v>64628.992567510002</v>
      </c>
      <c r="AE26" s="97">
        <f t="shared" si="2"/>
        <v>17467.295288516216</v>
      </c>
      <c r="AF26" s="116">
        <f t="shared" si="5"/>
        <v>4622.0493150684924</v>
      </c>
      <c r="AG26" s="116">
        <f t="shared" si="10"/>
        <v>12845.245973447723</v>
      </c>
      <c r="AH26" s="116">
        <f t="shared" si="6"/>
        <v>12845.245973447723</v>
      </c>
      <c r="AI26" s="116">
        <f t="shared" si="7"/>
        <v>12845.245973447723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16.349472454801759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102.00309461902724</v>
      </c>
      <c r="AC27" s="96">
        <f t="shared" si="0"/>
        <v>0.14029792018466281</v>
      </c>
      <c r="AD27" s="97">
        <f t="shared" si="1"/>
        <v>73442.228125699607</v>
      </c>
      <c r="AE27" s="97">
        <f t="shared" si="2"/>
        <v>19849.250844783677</v>
      </c>
      <c r="AF27" s="116">
        <f t="shared" si="5"/>
        <v>4622.0493150684924</v>
      </c>
      <c r="AG27" s="116">
        <f t="shared" si="10"/>
        <v>15227.201529715185</v>
      </c>
      <c r="AH27" s="116">
        <f t="shared" si="6"/>
        <v>15227.201529715185</v>
      </c>
      <c r="AI27" s="116">
        <f t="shared" si="7"/>
        <v>15227.201529715185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26.595783845670137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71.282097099590601</v>
      </c>
      <c r="AC28" s="96">
        <f t="shared" si="0"/>
        <v>9.8043397671664867E-2</v>
      </c>
      <c r="AD28" s="97">
        <f t="shared" si="1"/>
        <v>51323.109911705236</v>
      </c>
      <c r="AE28" s="97">
        <f t="shared" si="2"/>
        <v>13871.11078694736</v>
      </c>
      <c r="AF28" s="116">
        <f t="shared" si="5"/>
        <v>4622.0493150684924</v>
      </c>
      <c r="AG28" s="116">
        <f t="shared" si="10"/>
        <v>9249.0614718788675</v>
      </c>
      <c r="AH28" s="116">
        <f t="shared" si="6"/>
        <v>9249.0614718788675</v>
      </c>
      <c r="AI28" s="116">
        <f t="shared" si="7"/>
        <v>9249.0614718788675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73.821087894278648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52.288552620583509</v>
      </c>
      <c r="AC29" s="96">
        <f t="shared" si="0"/>
        <v>7.1919143331223442E-2</v>
      </c>
      <c r="AD29" s="97">
        <f t="shared" si="1"/>
        <v>37647.757886820131</v>
      </c>
      <c r="AE29" s="97">
        <f t="shared" si="2"/>
        <v>10175.069699140575</v>
      </c>
      <c r="AF29" s="116">
        <f t="shared" si="5"/>
        <v>4622.0493150684924</v>
      </c>
      <c r="AG29" s="116">
        <f t="shared" si="10"/>
        <v>5553.0203840720824</v>
      </c>
      <c r="AH29" s="116">
        <f t="shared" si="6"/>
        <v>5553.0203840720824</v>
      </c>
      <c r="AI29" s="116">
        <f t="shared" si="7"/>
        <v>5553.0203840720824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80.199743810826135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30.182131610277629</v>
      </c>
      <c r="AC30" s="96">
        <f t="shared" si="0"/>
        <v>4.1513351212305621E-2</v>
      </c>
      <c r="AD30" s="97">
        <f t="shared" si="1"/>
        <v>21731.134759399891</v>
      </c>
      <c r="AE30" s="97">
        <f t="shared" si="2"/>
        <v>5873.2796647026726</v>
      </c>
      <c r="AF30" s="116">
        <f t="shared" si="5"/>
        <v>4622.0493150684924</v>
      </c>
      <c r="AG30" s="116">
        <f t="shared" si="10"/>
        <v>1251.2303496341801</v>
      </c>
      <c r="AH30" s="116">
        <f t="shared" si="6"/>
        <v>1251.2303496341801</v>
      </c>
      <c r="AI30" s="116">
        <f t="shared" si="7"/>
        <v>1251.2303496341801</v>
      </c>
      <c r="AJ30" s="116">
        <f t="shared" si="11"/>
        <v>2300</v>
      </c>
      <c r="AK30" s="116">
        <f t="shared" si="8"/>
        <v>2300</v>
      </c>
      <c r="AL30" s="116">
        <f t="shared" si="8"/>
        <v>2300</v>
      </c>
      <c r="AM30" s="116">
        <f t="shared" si="9"/>
        <v>2300</v>
      </c>
      <c r="AN30" s="116">
        <f t="shared" si="3"/>
        <v>2300</v>
      </c>
      <c r="AO30" s="116">
        <f>IF(AL30&gt;0,AL30,0)</f>
        <v>2300</v>
      </c>
      <c r="AP30" s="115"/>
    </row>
    <row r="31" spans="2:42" ht="23">
      <c r="D31" s="136" t="s">
        <v>52</v>
      </c>
      <c r="E31" s="54">
        <v>91.997858618978299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22.996611235469199</v>
      </c>
      <c r="AC31" s="96">
        <f t="shared" si="0"/>
        <v>3.1630184747647283E-2</v>
      </c>
      <c r="AD31" s="97">
        <f t="shared" si="1"/>
        <v>16557.560089537823</v>
      </c>
      <c r="AE31" s="97">
        <f t="shared" si="2"/>
        <v>4475.0162404156272</v>
      </c>
      <c r="AF31" s="116">
        <f t="shared" si="5"/>
        <v>4622.0493150684924</v>
      </c>
      <c r="AG31" s="116">
        <f t="shared" si="10"/>
        <v>-147.03307465286525</v>
      </c>
      <c r="AH31" s="116">
        <f t="shared" si="6"/>
        <v>-147.03307465286525</v>
      </c>
      <c r="AI31" s="116">
        <f t="shared" si="7"/>
        <v>-147.03307465286525</v>
      </c>
      <c r="AJ31" s="116">
        <f t="shared" si="11"/>
        <v>2152.9669253471347</v>
      </c>
      <c r="AK31" s="116">
        <f t="shared" si="8"/>
        <v>2152.9669253471347</v>
      </c>
      <c r="AL31" s="116">
        <f t="shared" si="8"/>
        <v>2152.9669253471347</v>
      </c>
      <c r="AM31" s="116">
        <f t="shared" si="9"/>
        <v>2152.9669253471347</v>
      </c>
      <c r="AN31" s="116">
        <f t="shared" si="3"/>
        <v>2152.9669253471347</v>
      </c>
      <c r="AO31" s="116">
        <f t="shared" si="3"/>
        <v>2152.9669253471347</v>
      </c>
      <c r="AP31" s="115"/>
    </row>
    <row r="32" spans="2:42" ht="23">
      <c r="D32" s="136" t="s">
        <v>53</v>
      </c>
      <c r="E32" s="54">
        <v>69.567453856476476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16.349472454801759</v>
      </c>
      <c r="AC32" s="96">
        <f t="shared" si="0"/>
        <v>2.248752344320782E-2</v>
      </c>
      <c r="AD32" s="97">
        <f t="shared" si="1"/>
        <v>11771.620167457268</v>
      </c>
      <c r="AE32" s="97">
        <f t="shared" si="2"/>
        <v>3181.5189641776396</v>
      </c>
      <c r="AF32" s="116">
        <f t="shared" si="5"/>
        <v>4622.0493150684924</v>
      </c>
      <c r="AG32" s="116">
        <f t="shared" si="10"/>
        <v>-1440.5303508908528</v>
      </c>
      <c r="AH32" s="116">
        <f t="shared" si="6"/>
        <v>-1440.5303508908528</v>
      </c>
      <c r="AI32" s="116">
        <f t="shared" si="7"/>
        <v>-1440.5303508908528</v>
      </c>
      <c r="AJ32" s="116">
        <f t="shared" si="11"/>
        <v>712.43657445628196</v>
      </c>
      <c r="AK32" s="116">
        <f t="shared" si="8"/>
        <v>712.43657445628196</v>
      </c>
      <c r="AL32" s="116">
        <f t="shared" si="8"/>
        <v>712.43657445628196</v>
      </c>
      <c r="AM32" s="116">
        <f t="shared" si="9"/>
        <v>712.43657445628196</v>
      </c>
      <c r="AN32" s="116">
        <f t="shared" si="3"/>
        <v>712.43657445628196</v>
      </c>
      <c r="AO32" s="116">
        <f t="shared" si="3"/>
        <v>712.43657445628196</v>
      </c>
      <c r="AP32" s="115"/>
    </row>
    <row r="33" spans="2:42" ht="23">
      <c r="D33" s="136" t="s">
        <v>54</v>
      </c>
      <c r="E33" s="54">
        <v>89.762489677097221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26.595783845670137</v>
      </c>
      <c r="AC33" s="96">
        <f t="shared" si="0"/>
        <v>3.658058780632667E-2</v>
      </c>
      <c r="AD33" s="97">
        <f t="shared" si="1"/>
        <v>19148.964368882498</v>
      </c>
      <c r="AE33" s="97">
        <f t="shared" si="2"/>
        <v>5175.3957753736477</v>
      </c>
      <c r="AF33" s="116">
        <f t="shared" si="5"/>
        <v>4622.0493150684924</v>
      </c>
      <c r="AG33" s="116">
        <f t="shared" si="10"/>
        <v>553.34646030515523</v>
      </c>
      <c r="AH33" s="116">
        <f t="shared" si="6"/>
        <v>553.34646030515523</v>
      </c>
      <c r="AI33" s="116">
        <f t="shared" si="7"/>
        <v>553.34646030515523</v>
      </c>
      <c r="AJ33" s="116">
        <f t="shared" si="11"/>
        <v>1265.7830347614372</v>
      </c>
      <c r="AK33" s="116">
        <f t="shared" si="8"/>
        <v>1265.7830347614372</v>
      </c>
      <c r="AL33" s="116">
        <f t="shared" si="8"/>
        <v>1265.7830347614372</v>
      </c>
      <c r="AM33" s="116">
        <f t="shared" si="9"/>
        <v>1265.7830347614372</v>
      </c>
      <c r="AN33" s="116">
        <f t="shared" si="3"/>
        <v>1265.7830347614372</v>
      </c>
      <c r="AO33" s="116">
        <f t="shared" si="3"/>
        <v>1265.7830347614372</v>
      </c>
      <c r="AP33" s="115"/>
    </row>
    <row r="34" spans="2:42" ht="23">
      <c r="D34" s="136" t="s">
        <v>55</v>
      </c>
      <c r="E34" s="54">
        <v>102.00309461902724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73.821087894278648</v>
      </c>
      <c r="AC34" s="96">
        <f t="shared" si="0"/>
        <v>0.10153559689555283</v>
      </c>
      <c r="AD34" s="97">
        <f t="shared" si="1"/>
        <v>53151.183283880629</v>
      </c>
      <c r="AE34" s="97">
        <f t="shared" si="2"/>
        <v>14365.184671319088</v>
      </c>
      <c r="AF34" s="116">
        <f t="shared" si="5"/>
        <v>4622.0493150684924</v>
      </c>
      <c r="AG34" s="116">
        <f t="shared" si="10"/>
        <v>9743.1353562505956</v>
      </c>
      <c r="AH34" s="116">
        <f t="shared" si="6"/>
        <v>9743.1353562505956</v>
      </c>
      <c r="AI34" s="116">
        <f t="shared" si="7"/>
        <v>9743.1353562505956</v>
      </c>
      <c r="AJ34" s="116">
        <f t="shared" si="11"/>
        <v>2300</v>
      </c>
      <c r="AK34" s="116">
        <f t="shared" si="8"/>
        <v>2300</v>
      </c>
      <c r="AL34" s="116">
        <f t="shared" si="8"/>
        <v>2300</v>
      </c>
      <c r="AM34" s="116">
        <f t="shared" si="9"/>
        <v>2300</v>
      </c>
      <c r="AN34" s="116">
        <f t="shared" si="3"/>
        <v>2300</v>
      </c>
      <c r="AO34" s="116">
        <f t="shared" si="3"/>
        <v>2300</v>
      </c>
      <c r="AP34" s="115"/>
    </row>
    <row r="35" spans="2:42" ht="23">
      <c r="D35" s="136" t="s">
        <v>56</v>
      </c>
      <c r="E35" s="54">
        <v>71.282097099590601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80.199743810826135</v>
      </c>
      <c r="AC35" s="96">
        <f t="shared" si="0"/>
        <v>0.11030897933073901</v>
      </c>
      <c r="AD35" s="97">
        <f t="shared" si="1"/>
        <v>57743.815543794823</v>
      </c>
      <c r="AE35" s="97">
        <f t="shared" si="2"/>
        <v>15606.436633458059</v>
      </c>
      <c r="AF35" s="116">
        <f t="shared" si="5"/>
        <v>4622.0493150684924</v>
      </c>
      <c r="AG35" s="116">
        <f t="shared" si="10"/>
        <v>10984.387318389567</v>
      </c>
      <c r="AH35" s="116">
        <f t="shared" si="6"/>
        <v>10984.387318389567</v>
      </c>
      <c r="AI35" s="116">
        <f t="shared" si="7"/>
        <v>10984.387318389567</v>
      </c>
      <c r="AJ35" s="116">
        <f t="shared" si="11"/>
        <v>2300</v>
      </c>
      <c r="AK35" s="116">
        <f t="shared" si="8"/>
        <v>2300</v>
      </c>
      <c r="AL35" s="116">
        <f t="shared" si="8"/>
        <v>2300</v>
      </c>
      <c r="AM35" s="116">
        <f t="shared" si="9"/>
        <v>2300</v>
      </c>
      <c r="AN35" s="116">
        <f t="shared" si="3"/>
        <v>2300</v>
      </c>
      <c r="AO35" s="116">
        <f t="shared" si="3"/>
        <v>2300</v>
      </c>
      <c r="AP35" s="115"/>
    </row>
    <row r="36" spans="2:42" ht="23">
      <c r="D36" s="136" t="s">
        <v>57</v>
      </c>
      <c r="E36" s="54">
        <v>52.288552620583509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91.997858618978299</v>
      </c>
      <c r="AC36" s="96">
        <f t="shared" si="0"/>
        <v>0.12653643768252568</v>
      </c>
      <c r="AD36" s="97">
        <f t="shared" si="1"/>
        <v>66238.45820566437</v>
      </c>
      <c r="AE36" s="97">
        <f t="shared" si="2"/>
        <v>17902.286001530909</v>
      </c>
      <c r="AF36" s="116">
        <f t="shared" si="5"/>
        <v>4622.0493150684924</v>
      </c>
      <c r="AG36" s="116">
        <f t="shared" si="10"/>
        <v>13280.236686462416</v>
      </c>
      <c r="AH36" s="116">
        <f t="shared" si="6"/>
        <v>13280.236686462416</v>
      </c>
      <c r="AI36" s="116">
        <f t="shared" si="7"/>
        <v>13280.236686462416</v>
      </c>
      <c r="AJ36" s="116">
        <f t="shared" si="11"/>
        <v>2300</v>
      </c>
      <c r="AK36" s="116">
        <f t="shared" si="8"/>
        <v>2300</v>
      </c>
      <c r="AL36" s="116">
        <f t="shared" si="8"/>
        <v>2300</v>
      </c>
      <c r="AM36" s="116">
        <f t="shared" si="9"/>
        <v>2300</v>
      </c>
      <c r="AN36" s="116">
        <f t="shared" si="9"/>
        <v>2300</v>
      </c>
      <c r="AO36" s="116">
        <f t="shared" si="9"/>
        <v>2300</v>
      </c>
      <c r="AP36" s="115"/>
    </row>
    <row r="37" spans="2:42" ht="23">
      <c r="D37" s="136" t="s">
        <v>58</v>
      </c>
      <c r="E37" s="54">
        <v>30.182131610277629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69.567453856476476</v>
      </c>
      <c r="AC37" s="96">
        <f t="shared" si="0"/>
        <v>9.5685029214648235E-2</v>
      </c>
      <c r="AD37" s="97">
        <f t="shared" si="1"/>
        <v>50088.566776663065</v>
      </c>
      <c r="AE37" s="97">
        <f t="shared" si="2"/>
        <v>13537.450480179206</v>
      </c>
      <c r="AF37" s="116">
        <f t="shared" si="5"/>
        <v>4622.0493150684924</v>
      </c>
      <c r="AG37" s="116">
        <f t="shared" si="10"/>
        <v>8915.4011651107139</v>
      </c>
      <c r="AH37" s="116">
        <f t="shared" si="6"/>
        <v>8915.4011651107139</v>
      </c>
      <c r="AI37" s="116">
        <f t="shared" si="7"/>
        <v>8915.4011651107139</v>
      </c>
      <c r="AJ37" s="116">
        <f t="shared" si="11"/>
        <v>2300</v>
      </c>
      <c r="AK37" s="116">
        <f t="shared" si="11"/>
        <v>2300</v>
      </c>
      <c r="AL37" s="116">
        <f t="shared" si="11"/>
        <v>2300</v>
      </c>
      <c r="AM37" s="116">
        <f t="shared" si="9"/>
        <v>2300</v>
      </c>
      <c r="AN37" s="116">
        <f t="shared" si="9"/>
        <v>2300</v>
      </c>
      <c r="AO37" s="116">
        <f t="shared" si="9"/>
        <v>2300</v>
      </c>
      <c r="AP37" s="115"/>
    </row>
    <row r="38" spans="2:42" ht="23">
      <c r="D38" s="136" t="s">
        <v>59</v>
      </c>
      <c r="E38" s="54">
        <v>22.996611235469199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89.762489677097221</v>
      </c>
      <c r="AC38" s="96">
        <f t="shared" si="0"/>
        <v>0.12346184847949571</v>
      </c>
      <c r="AD38" s="97">
        <f t="shared" si="1"/>
        <v>64628.992567510002</v>
      </c>
      <c r="AE38" s="97">
        <f t="shared" si="2"/>
        <v>17467.295288516216</v>
      </c>
      <c r="AF38" s="116">
        <f t="shared" si="5"/>
        <v>4622.0493150684924</v>
      </c>
      <c r="AG38" s="116">
        <f t="shared" si="10"/>
        <v>12845.245973447723</v>
      </c>
      <c r="AH38" s="116">
        <f t="shared" si="6"/>
        <v>12845.245973447723</v>
      </c>
      <c r="AI38" s="116">
        <f t="shared" si="7"/>
        <v>12845.245973447723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102.00309461902724</v>
      </c>
      <c r="AC39" s="96">
        <f t="shared" si="0"/>
        <v>0.14029792018466281</v>
      </c>
      <c r="AD39" s="97">
        <f t="shared" si="1"/>
        <v>73442.228125699607</v>
      </c>
      <c r="AE39" s="97">
        <f t="shared" si="2"/>
        <v>19849.250844783677</v>
      </c>
      <c r="AF39" s="116">
        <f t="shared" si="5"/>
        <v>4622.0493150684924</v>
      </c>
      <c r="AG39" s="116">
        <f t="shared" si="10"/>
        <v>15227.201529715185</v>
      </c>
      <c r="AH39" s="116">
        <f t="shared" si="6"/>
        <v>15227.201529715185</v>
      </c>
      <c r="AI39" s="116">
        <f t="shared" si="7"/>
        <v>15227.201529715185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727.04637734307687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71.282097099590601</v>
      </c>
      <c r="AC40" s="96">
        <f t="shared" si="0"/>
        <v>9.8043397671664867E-2</v>
      </c>
      <c r="AD40" s="97">
        <f t="shared" si="1"/>
        <v>51323.109911705236</v>
      </c>
      <c r="AE40" s="97">
        <f t="shared" si="2"/>
        <v>13871.11078694736</v>
      </c>
      <c r="AF40" s="116">
        <f t="shared" si="5"/>
        <v>4622.0493150684924</v>
      </c>
      <c r="AG40" s="116">
        <f t="shared" si="10"/>
        <v>9249.0614718788675</v>
      </c>
      <c r="AH40" s="116">
        <f t="shared" si="6"/>
        <v>9249.0614718788675</v>
      </c>
      <c r="AI40" s="116">
        <f t="shared" si="7"/>
        <v>9249.0614718788675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52.288552620583509</v>
      </c>
      <c r="AC41" s="96">
        <f t="shared" si="0"/>
        <v>7.1919143331223442E-2</v>
      </c>
      <c r="AD41" s="97">
        <f t="shared" si="1"/>
        <v>37647.757886820131</v>
      </c>
      <c r="AE41" s="97">
        <f t="shared" si="2"/>
        <v>10175.069699140575</v>
      </c>
      <c r="AF41" s="116">
        <f t="shared" si="5"/>
        <v>4622.0493150684924</v>
      </c>
      <c r="AG41" s="116">
        <f t="shared" si="10"/>
        <v>5553.0203840720824</v>
      </c>
      <c r="AH41" s="116">
        <f t="shared" si="6"/>
        <v>5553.0203840720824</v>
      </c>
      <c r="AI41" s="116">
        <f t="shared" si="7"/>
        <v>5553.0203840720824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30.182131610277629</v>
      </c>
      <c r="AC42" s="96">
        <f t="shared" si="0"/>
        <v>4.1513351212305621E-2</v>
      </c>
      <c r="AD42" s="97">
        <f t="shared" si="1"/>
        <v>21731.134759399891</v>
      </c>
      <c r="AE42" s="97">
        <f t="shared" si="2"/>
        <v>5873.2796647026726</v>
      </c>
      <c r="AF42" s="116">
        <f t="shared" si="5"/>
        <v>4622.0493150684924</v>
      </c>
      <c r="AG42" s="116">
        <f t="shared" si="10"/>
        <v>1251.2303496341801</v>
      </c>
      <c r="AH42" s="116">
        <f t="shared" si="6"/>
        <v>1251.2303496341801</v>
      </c>
      <c r="AI42" s="116">
        <f t="shared" si="7"/>
        <v>1251.2303496341801</v>
      </c>
      <c r="AJ42" s="116">
        <f t="shared" si="13"/>
        <v>2300</v>
      </c>
      <c r="AK42" s="116">
        <f t="shared" si="13"/>
        <v>2300</v>
      </c>
      <c r="AL42" s="116">
        <f t="shared" si="13"/>
        <v>2300</v>
      </c>
      <c r="AM42" s="116">
        <f t="shared" si="9"/>
        <v>2300</v>
      </c>
      <c r="AN42" s="116">
        <f t="shared" si="9"/>
        <v>2300</v>
      </c>
      <c r="AO42" s="116">
        <f t="shared" si="9"/>
        <v>2300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22.996611235469199</v>
      </c>
      <c r="AC43" s="96">
        <f t="shared" si="0"/>
        <v>3.1630184747647283E-2</v>
      </c>
      <c r="AD43" s="97">
        <f t="shared" si="1"/>
        <v>16557.560089537823</v>
      </c>
      <c r="AE43" s="97">
        <f t="shared" si="2"/>
        <v>4475.0162404156272</v>
      </c>
      <c r="AF43" s="116">
        <f t="shared" si="5"/>
        <v>4622.0493150684924</v>
      </c>
      <c r="AG43" s="116">
        <f t="shared" si="10"/>
        <v>-147.03307465286525</v>
      </c>
      <c r="AH43" s="116">
        <f t="shared" si="6"/>
        <v>-147.03307465286525</v>
      </c>
      <c r="AI43" s="116">
        <f t="shared" si="7"/>
        <v>-147.03307465286525</v>
      </c>
      <c r="AJ43" s="116">
        <f t="shared" si="13"/>
        <v>2152.9669253471347</v>
      </c>
      <c r="AK43" s="116">
        <f t="shared" si="13"/>
        <v>2152.9669253471347</v>
      </c>
      <c r="AL43" s="116">
        <f t="shared" si="13"/>
        <v>2152.9669253471347</v>
      </c>
      <c r="AM43" s="116">
        <f t="shared" si="9"/>
        <v>2152.9669253471347</v>
      </c>
      <c r="AN43" s="116">
        <f t="shared" si="9"/>
        <v>2152.9669253471347</v>
      </c>
      <c r="AO43" s="116">
        <f t="shared" si="9"/>
        <v>2152.9669253471347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249.99999999999994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2000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6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5.9666666666666668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6.4195129375951288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154.06831050228308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4622.0493150684924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56273.450410958896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23.752197869101977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570.05274885844744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17101.582465753421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208211.76652054791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358.28263333349145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14.928443055562143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7F5-ECD3-4E40-8EA1-621DA43EB704}">
  <dimension ref="B1:AQ119"/>
  <sheetViews>
    <sheetView tabSelected="1" topLeftCell="A3" workbookViewId="0">
      <selection activeCell="E21" sqref="E21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178</v>
      </c>
    </row>
    <row r="13" spans="2:43" s="109" customFormat="1" ht="31" thickTop="1" thickBot="1">
      <c r="B13" s="104" t="s">
        <v>181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250</v>
      </c>
      <c r="F19" s="137" t="s">
        <v>1</v>
      </c>
      <c r="N19" s="136" t="s">
        <v>28</v>
      </c>
      <c r="O19" s="138">
        <f>E18*E19</f>
        <v>1250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88</v>
      </c>
      <c r="F20" s="137" t="s">
        <v>9</v>
      </c>
      <c r="N20" s="136" t="s">
        <v>44</v>
      </c>
      <c r="O20" s="138">
        <f>E20*200*1000/10000</f>
        <v>1760</v>
      </c>
      <c r="P20" s="137" t="s">
        <v>17</v>
      </c>
      <c r="AA20" s="176">
        <v>43861</v>
      </c>
      <c r="AB20" s="95">
        <f>E27</f>
        <v>34.691466074962044</v>
      </c>
      <c r="AC20" s="96">
        <f t="shared" ref="AC20:AC43" si="0">AB20/E$40</f>
        <v>3.4679021244943382E-2</v>
      </c>
      <c r="AD20" s="97">
        <f t="shared" ref="AD20:AD43" si="1">O$19*AB20*E$67*E$46</f>
        <v>24977.855573972673</v>
      </c>
      <c r="AE20" s="97">
        <f t="shared" ref="AE20:AE43" si="2">AD20/E$73</f>
        <v>6750.7717767493705</v>
      </c>
      <c r="AF20" s="116">
        <f>J$93</f>
        <v>4622.0493150684924</v>
      </c>
      <c r="AG20" s="116">
        <f>AE20-AF20</f>
        <v>2128.722461680878</v>
      </c>
      <c r="AH20" s="116">
        <f>(AE20) * (1-E$113/100) - AH$15-AF20</f>
        <v>-841.61712008884479</v>
      </c>
      <c r="AI20" s="116">
        <f>(AE20) * (1+E$113/100) -AH$15 -AF20</f>
        <v>5099.0620434506</v>
      </c>
      <c r="AJ20" s="116">
        <f>IF($E$75+AG20 &lt; $E$74,$E$75+AG20, $E$74)</f>
        <v>2300</v>
      </c>
      <c r="AK20" s="116">
        <f>IF($E$75+AH20 &lt; $E$74,$E$75+AH20, $E$74)</f>
        <v>1158.3828799111552</v>
      </c>
      <c r="AL20" s="116">
        <f>IF($E$75+AI20 &lt; $E$74,$E$75+AI20, $E$74)</f>
        <v>2300</v>
      </c>
      <c r="AM20" s="116">
        <f>IF(AJ20&gt;0,AJ20,0)</f>
        <v>2300</v>
      </c>
      <c r="AN20" s="116">
        <f t="shared" ref="AN20:AO35" si="3">IF(AK20&gt;0,AK20,0)</f>
        <v>1158.3828799111552</v>
      </c>
      <c r="AO20" s="116">
        <f>IF(AL20&gt;0,AL20,0)</f>
        <v>2300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54.885477430468086</v>
      </c>
      <c r="AC21" s="96">
        <f t="shared" si="0"/>
        <v>5.4865788425810878E-2</v>
      </c>
      <c r="AD21" s="97">
        <f t="shared" si="1"/>
        <v>39517.543749937024</v>
      </c>
      <c r="AE21" s="97">
        <f t="shared" si="2"/>
        <v>10680.417229712708</v>
      </c>
      <c r="AF21" s="116">
        <f t="shared" ref="AF21:AF43" si="5">J$93</f>
        <v>4622.0493150684924</v>
      </c>
      <c r="AG21" s="116">
        <f>AE21-AF21</f>
        <v>6058.3679146442155</v>
      </c>
      <c r="AH21" s="116">
        <f t="shared" ref="AH21:AH43" si="6">(AE21) * (1-E$113/100) - AH$15-AF21</f>
        <v>1358.9843335706246</v>
      </c>
      <c r="AI21" s="116">
        <f t="shared" ref="AI21:AI43" si="7">(AE21) * (1+E$113/100) -AH$15 -AF21</f>
        <v>10757.751495717806</v>
      </c>
      <c r="AJ21" s="116">
        <f>IF(AJ20+AG21 &lt; $E$74,AJ20+AG21, $E$74)</f>
        <v>2300</v>
      </c>
      <c r="AK21" s="116">
        <f t="shared" ref="AK21:AL36" si="8">IF(AK20+AH21 &lt; $E$74,AK20+AH21, $E$74)</f>
        <v>2300</v>
      </c>
      <c r="AL21" s="116">
        <f t="shared" si="8"/>
        <v>2300</v>
      </c>
      <c r="AM21" s="116">
        <f t="shared" ref="AM21:AO43" si="9">IF(AJ21&gt;0,AJ21,0)</f>
        <v>2300</v>
      </c>
      <c r="AN21" s="116">
        <f t="shared" si="3"/>
        <v>2300</v>
      </c>
      <c r="AO21" s="116">
        <f t="shared" si="3"/>
        <v>2300</v>
      </c>
    </row>
    <row r="22" spans="2:42" ht="22" thickTop="1">
      <c r="AA22" s="176">
        <v>43921</v>
      </c>
      <c r="AB22" s="95">
        <f t="shared" si="4"/>
        <v>92.633800017805129</v>
      </c>
      <c r="AC22" s="96">
        <f t="shared" si="0"/>
        <v>9.2600569600482519E-2</v>
      </c>
      <c r="AD22" s="97">
        <f t="shared" si="1"/>
        <v>66696.336012819695</v>
      </c>
      <c r="AE22" s="97">
        <f t="shared" si="2"/>
        <v>18026.036760221537</v>
      </c>
      <c r="AF22" s="116">
        <f t="shared" si="5"/>
        <v>4622.0493150684924</v>
      </c>
      <c r="AG22" s="116">
        <f t="shared" ref="AG22:AG43" si="10">AE22-AF22</f>
        <v>13403.987445153045</v>
      </c>
      <c r="AH22" s="116">
        <f t="shared" si="6"/>
        <v>5472.5312706555687</v>
      </c>
      <c r="AI22" s="116">
        <f t="shared" si="7"/>
        <v>21335.443619650519</v>
      </c>
      <c r="AJ22" s="116">
        <f t="shared" ref="AJ22:AL37" si="11">IF(AJ21+AG22 &lt; $E$74,AJ21+AG22, $E$74)</f>
        <v>2300</v>
      </c>
      <c r="AK22" s="116">
        <f t="shared" si="8"/>
        <v>2300</v>
      </c>
      <c r="AL22" s="116">
        <f t="shared" si="8"/>
        <v>2300</v>
      </c>
      <c r="AM22" s="116">
        <f t="shared" si="9"/>
        <v>2300</v>
      </c>
      <c r="AN22" s="116">
        <f t="shared" si="3"/>
        <v>2300</v>
      </c>
      <c r="AO22" s="116">
        <f t="shared" si="3"/>
        <v>2300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111.19307171505132</v>
      </c>
      <c r="AC23" s="96">
        <f t="shared" si="0"/>
        <v>0.11115318355138143</v>
      </c>
      <c r="AD23" s="97">
        <f t="shared" si="1"/>
        <v>80059.011634836934</v>
      </c>
      <c r="AE23" s="97">
        <f t="shared" si="2"/>
        <v>21637.570712118089</v>
      </c>
      <c r="AF23" s="116">
        <f t="shared" si="5"/>
        <v>4622.0493150684924</v>
      </c>
      <c r="AG23" s="116">
        <f t="shared" si="10"/>
        <v>17015.521397049597</v>
      </c>
      <c r="AH23" s="116">
        <f t="shared" si="6"/>
        <v>7494.9902837176396</v>
      </c>
      <c r="AI23" s="116">
        <f t="shared" si="7"/>
        <v>26536.052510381556</v>
      </c>
      <c r="AJ23" s="116">
        <f t="shared" si="11"/>
        <v>2300</v>
      </c>
      <c r="AK23" s="116">
        <f t="shared" si="8"/>
        <v>2300</v>
      </c>
      <c r="AL23" s="116">
        <f t="shared" si="8"/>
        <v>2300</v>
      </c>
      <c r="AM23" s="116">
        <f t="shared" si="9"/>
        <v>2300</v>
      </c>
      <c r="AN23" s="116">
        <f t="shared" si="3"/>
        <v>2300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114.35833163412033</v>
      </c>
      <c r="AC24" s="96">
        <f t="shared" si="0"/>
        <v>0.11431730800037337</v>
      </c>
      <c r="AD24" s="97">
        <f t="shared" si="1"/>
        <v>82337.998776566645</v>
      </c>
      <c r="AE24" s="97">
        <f t="shared" si="2"/>
        <v>22253.513182855848</v>
      </c>
      <c r="AF24" s="116">
        <f t="shared" si="5"/>
        <v>4622.0493150684924</v>
      </c>
      <c r="AG24" s="116">
        <f t="shared" si="10"/>
        <v>17631.463867787355</v>
      </c>
      <c r="AH24" s="116">
        <f t="shared" si="6"/>
        <v>7839.9180673307837</v>
      </c>
      <c r="AI24" s="116">
        <f t="shared" si="7"/>
        <v>27423.009668243929</v>
      </c>
      <c r="AJ24" s="116">
        <f t="shared" si="11"/>
        <v>2300</v>
      </c>
      <c r="AK24" s="116">
        <f t="shared" si="8"/>
        <v>2300</v>
      </c>
      <c r="AL24" s="116">
        <f t="shared" si="8"/>
        <v>2300</v>
      </c>
      <c r="AM24" s="116">
        <f t="shared" si="9"/>
        <v>2300</v>
      </c>
      <c r="AN24" s="116">
        <f t="shared" si="3"/>
        <v>2300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111.5096588986336</v>
      </c>
      <c r="AC25" s="96">
        <f t="shared" si="0"/>
        <v>0.11146965716600479</v>
      </c>
      <c r="AD25" s="97">
        <f t="shared" si="1"/>
        <v>80286.954407016194</v>
      </c>
      <c r="AE25" s="97">
        <f t="shared" si="2"/>
        <v>21699.176866761132</v>
      </c>
      <c r="AF25" s="116">
        <f t="shared" si="5"/>
        <v>4622.0493150684924</v>
      </c>
      <c r="AG25" s="116">
        <f t="shared" si="10"/>
        <v>17077.12755169264</v>
      </c>
      <c r="AH25" s="116">
        <f t="shared" si="6"/>
        <v>7529.4897303177422</v>
      </c>
      <c r="AI25" s="116">
        <f t="shared" si="7"/>
        <v>26624.765373067537</v>
      </c>
      <c r="AJ25" s="116">
        <f t="shared" si="11"/>
        <v>2300</v>
      </c>
      <c r="AK25" s="116">
        <f t="shared" si="8"/>
        <v>2300</v>
      </c>
      <c r="AL25" s="116">
        <f t="shared" si="8"/>
        <v>2300</v>
      </c>
      <c r="AM25" s="116">
        <f t="shared" si="9"/>
        <v>2300</v>
      </c>
      <c r="AN25" s="116">
        <f t="shared" si="3"/>
        <v>2300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119.4397606137143</v>
      </c>
      <c r="AC26" s="96">
        <f t="shared" si="0"/>
        <v>0.11939691412475084</v>
      </c>
      <c r="AD26" s="97">
        <f t="shared" si="1"/>
        <v>85996.627641874293</v>
      </c>
      <c r="AE26" s="97">
        <f t="shared" si="2"/>
        <v>23242.33179510116</v>
      </c>
      <c r="AF26" s="116">
        <f t="shared" si="5"/>
        <v>4622.0493150684924</v>
      </c>
      <c r="AG26" s="116">
        <f t="shared" si="10"/>
        <v>18620.282480032667</v>
      </c>
      <c r="AH26" s="116">
        <f t="shared" si="6"/>
        <v>8393.6564901881575</v>
      </c>
      <c r="AI26" s="116">
        <f t="shared" si="7"/>
        <v>28846.908469877177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34.691466074962044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117.60412468043216</v>
      </c>
      <c r="AC27" s="96">
        <f t="shared" si="0"/>
        <v>0.11756193668705135</v>
      </c>
      <c r="AD27" s="97">
        <f t="shared" si="1"/>
        <v>84674.969769911157</v>
      </c>
      <c r="AE27" s="97">
        <f t="shared" si="2"/>
        <v>22885.126964840852</v>
      </c>
      <c r="AF27" s="116">
        <f t="shared" si="5"/>
        <v>4622.0493150684924</v>
      </c>
      <c r="AG27" s="116">
        <f t="shared" si="10"/>
        <v>18263.07764977236</v>
      </c>
      <c r="AH27" s="116">
        <f t="shared" si="6"/>
        <v>8193.621785242387</v>
      </c>
      <c r="AI27" s="116">
        <f t="shared" si="7"/>
        <v>28332.533514302333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54.885477430468086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97.696764353313085</v>
      </c>
      <c r="AC28" s="96">
        <f t="shared" si="0"/>
        <v>9.7661717704574658E-2</v>
      </c>
      <c r="AD28" s="97">
        <f t="shared" si="1"/>
        <v>70341.670334385417</v>
      </c>
      <c r="AE28" s="97">
        <f t="shared" si="2"/>
        <v>19011.262252536599</v>
      </c>
      <c r="AF28" s="116">
        <f t="shared" si="5"/>
        <v>4622.0493150684924</v>
      </c>
      <c r="AG28" s="116">
        <f t="shared" si="10"/>
        <v>14389.212937468106</v>
      </c>
      <c r="AH28" s="116">
        <f t="shared" si="6"/>
        <v>6024.2575463520043</v>
      </c>
      <c r="AI28" s="116">
        <f t="shared" si="7"/>
        <v>22754.168328584208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92.633800017805129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69.360999125440088</v>
      </c>
      <c r="AC29" s="96">
        <f t="shared" si="0"/>
        <v>6.9336117333411607E-2</v>
      </c>
      <c r="AD29" s="97">
        <f t="shared" si="1"/>
        <v>49939.919370316864</v>
      </c>
      <c r="AE29" s="97">
        <f t="shared" si="2"/>
        <v>13497.275505491043</v>
      </c>
      <c r="AF29" s="116">
        <f t="shared" si="5"/>
        <v>4622.0493150684924</v>
      </c>
      <c r="AG29" s="116">
        <f t="shared" si="10"/>
        <v>8875.2261904225506</v>
      </c>
      <c r="AH29" s="116">
        <f t="shared" si="6"/>
        <v>2936.4249680064922</v>
      </c>
      <c r="AI29" s="116">
        <f t="shared" si="7"/>
        <v>14814.027412838608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111.19307171505132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40.334597594995238</v>
      </c>
      <c r="AC30" s="96">
        <f t="shared" si="0"/>
        <v>4.0320128410849025E-2</v>
      </c>
      <c r="AD30" s="97">
        <f t="shared" si="1"/>
        <v>29040.910268396572</v>
      </c>
      <c r="AE30" s="97">
        <f t="shared" si="2"/>
        <v>7848.8946671342082</v>
      </c>
      <c r="AF30" s="116">
        <f t="shared" si="5"/>
        <v>4622.0493150684924</v>
      </c>
      <c r="AG30" s="116">
        <f t="shared" si="10"/>
        <v>3226.8453520657158</v>
      </c>
      <c r="AH30" s="116">
        <f t="shared" si="6"/>
        <v>-226.6683014733353</v>
      </c>
      <c r="AI30" s="116">
        <f t="shared" si="7"/>
        <v>6680.3590056047669</v>
      </c>
      <c r="AJ30" s="116">
        <f t="shared" si="11"/>
        <v>2300</v>
      </c>
      <c r="AK30" s="116">
        <f t="shared" si="8"/>
        <v>2073.3316985266647</v>
      </c>
      <c r="AL30" s="116">
        <f t="shared" si="8"/>
        <v>2300</v>
      </c>
      <c r="AM30" s="116">
        <f t="shared" si="9"/>
        <v>2300</v>
      </c>
      <c r="AN30" s="116">
        <f t="shared" si="3"/>
        <v>2073.3316985266647</v>
      </c>
      <c r="AO30" s="116">
        <f>IF(AL30&gt;0,AL30,0)</f>
        <v>2300</v>
      </c>
      <c r="AP30" s="115"/>
    </row>
    <row r="31" spans="2:42" ht="23">
      <c r="D31" s="136" t="s">
        <v>52</v>
      </c>
      <c r="E31" s="54">
        <v>114.35833163412033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36.650805451962704</v>
      </c>
      <c r="AC31" s="96">
        <f t="shared" si="0"/>
        <v>3.6637657750366266E-2</v>
      </c>
      <c r="AD31" s="97">
        <f t="shared" si="1"/>
        <v>26388.579925413145</v>
      </c>
      <c r="AE31" s="97">
        <f t="shared" si="2"/>
        <v>7132.0486284900389</v>
      </c>
      <c r="AF31" s="116">
        <f t="shared" si="5"/>
        <v>4622.0493150684924</v>
      </c>
      <c r="AG31" s="116">
        <f t="shared" si="10"/>
        <v>2509.9993134215465</v>
      </c>
      <c r="AH31" s="116">
        <f t="shared" si="6"/>
        <v>-628.10208311407041</v>
      </c>
      <c r="AI31" s="116">
        <f t="shared" si="7"/>
        <v>5648.1007099571634</v>
      </c>
      <c r="AJ31" s="116">
        <f t="shared" si="11"/>
        <v>2300</v>
      </c>
      <c r="AK31" s="116">
        <f t="shared" si="8"/>
        <v>1445.2296154125943</v>
      </c>
      <c r="AL31" s="116">
        <f t="shared" si="8"/>
        <v>2300</v>
      </c>
      <c r="AM31" s="116">
        <f t="shared" si="9"/>
        <v>2300</v>
      </c>
      <c r="AN31" s="116">
        <f t="shared" si="3"/>
        <v>1445.2296154125943</v>
      </c>
      <c r="AO31" s="116">
        <f t="shared" si="3"/>
        <v>2300</v>
      </c>
      <c r="AP31" s="115"/>
    </row>
    <row r="32" spans="2:42" ht="23">
      <c r="D32" s="136" t="s">
        <v>53</v>
      </c>
      <c r="E32" s="54">
        <v>111.5096588986336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34.691466074962044</v>
      </c>
      <c r="AC32" s="96">
        <f t="shared" si="0"/>
        <v>3.4679021244943382E-2</v>
      </c>
      <c r="AD32" s="97">
        <f t="shared" si="1"/>
        <v>24977.855573972673</v>
      </c>
      <c r="AE32" s="97">
        <f t="shared" si="2"/>
        <v>6750.7717767493705</v>
      </c>
      <c r="AF32" s="116">
        <f t="shared" si="5"/>
        <v>4622.0493150684924</v>
      </c>
      <c r="AG32" s="116">
        <f t="shared" si="10"/>
        <v>2128.722461680878</v>
      </c>
      <c r="AH32" s="116">
        <f t="shared" si="6"/>
        <v>-841.61712008884479</v>
      </c>
      <c r="AI32" s="116">
        <f t="shared" si="7"/>
        <v>5099.0620434506</v>
      </c>
      <c r="AJ32" s="116">
        <f t="shared" si="11"/>
        <v>2300</v>
      </c>
      <c r="AK32" s="116">
        <f t="shared" si="8"/>
        <v>603.6124953237495</v>
      </c>
      <c r="AL32" s="116">
        <f t="shared" si="8"/>
        <v>2300</v>
      </c>
      <c r="AM32" s="116">
        <f t="shared" si="9"/>
        <v>2300</v>
      </c>
      <c r="AN32" s="116">
        <f t="shared" si="3"/>
        <v>603.6124953237495</v>
      </c>
      <c r="AO32" s="116">
        <f t="shared" si="3"/>
        <v>2300</v>
      </c>
      <c r="AP32" s="115"/>
    </row>
    <row r="33" spans="2:42" ht="23">
      <c r="D33" s="136" t="s">
        <v>54</v>
      </c>
      <c r="E33" s="54">
        <v>119.4397606137143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54.885477430468086</v>
      </c>
      <c r="AC33" s="96">
        <f t="shared" si="0"/>
        <v>5.4865788425810878E-2</v>
      </c>
      <c r="AD33" s="97">
        <f t="shared" si="1"/>
        <v>39517.543749937024</v>
      </c>
      <c r="AE33" s="97">
        <f t="shared" si="2"/>
        <v>10680.417229712708</v>
      </c>
      <c r="AF33" s="116">
        <f t="shared" si="5"/>
        <v>4622.0493150684924</v>
      </c>
      <c r="AG33" s="116">
        <f t="shared" si="10"/>
        <v>6058.3679146442155</v>
      </c>
      <c r="AH33" s="116">
        <f t="shared" si="6"/>
        <v>1358.9843335706246</v>
      </c>
      <c r="AI33" s="116">
        <f t="shared" si="7"/>
        <v>10757.751495717806</v>
      </c>
      <c r="AJ33" s="116">
        <f t="shared" si="11"/>
        <v>2300</v>
      </c>
      <c r="AK33" s="116">
        <f t="shared" si="8"/>
        <v>1962.5968288943741</v>
      </c>
      <c r="AL33" s="116">
        <f t="shared" si="8"/>
        <v>2300</v>
      </c>
      <c r="AM33" s="116">
        <f t="shared" si="9"/>
        <v>2300</v>
      </c>
      <c r="AN33" s="116">
        <f t="shared" si="3"/>
        <v>1962.5968288943741</v>
      </c>
      <c r="AO33" s="116">
        <f t="shared" si="3"/>
        <v>2300</v>
      </c>
      <c r="AP33" s="115"/>
    </row>
    <row r="34" spans="2:42" ht="23">
      <c r="D34" s="136" t="s">
        <v>55</v>
      </c>
      <c r="E34" s="54">
        <v>117.60412468043216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92.633800017805129</v>
      </c>
      <c r="AC34" s="96">
        <f t="shared" si="0"/>
        <v>9.2600569600482519E-2</v>
      </c>
      <c r="AD34" s="97">
        <f t="shared" si="1"/>
        <v>66696.336012819695</v>
      </c>
      <c r="AE34" s="97">
        <f t="shared" si="2"/>
        <v>18026.036760221537</v>
      </c>
      <c r="AF34" s="116">
        <f t="shared" si="5"/>
        <v>4622.0493150684924</v>
      </c>
      <c r="AG34" s="116">
        <f t="shared" si="10"/>
        <v>13403.987445153045</v>
      </c>
      <c r="AH34" s="116">
        <f t="shared" si="6"/>
        <v>5472.5312706555687</v>
      </c>
      <c r="AI34" s="116">
        <f t="shared" si="7"/>
        <v>21335.443619650519</v>
      </c>
      <c r="AJ34" s="116">
        <f t="shared" si="11"/>
        <v>2300</v>
      </c>
      <c r="AK34" s="116">
        <f t="shared" si="8"/>
        <v>2300</v>
      </c>
      <c r="AL34" s="116">
        <f t="shared" si="8"/>
        <v>2300</v>
      </c>
      <c r="AM34" s="116">
        <f t="shared" si="9"/>
        <v>2300</v>
      </c>
      <c r="AN34" s="116">
        <f t="shared" si="3"/>
        <v>2300</v>
      </c>
      <c r="AO34" s="116">
        <f t="shared" si="3"/>
        <v>2300</v>
      </c>
      <c r="AP34" s="115"/>
    </row>
    <row r="35" spans="2:42" ht="23">
      <c r="D35" s="136" t="s">
        <v>56</v>
      </c>
      <c r="E35" s="54">
        <v>97.696764353313085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111.19307171505132</v>
      </c>
      <c r="AC35" s="96">
        <f t="shared" si="0"/>
        <v>0.11115318355138143</v>
      </c>
      <c r="AD35" s="97">
        <f t="shared" si="1"/>
        <v>80059.011634836934</v>
      </c>
      <c r="AE35" s="97">
        <f t="shared" si="2"/>
        <v>21637.570712118089</v>
      </c>
      <c r="AF35" s="116">
        <f t="shared" si="5"/>
        <v>4622.0493150684924</v>
      </c>
      <c r="AG35" s="116">
        <f t="shared" si="10"/>
        <v>17015.521397049597</v>
      </c>
      <c r="AH35" s="116">
        <f t="shared" si="6"/>
        <v>7494.9902837176396</v>
      </c>
      <c r="AI35" s="116">
        <f t="shared" si="7"/>
        <v>26536.052510381556</v>
      </c>
      <c r="AJ35" s="116">
        <f t="shared" si="11"/>
        <v>2300</v>
      </c>
      <c r="AK35" s="116">
        <f t="shared" si="8"/>
        <v>2300</v>
      </c>
      <c r="AL35" s="116">
        <f t="shared" si="8"/>
        <v>2300</v>
      </c>
      <c r="AM35" s="116">
        <f t="shared" si="9"/>
        <v>2300</v>
      </c>
      <c r="AN35" s="116">
        <f t="shared" si="3"/>
        <v>2300</v>
      </c>
      <c r="AO35" s="116">
        <f t="shared" si="3"/>
        <v>2300</v>
      </c>
      <c r="AP35" s="115"/>
    </row>
    <row r="36" spans="2:42" ht="23">
      <c r="D36" s="136" t="s">
        <v>57</v>
      </c>
      <c r="E36" s="54">
        <v>69.360999125440088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114.35833163412033</v>
      </c>
      <c r="AC36" s="96">
        <f t="shared" si="0"/>
        <v>0.11431730800037337</v>
      </c>
      <c r="AD36" s="97">
        <f t="shared" si="1"/>
        <v>82337.998776566645</v>
      </c>
      <c r="AE36" s="97">
        <f t="shared" si="2"/>
        <v>22253.513182855848</v>
      </c>
      <c r="AF36" s="116">
        <f t="shared" si="5"/>
        <v>4622.0493150684924</v>
      </c>
      <c r="AG36" s="116">
        <f t="shared" si="10"/>
        <v>17631.463867787355</v>
      </c>
      <c r="AH36" s="116">
        <f t="shared" si="6"/>
        <v>7839.9180673307837</v>
      </c>
      <c r="AI36" s="116">
        <f t="shared" si="7"/>
        <v>27423.009668243929</v>
      </c>
      <c r="AJ36" s="116">
        <f t="shared" si="11"/>
        <v>2300</v>
      </c>
      <c r="AK36" s="116">
        <f t="shared" si="8"/>
        <v>2300</v>
      </c>
      <c r="AL36" s="116">
        <f t="shared" si="8"/>
        <v>2300</v>
      </c>
      <c r="AM36" s="116">
        <f t="shared" si="9"/>
        <v>2300</v>
      </c>
      <c r="AN36" s="116">
        <f t="shared" si="9"/>
        <v>2300</v>
      </c>
      <c r="AO36" s="116">
        <f t="shared" si="9"/>
        <v>2300</v>
      </c>
      <c r="AP36" s="115"/>
    </row>
    <row r="37" spans="2:42" ht="23">
      <c r="D37" s="136" t="s">
        <v>58</v>
      </c>
      <c r="E37" s="54">
        <v>40.334597594995238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111.5096588986336</v>
      </c>
      <c r="AC37" s="96">
        <f t="shared" si="0"/>
        <v>0.11146965716600479</v>
      </c>
      <c r="AD37" s="97">
        <f t="shared" si="1"/>
        <v>80286.954407016194</v>
      </c>
      <c r="AE37" s="97">
        <f t="shared" si="2"/>
        <v>21699.176866761132</v>
      </c>
      <c r="AF37" s="116">
        <f t="shared" si="5"/>
        <v>4622.0493150684924</v>
      </c>
      <c r="AG37" s="116">
        <f t="shared" si="10"/>
        <v>17077.12755169264</v>
      </c>
      <c r="AH37" s="116">
        <f t="shared" si="6"/>
        <v>7529.4897303177422</v>
      </c>
      <c r="AI37" s="116">
        <f t="shared" si="7"/>
        <v>26624.765373067537</v>
      </c>
      <c r="AJ37" s="116">
        <f t="shared" si="11"/>
        <v>2300</v>
      </c>
      <c r="AK37" s="116">
        <f t="shared" si="11"/>
        <v>2300</v>
      </c>
      <c r="AL37" s="116">
        <f t="shared" si="11"/>
        <v>2300</v>
      </c>
      <c r="AM37" s="116">
        <f t="shared" si="9"/>
        <v>2300</v>
      </c>
      <c r="AN37" s="116">
        <f t="shared" si="9"/>
        <v>2300</v>
      </c>
      <c r="AO37" s="116">
        <f t="shared" si="9"/>
        <v>2300</v>
      </c>
      <c r="AP37" s="115"/>
    </row>
    <row r="38" spans="2:42" ht="23">
      <c r="D38" s="136" t="s">
        <v>59</v>
      </c>
      <c r="E38" s="54">
        <v>36.650805451962704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119.4397606137143</v>
      </c>
      <c r="AC38" s="96">
        <f t="shared" si="0"/>
        <v>0.11939691412475084</v>
      </c>
      <c r="AD38" s="97">
        <f t="shared" si="1"/>
        <v>85996.627641874293</v>
      </c>
      <c r="AE38" s="97">
        <f t="shared" si="2"/>
        <v>23242.33179510116</v>
      </c>
      <c r="AF38" s="116">
        <f t="shared" si="5"/>
        <v>4622.0493150684924</v>
      </c>
      <c r="AG38" s="116">
        <f t="shared" si="10"/>
        <v>18620.282480032667</v>
      </c>
      <c r="AH38" s="116">
        <f t="shared" si="6"/>
        <v>8393.6564901881575</v>
      </c>
      <c r="AI38" s="116">
        <f t="shared" si="7"/>
        <v>28846.908469877177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117.60412468043216</v>
      </c>
      <c r="AC39" s="96">
        <f t="shared" si="0"/>
        <v>0.11756193668705135</v>
      </c>
      <c r="AD39" s="97">
        <f t="shared" si="1"/>
        <v>84674.969769911157</v>
      </c>
      <c r="AE39" s="97">
        <f t="shared" si="2"/>
        <v>22885.126964840852</v>
      </c>
      <c r="AF39" s="116">
        <f t="shared" si="5"/>
        <v>4622.0493150684924</v>
      </c>
      <c r="AG39" s="116">
        <f t="shared" si="10"/>
        <v>18263.07764977236</v>
      </c>
      <c r="AH39" s="116">
        <f t="shared" si="6"/>
        <v>8193.621785242387</v>
      </c>
      <c r="AI39" s="116">
        <f t="shared" si="7"/>
        <v>28332.533514302333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1000.358857590898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97.696764353313085</v>
      </c>
      <c r="AC40" s="96">
        <f t="shared" si="0"/>
        <v>9.7661717704574658E-2</v>
      </c>
      <c r="AD40" s="97">
        <f t="shared" si="1"/>
        <v>70341.670334385417</v>
      </c>
      <c r="AE40" s="97">
        <f t="shared" si="2"/>
        <v>19011.262252536599</v>
      </c>
      <c r="AF40" s="116">
        <f t="shared" si="5"/>
        <v>4622.0493150684924</v>
      </c>
      <c r="AG40" s="116">
        <f t="shared" si="10"/>
        <v>14389.212937468106</v>
      </c>
      <c r="AH40" s="116">
        <f t="shared" si="6"/>
        <v>6024.2575463520043</v>
      </c>
      <c r="AI40" s="116">
        <f t="shared" si="7"/>
        <v>22754.168328584208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69.360999125440088</v>
      </c>
      <c r="AC41" s="96">
        <f t="shared" si="0"/>
        <v>6.9336117333411607E-2</v>
      </c>
      <c r="AD41" s="97">
        <f t="shared" si="1"/>
        <v>49939.919370316864</v>
      </c>
      <c r="AE41" s="97">
        <f t="shared" si="2"/>
        <v>13497.275505491043</v>
      </c>
      <c r="AF41" s="116">
        <f t="shared" si="5"/>
        <v>4622.0493150684924</v>
      </c>
      <c r="AG41" s="116">
        <f t="shared" si="10"/>
        <v>8875.2261904225506</v>
      </c>
      <c r="AH41" s="116">
        <f t="shared" si="6"/>
        <v>2936.4249680064922</v>
      </c>
      <c r="AI41" s="116">
        <f t="shared" si="7"/>
        <v>14814.027412838608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40.334597594995238</v>
      </c>
      <c r="AC42" s="96">
        <f t="shared" si="0"/>
        <v>4.0320128410849025E-2</v>
      </c>
      <c r="AD42" s="97">
        <f t="shared" si="1"/>
        <v>29040.910268396572</v>
      </c>
      <c r="AE42" s="97">
        <f t="shared" si="2"/>
        <v>7848.8946671342082</v>
      </c>
      <c r="AF42" s="116">
        <f t="shared" si="5"/>
        <v>4622.0493150684924</v>
      </c>
      <c r="AG42" s="116">
        <f t="shared" si="10"/>
        <v>3226.8453520657158</v>
      </c>
      <c r="AH42" s="116">
        <f t="shared" si="6"/>
        <v>-226.6683014733353</v>
      </c>
      <c r="AI42" s="116">
        <f t="shared" si="7"/>
        <v>6680.3590056047669</v>
      </c>
      <c r="AJ42" s="116">
        <f t="shared" si="13"/>
        <v>2300</v>
      </c>
      <c r="AK42" s="116">
        <f t="shared" si="13"/>
        <v>2073.3316985266647</v>
      </c>
      <c r="AL42" s="116">
        <f t="shared" si="13"/>
        <v>2300</v>
      </c>
      <c r="AM42" s="116">
        <f t="shared" si="9"/>
        <v>2300</v>
      </c>
      <c r="AN42" s="116">
        <f t="shared" si="9"/>
        <v>2073.3316985266647</v>
      </c>
      <c r="AO42" s="116">
        <f t="shared" si="9"/>
        <v>2300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36.650805451962704</v>
      </c>
      <c r="AC43" s="96">
        <f t="shared" si="0"/>
        <v>3.6637657750366266E-2</v>
      </c>
      <c r="AD43" s="97">
        <f t="shared" si="1"/>
        <v>26388.579925413145</v>
      </c>
      <c r="AE43" s="97">
        <f t="shared" si="2"/>
        <v>7132.0486284900389</v>
      </c>
      <c r="AF43" s="116">
        <f t="shared" si="5"/>
        <v>4622.0493150684924</v>
      </c>
      <c r="AG43" s="116">
        <f t="shared" si="10"/>
        <v>2509.9993134215465</v>
      </c>
      <c r="AH43" s="116">
        <f t="shared" si="6"/>
        <v>-628.10208311407041</v>
      </c>
      <c r="AI43" s="116">
        <f t="shared" si="7"/>
        <v>5648.1007099571634</v>
      </c>
      <c r="AJ43" s="116">
        <f t="shared" si="13"/>
        <v>2300</v>
      </c>
      <c r="AK43" s="116">
        <f t="shared" si="13"/>
        <v>1445.2296154125943</v>
      </c>
      <c r="AL43" s="116">
        <f t="shared" si="13"/>
        <v>2300</v>
      </c>
      <c r="AM43" s="116">
        <f t="shared" si="9"/>
        <v>2300</v>
      </c>
      <c r="AN43" s="116">
        <f t="shared" si="9"/>
        <v>1445.2296154125943</v>
      </c>
      <c r="AO43" s="116">
        <f t="shared" si="9"/>
        <v>2300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249.99999999999994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2000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6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5.9666666666666668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6.4195129375951288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154.06831050228308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4622.0493150684924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56273.450410958896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23.752197869101977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570.05274885844744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17101.582465753421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208211.76652054791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358.28263333349145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14.928443055562143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44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E4B5-B277-D843-B1ED-5298B6D0718E}">
  <dimension ref="B1:AQ119"/>
  <sheetViews>
    <sheetView topLeftCell="J57" zoomScale="120" zoomScaleNormal="120" workbookViewId="0">
      <selection activeCell="E28" sqref="E28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182</v>
      </c>
    </row>
    <row r="13" spans="2:43" s="109" customFormat="1" ht="31" thickTop="1" thickBot="1">
      <c r="B13" s="104" t="s">
        <v>183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125</v>
      </c>
      <c r="F19" s="137" t="s">
        <v>1</v>
      </c>
      <c r="N19" s="136" t="s">
        <v>28</v>
      </c>
      <c r="O19" s="138">
        <f>E18*E19</f>
        <v>625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44</v>
      </c>
      <c r="F20" s="137" t="s">
        <v>9</v>
      </c>
      <c r="N20" s="136" t="s">
        <v>44</v>
      </c>
      <c r="O20" s="138">
        <f>E20*200*1000/10000</f>
        <v>880</v>
      </c>
      <c r="P20" s="137" t="s">
        <v>17</v>
      </c>
      <c r="AA20" s="176">
        <v>43861</v>
      </c>
      <c r="AB20" s="95">
        <f>E27</f>
        <v>17</v>
      </c>
      <c r="AC20" s="96">
        <f t="shared" ref="AC20:AC43" si="0">AB20/E$40</f>
        <v>1.7137096774193547E-2</v>
      </c>
      <c r="AD20" s="97">
        <f t="shared" ref="AD20:AD43" si="1">O$19*AB20*E$67*E$46</f>
        <v>6120</v>
      </c>
      <c r="AE20" s="97">
        <f t="shared" ref="AE20:AE43" si="2">AD20/E$73</f>
        <v>1654.0540540540539</v>
      </c>
      <c r="AF20" s="116">
        <f>J$93</f>
        <v>3906.0493150684933</v>
      </c>
      <c r="AG20" s="116">
        <f>AE20-AF20</f>
        <v>-2251.9952610144392</v>
      </c>
      <c r="AH20" s="116">
        <f>(AE20) * (1-E$113/100) - AH$15-AF20</f>
        <v>-2251.9952610144392</v>
      </c>
      <c r="AI20" s="116">
        <f>(AE20) * (1+E$113/100) -AH$15 -AF20</f>
        <v>-2251.9952610144392</v>
      </c>
      <c r="AJ20" s="116">
        <f>IF($E$75+AG20 &lt; $E$74,$E$75+AG20, $E$74)</f>
        <v>-951.99526101443917</v>
      </c>
      <c r="AK20" s="116">
        <f>IF($E$75+AH20 &lt; $E$74,$E$75+AH20, $E$74)</f>
        <v>-951.99526101443917</v>
      </c>
      <c r="AL20" s="116">
        <f>IF($E$75+AI20 &lt; $E$74,$E$75+AI20, $E$74)</f>
        <v>-951.99526101443917</v>
      </c>
      <c r="AM20" s="116">
        <f>IF(AJ20&gt;0,AJ20,0)</f>
        <v>0</v>
      </c>
      <c r="AN20" s="116">
        <f t="shared" ref="AN20:AO35" si="3">IF(AK20&gt;0,AK20,0)</f>
        <v>0</v>
      </c>
      <c r="AO20" s="116">
        <f>IF(AL20&gt;0,AL20,0)</f>
        <v>0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52</v>
      </c>
      <c r="AC21" s="96">
        <f t="shared" si="0"/>
        <v>5.2419354838709679E-2</v>
      </c>
      <c r="AD21" s="97">
        <f t="shared" si="1"/>
        <v>18720</v>
      </c>
      <c r="AE21" s="97">
        <f t="shared" si="2"/>
        <v>5059.4594594594591</v>
      </c>
      <c r="AF21" s="116">
        <f t="shared" ref="AF21:AF43" si="5">J$93</f>
        <v>3906.0493150684933</v>
      </c>
      <c r="AG21" s="116">
        <f>AE21-AF21</f>
        <v>1153.4101443909658</v>
      </c>
      <c r="AH21" s="116">
        <f t="shared" ref="AH21:AH43" si="6">(AE21) * (1-E$113/100) - AH$15-AF21</f>
        <v>1153.4101443909658</v>
      </c>
      <c r="AI21" s="116">
        <f t="shared" ref="AI21:AI43" si="7">(AE21) * (1+E$113/100) -AH$15 -AF21</f>
        <v>1153.4101443909658</v>
      </c>
      <c r="AJ21" s="116">
        <f>IF(AJ20+AG21 &lt; $E$74,AJ20+AG21, $E$74)</f>
        <v>201.41488337652663</v>
      </c>
      <c r="AK21" s="116">
        <f t="shared" ref="AK21:AL36" si="8">IF(AK20+AH21 &lt; $E$74,AK20+AH21, $E$74)</f>
        <v>201.41488337652663</v>
      </c>
      <c r="AL21" s="116">
        <f t="shared" si="8"/>
        <v>201.41488337652663</v>
      </c>
      <c r="AM21" s="116">
        <f t="shared" ref="AM21:AO43" si="9">IF(AJ21&gt;0,AJ21,0)</f>
        <v>201.41488337652663</v>
      </c>
      <c r="AN21" s="116">
        <f t="shared" si="3"/>
        <v>201.41488337652663</v>
      </c>
      <c r="AO21" s="116">
        <f t="shared" si="3"/>
        <v>201.41488337652663</v>
      </c>
    </row>
    <row r="22" spans="2:42" ht="22" thickTop="1">
      <c r="AA22" s="176">
        <v>43921</v>
      </c>
      <c r="AB22" s="95">
        <f t="shared" si="4"/>
        <v>94</v>
      </c>
      <c r="AC22" s="96">
        <f t="shared" si="0"/>
        <v>9.4758064516129031E-2</v>
      </c>
      <c r="AD22" s="97">
        <f t="shared" si="1"/>
        <v>33840</v>
      </c>
      <c r="AE22" s="97">
        <f t="shared" si="2"/>
        <v>9145.9459459459449</v>
      </c>
      <c r="AF22" s="116">
        <f t="shared" si="5"/>
        <v>3906.0493150684933</v>
      </c>
      <c r="AG22" s="116">
        <f t="shared" ref="AG22:AG43" si="10">AE22-AF22</f>
        <v>5239.8966308774516</v>
      </c>
      <c r="AH22" s="116">
        <f t="shared" si="6"/>
        <v>5239.8966308774516</v>
      </c>
      <c r="AI22" s="116">
        <f t="shared" si="7"/>
        <v>5239.8966308774516</v>
      </c>
      <c r="AJ22" s="116">
        <f t="shared" ref="AJ22:AL37" si="11">IF(AJ21+AG22 &lt; $E$74,AJ21+AG22, $E$74)</f>
        <v>2300</v>
      </c>
      <c r="AK22" s="116">
        <f t="shared" si="8"/>
        <v>2300</v>
      </c>
      <c r="AL22" s="116">
        <f t="shared" si="8"/>
        <v>2300</v>
      </c>
      <c r="AM22" s="116">
        <f t="shared" si="9"/>
        <v>2300</v>
      </c>
      <c r="AN22" s="116">
        <f t="shared" si="3"/>
        <v>2300</v>
      </c>
      <c r="AO22" s="116">
        <f t="shared" si="3"/>
        <v>2300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114</v>
      </c>
      <c r="AC23" s="96">
        <f t="shared" si="0"/>
        <v>0.11491935483870967</v>
      </c>
      <c r="AD23" s="97">
        <f t="shared" si="1"/>
        <v>41040</v>
      </c>
      <c r="AE23" s="97">
        <f t="shared" si="2"/>
        <v>11091.891891891892</v>
      </c>
      <c r="AF23" s="116">
        <f t="shared" si="5"/>
        <v>3906.0493150684933</v>
      </c>
      <c r="AG23" s="116">
        <f t="shared" si="10"/>
        <v>7185.8425768233983</v>
      </c>
      <c r="AH23" s="116">
        <f t="shared" si="6"/>
        <v>7185.8425768233983</v>
      </c>
      <c r="AI23" s="116">
        <f t="shared" si="7"/>
        <v>7185.8425768233983</v>
      </c>
      <c r="AJ23" s="116">
        <f t="shared" si="11"/>
        <v>2300</v>
      </c>
      <c r="AK23" s="116">
        <f t="shared" si="8"/>
        <v>2300</v>
      </c>
      <c r="AL23" s="116">
        <f t="shared" si="8"/>
        <v>2300</v>
      </c>
      <c r="AM23" s="116">
        <f t="shared" si="9"/>
        <v>2300</v>
      </c>
      <c r="AN23" s="116">
        <f t="shared" si="3"/>
        <v>2300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118</v>
      </c>
      <c r="AC24" s="96">
        <f t="shared" si="0"/>
        <v>0.11895161290322581</v>
      </c>
      <c r="AD24" s="97">
        <f t="shared" si="1"/>
        <v>42480</v>
      </c>
      <c r="AE24" s="97">
        <f t="shared" si="2"/>
        <v>11481.08108108108</v>
      </c>
      <c r="AF24" s="116">
        <f t="shared" si="5"/>
        <v>3906.0493150684933</v>
      </c>
      <c r="AG24" s="116">
        <f t="shared" si="10"/>
        <v>7575.0317660125866</v>
      </c>
      <c r="AH24" s="116">
        <f t="shared" si="6"/>
        <v>7575.0317660125866</v>
      </c>
      <c r="AI24" s="116">
        <f t="shared" si="7"/>
        <v>7575.0317660125866</v>
      </c>
      <c r="AJ24" s="116">
        <f t="shared" si="11"/>
        <v>2300</v>
      </c>
      <c r="AK24" s="116">
        <f t="shared" si="8"/>
        <v>2300</v>
      </c>
      <c r="AL24" s="116">
        <f t="shared" si="8"/>
        <v>2300</v>
      </c>
      <c r="AM24" s="116">
        <f t="shared" si="9"/>
        <v>2300</v>
      </c>
      <c r="AN24" s="116">
        <f t="shared" si="3"/>
        <v>2300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133</v>
      </c>
      <c r="AC25" s="96">
        <f t="shared" si="0"/>
        <v>0.13407258064516128</v>
      </c>
      <c r="AD25" s="97">
        <f t="shared" si="1"/>
        <v>47880</v>
      </c>
      <c r="AE25" s="97">
        <f t="shared" si="2"/>
        <v>12940.54054054054</v>
      </c>
      <c r="AF25" s="116">
        <f t="shared" si="5"/>
        <v>3906.0493150684933</v>
      </c>
      <c r="AG25" s="116">
        <f t="shared" si="10"/>
        <v>9034.4912254720475</v>
      </c>
      <c r="AH25" s="116">
        <f t="shared" si="6"/>
        <v>9034.4912254720475</v>
      </c>
      <c r="AI25" s="116">
        <f t="shared" si="7"/>
        <v>9034.4912254720475</v>
      </c>
      <c r="AJ25" s="116">
        <f t="shared" si="11"/>
        <v>2300</v>
      </c>
      <c r="AK25" s="116">
        <f t="shared" si="8"/>
        <v>2300</v>
      </c>
      <c r="AL25" s="116">
        <f t="shared" si="8"/>
        <v>2300</v>
      </c>
      <c r="AM25" s="116">
        <f t="shared" si="9"/>
        <v>2300</v>
      </c>
      <c r="AN25" s="116">
        <f t="shared" si="3"/>
        <v>2300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119</v>
      </c>
      <c r="AC26" s="96">
        <f t="shared" si="0"/>
        <v>0.11995967741935484</v>
      </c>
      <c r="AD26" s="97">
        <f t="shared" si="1"/>
        <v>42840</v>
      </c>
      <c r="AE26" s="97">
        <f t="shared" si="2"/>
        <v>11578.378378378378</v>
      </c>
      <c r="AF26" s="116">
        <f t="shared" si="5"/>
        <v>3906.0493150684933</v>
      </c>
      <c r="AG26" s="116">
        <f t="shared" si="10"/>
        <v>7672.329063309885</v>
      </c>
      <c r="AH26" s="116">
        <f t="shared" si="6"/>
        <v>7672.329063309885</v>
      </c>
      <c r="AI26" s="116">
        <f t="shared" si="7"/>
        <v>7672.329063309885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17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105</v>
      </c>
      <c r="AC27" s="96">
        <f t="shared" si="0"/>
        <v>0.10584677419354839</v>
      </c>
      <c r="AD27" s="97">
        <f t="shared" si="1"/>
        <v>37800</v>
      </c>
      <c r="AE27" s="97">
        <f t="shared" si="2"/>
        <v>10216.216216216215</v>
      </c>
      <c r="AF27" s="116">
        <f t="shared" si="5"/>
        <v>3906.0493150684933</v>
      </c>
      <c r="AG27" s="116">
        <f t="shared" si="10"/>
        <v>6310.1669011477215</v>
      </c>
      <c r="AH27" s="116">
        <f t="shared" si="6"/>
        <v>6310.1669011477215</v>
      </c>
      <c r="AI27" s="116">
        <f t="shared" si="7"/>
        <v>6310.1669011477215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52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111</v>
      </c>
      <c r="AC28" s="96">
        <f t="shared" si="0"/>
        <v>0.11189516129032258</v>
      </c>
      <c r="AD28" s="97">
        <f t="shared" si="1"/>
        <v>39960</v>
      </c>
      <c r="AE28" s="97">
        <f t="shared" si="2"/>
        <v>10800</v>
      </c>
      <c r="AF28" s="116">
        <f t="shared" si="5"/>
        <v>3906.0493150684933</v>
      </c>
      <c r="AG28" s="116">
        <f t="shared" si="10"/>
        <v>6893.9506849315067</v>
      </c>
      <c r="AH28" s="116">
        <f t="shared" si="6"/>
        <v>6893.9506849315067</v>
      </c>
      <c r="AI28" s="116">
        <f t="shared" si="7"/>
        <v>6893.9506849315067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94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79</v>
      </c>
      <c r="AC29" s="96">
        <f t="shared" si="0"/>
        <v>7.9637096774193547E-2</v>
      </c>
      <c r="AD29" s="97">
        <f t="shared" si="1"/>
        <v>28440</v>
      </c>
      <c r="AE29" s="97">
        <f t="shared" si="2"/>
        <v>7686.4864864864858</v>
      </c>
      <c r="AF29" s="116">
        <f t="shared" si="5"/>
        <v>3906.0493150684933</v>
      </c>
      <c r="AG29" s="116">
        <f t="shared" si="10"/>
        <v>3780.4371714179924</v>
      </c>
      <c r="AH29" s="116">
        <f t="shared" si="6"/>
        <v>3780.4371714179924</v>
      </c>
      <c r="AI29" s="116">
        <f t="shared" si="7"/>
        <v>3780.4371714179924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114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28</v>
      </c>
      <c r="AC30" s="96">
        <f t="shared" si="0"/>
        <v>2.8225806451612902E-2</v>
      </c>
      <c r="AD30" s="97">
        <f t="shared" si="1"/>
        <v>10080</v>
      </c>
      <c r="AE30" s="97">
        <f t="shared" si="2"/>
        <v>2724.3243243243242</v>
      </c>
      <c r="AF30" s="116">
        <f t="shared" si="5"/>
        <v>3906.0493150684933</v>
      </c>
      <c r="AG30" s="116">
        <f t="shared" si="10"/>
        <v>-1181.7249907441692</v>
      </c>
      <c r="AH30" s="116">
        <f t="shared" si="6"/>
        <v>-1181.7249907441692</v>
      </c>
      <c r="AI30" s="116">
        <f t="shared" si="7"/>
        <v>-1181.7249907441692</v>
      </c>
      <c r="AJ30" s="116">
        <f t="shared" si="11"/>
        <v>1118.2750092558308</v>
      </c>
      <c r="AK30" s="116">
        <f t="shared" si="8"/>
        <v>1118.2750092558308</v>
      </c>
      <c r="AL30" s="116">
        <f t="shared" si="8"/>
        <v>1118.2750092558308</v>
      </c>
      <c r="AM30" s="116">
        <f t="shared" si="9"/>
        <v>1118.2750092558308</v>
      </c>
      <c r="AN30" s="116">
        <f t="shared" si="3"/>
        <v>1118.2750092558308</v>
      </c>
      <c r="AO30" s="116">
        <f>IF(AL30&gt;0,AL30,0)</f>
        <v>1118.2750092558308</v>
      </c>
      <c r="AP30" s="115"/>
    </row>
    <row r="31" spans="2:42" ht="23">
      <c r="D31" s="136" t="s">
        <v>52</v>
      </c>
      <c r="E31" s="54">
        <v>118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22</v>
      </c>
      <c r="AC31" s="96">
        <f t="shared" si="0"/>
        <v>2.2177419354838711E-2</v>
      </c>
      <c r="AD31" s="97">
        <f t="shared" si="1"/>
        <v>7920</v>
      </c>
      <c r="AE31" s="97">
        <f t="shared" si="2"/>
        <v>2140.5405405405404</v>
      </c>
      <c r="AF31" s="116">
        <f t="shared" si="5"/>
        <v>3906.0493150684933</v>
      </c>
      <c r="AG31" s="116">
        <f t="shared" si="10"/>
        <v>-1765.5087745279529</v>
      </c>
      <c r="AH31" s="116">
        <f t="shared" si="6"/>
        <v>-1765.5087745279529</v>
      </c>
      <c r="AI31" s="116">
        <f t="shared" si="7"/>
        <v>-1765.5087745279529</v>
      </c>
      <c r="AJ31" s="116">
        <f t="shared" si="11"/>
        <v>-647.23376527212213</v>
      </c>
      <c r="AK31" s="116">
        <f t="shared" si="8"/>
        <v>-647.23376527212213</v>
      </c>
      <c r="AL31" s="116">
        <f t="shared" si="8"/>
        <v>-647.23376527212213</v>
      </c>
      <c r="AM31" s="116">
        <f t="shared" si="9"/>
        <v>0</v>
      </c>
      <c r="AN31" s="116">
        <f t="shared" si="3"/>
        <v>0</v>
      </c>
      <c r="AO31" s="116">
        <f t="shared" si="3"/>
        <v>0</v>
      </c>
      <c r="AP31" s="115"/>
    </row>
    <row r="32" spans="2:42" ht="23">
      <c r="D32" s="136" t="s">
        <v>53</v>
      </c>
      <c r="E32" s="54">
        <v>133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17</v>
      </c>
      <c r="AC32" s="96">
        <f t="shared" si="0"/>
        <v>1.7137096774193547E-2</v>
      </c>
      <c r="AD32" s="97">
        <f t="shared" si="1"/>
        <v>6120</v>
      </c>
      <c r="AE32" s="97">
        <f t="shared" si="2"/>
        <v>1654.0540540540539</v>
      </c>
      <c r="AF32" s="116">
        <f t="shared" si="5"/>
        <v>3906.0493150684933</v>
      </c>
      <c r="AG32" s="116">
        <f t="shared" si="10"/>
        <v>-2251.9952610144392</v>
      </c>
      <c r="AH32" s="116">
        <f t="shared" si="6"/>
        <v>-2251.9952610144392</v>
      </c>
      <c r="AI32" s="116">
        <f t="shared" si="7"/>
        <v>-2251.9952610144392</v>
      </c>
      <c r="AJ32" s="116">
        <f t="shared" si="11"/>
        <v>-2899.2290262865613</v>
      </c>
      <c r="AK32" s="116">
        <f t="shared" si="8"/>
        <v>-2899.2290262865613</v>
      </c>
      <c r="AL32" s="116">
        <f t="shared" si="8"/>
        <v>-2899.2290262865613</v>
      </c>
      <c r="AM32" s="116">
        <f t="shared" si="9"/>
        <v>0</v>
      </c>
      <c r="AN32" s="116">
        <f t="shared" si="3"/>
        <v>0</v>
      </c>
      <c r="AO32" s="116">
        <f t="shared" si="3"/>
        <v>0</v>
      </c>
      <c r="AP32" s="115"/>
    </row>
    <row r="33" spans="2:42" ht="23">
      <c r="D33" s="136" t="s">
        <v>54</v>
      </c>
      <c r="E33" s="54">
        <v>119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52</v>
      </c>
      <c r="AC33" s="96">
        <f t="shared" si="0"/>
        <v>5.2419354838709679E-2</v>
      </c>
      <c r="AD33" s="97">
        <f t="shared" si="1"/>
        <v>18720</v>
      </c>
      <c r="AE33" s="97">
        <f t="shared" si="2"/>
        <v>5059.4594594594591</v>
      </c>
      <c r="AF33" s="116">
        <f t="shared" si="5"/>
        <v>3906.0493150684933</v>
      </c>
      <c r="AG33" s="116">
        <f t="shared" si="10"/>
        <v>1153.4101443909658</v>
      </c>
      <c r="AH33" s="116">
        <f t="shared" si="6"/>
        <v>1153.4101443909658</v>
      </c>
      <c r="AI33" s="116">
        <f t="shared" si="7"/>
        <v>1153.4101443909658</v>
      </c>
      <c r="AJ33" s="116">
        <f t="shared" si="11"/>
        <v>-1745.8188818955955</v>
      </c>
      <c r="AK33" s="116">
        <f t="shared" si="8"/>
        <v>-1745.8188818955955</v>
      </c>
      <c r="AL33" s="116">
        <f t="shared" si="8"/>
        <v>-1745.8188818955955</v>
      </c>
      <c r="AM33" s="116">
        <f t="shared" si="9"/>
        <v>0</v>
      </c>
      <c r="AN33" s="116">
        <f t="shared" si="3"/>
        <v>0</v>
      </c>
      <c r="AO33" s="116">
        <f t="shared" si="3"/>
        <v>0</v>
      </c>
      <c r="AP33" s="115"/>
    </row>
    <row r="34" spans="2:42" ht="23">
      <c r="D34" s="136" t="s">
        <v>55</v>
      </c>
      <c r="E34" s="54">
        <v>105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94</v>
      </c>
      <c r="AC34" s="96">
        <f t="shared" si="0"/>
        <v>9.4758064516129031E-2</v>
      </c>
      <c r="AD34" s="97">
        <f t="shared" si="1"/>
        <v>33840</v>
      </c>
      <c r="AE34" s="97">
        <f t="shared" si="2"/>
        <v>9145.9459459459449</v>
      </c>
      <c r="AF34" s="116">
        <f t="shared" si="5"/>
        <v>3906.0493150684933</v>
      </c>
      <c r="AG34" s="116">
        <f t="shared" si="10"/>
        <v>5239.8966308774516</v>
      </c>
      <c r="AH34" s="116">
        <f t="shared" si="6"/>
        <v>5239.8966308774516</v>
      </c>
      <c r="AI34" s="116">
        <f t="shared" si="7"/>
        <v>5239.8966308774516</v>
      </c>
      <c r="AJ34" s="116">
        <f t="shared" si="11"/>
        <v>2300</v>
      </c>
      <c r="AK34" s="116">
        <f t="shared" si="8"/>
        <v>2300</v>
      </c>
      <c r="AL34" s="116">
        <f t="shared" si="8"/>
        <v>2300</v>
      </c>
      <c r="AM34" s="116">
        <f t="shared" si="9"/>
        <v>2300</v>
      </c>
      <c r="AN34" s="116">
        <f t="shared" si="3"/>
        <v>2300</v>
      </c>
      <c r="AO34" s="116">
        <f t="shared" si="3"/>
        <v>2300</v>
      </c>
      <c r="AP34" s="115"/>
    </row>
    <row r="35" spans="2:42" ht="23">
      <c r="D35" s="136" t="s">
        <v>56</v>
      </c>
      <c r="E35" s="54">
        <v>111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114</v>
      </c>
      <c r="AC35" s="96">
        <f t="shared" si="0"/>
        <v>0.11491935483870967</v>
      </c>
      <c r="AD35" s="97">
        <f t="shared" si="1"/>
        <v>41040</v>
      </c>
      <c r="AE35" s="97">
        <f t="shared" si="2"/>
        <v>11091.891891891892</v>
      </c>
      <c r="AF35" s="116">
        <f t="shared" si="5"/>
        <v>3906.0493150684933</v>
      </c>
      <c r="AG35" s="116">
        <f t="shared" si="10"/>
        <v>7185.8425768233983</v>
      </c>
      <c r="AH35" s="116">
        <f t="shared" si="6"/>
        <v>7185.8425768233983</v>
      </c>
      <c r="AI35" s="116">
        <f t="shared" si="7"/>
        <v>7185.8425768233983</v>
      </c>
      <c r="AJ35" s="116">
        <f t="shared" si="11"/>
        <v>2300</v>
      </c>
      <c r="AK35" s="116">
        <f t="shared" si="8"/>
        <v>2300</v>
      </c>
      <c r="AL35" s="116">
        <f t="shared" si="8"/>
        <v>2300</v>
      </c>
      <c r="AM35" s="116">
        <f t="shared" si="9"/>
        <v>2300</v>
      </c>
      <c r="AN35" s="116">
        <f t="shared" si="3"/>
        <v>2300</v>
      </c>
      <c r="AO35" s="116">
        <f t="shared" si="3"/>
        <v>2300</v>
      </c>
      <c r="AP35" s="115"/>
    </row>
    <row r="36" spans="2:42" ht="23">
      <c r="D36" s="136" t="s">
        <v>57</v>
      </c>
      <c r="E36" s="54">
        <v>79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118</v>
      </c>
      <c r="AC36" s="96">
        <f t="shared" si="0"/>
        <v>0.11895161290322581</v>
      </c>
      <c r="AD36" s="97">
        <f t="shared" si="1"/>
        <v>42480</v>
      </c>
      <c r="AE36" s="97">
        <f t="shared" si="2"/>
        <v>11481.08108108108</v>
      </c>
      <c r="AF36" s="116">
        <f t="shared" si="5"/>
        <v>3906.0493150684933</v>
      </c>
      <c r="AG36" s="116">
        <f t="shared" si="10"/>
        <v>7575.0317660125866</v>
      </c>
      <c r="AH36" s="116">
        <f t="shared" si="6"/>
        <v>7575.0317660125866</v>
      </c>
      <c r="AI36" s="116">
        <f t="shared" si="7"/>
        <v>7575.0317660125866</v>
      </c>
      <c r="AJ36" s="116">
        <f t="shared" si="11"/>
        <v>2300</v>
      </c>
      <c r="AK36" s="116">
        <f t="shared" si="8"/>
        <v>2300</v>
      </c>
      <c r="AL36" s="116">
        <f t="shared" si="8"/>
        <v>2300</v>
      </c>
      <c r="AM36" s="116">
        <f t="shared" si="9"/>
        <v>2300</v>
      </c>
      <c r="AN36" s="116">
        <f t="shared" si="9"/>
        <v>2300</v>
      </c>
      <c r="AO36" s="116">
        <f t="shared" si="9"/>
        <v>2300</v>
      </c>
      <c r="AP36" s="115"/>
    </row>
    <row r="37" spans="2:42" ht="23">
      <c r="D37" s="136" t="s">
        <v>58</v>
      </c>
      <c r="E37" s="54">
        <v>28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133</v>
      </c>
      <c r="AC37" s="96">
        <f t="shared" si="0"/>
        <v>0.13407258064516128</v>
      </c>
      <c r="AD37" s="97">
        <f t="shared" si="1"/>
        <v>47880</v>
      </c>
      <c r="AE37" s="97">
        <f t="shared" si="2"/>
        <v>12940.54054054054</v>
      </c>
      <c r="AF37" s="116">
        <f t="shared" si="5"/>
        <v>3906.0493150684933</v>
      </c>
      <c r="AG37" s="116">
        <f t="shared" si="10"/>
        <v>9034.4912254720475</v>
      </c>
      <c r="AH37" s="116">
        <f t="shared" si="6"/>
        <v>9034.4912254720475</v>
      </c>
      <c r="AI37" s="116">
        <f t="shared" si="7"/>
        <v>9034.4912254720475</v>
      </c>
      <c r="AJ37" s="116">
        <f t="shared" si="11"/>
        <v>2300</v>
      </c>
      <c r="AK37" s="116">
        <f t="shared" si="11"/>
        <v>2300</v>
      </c>
      <c r="AL37" s="116">
        <f t="shared" si="11"/>
        <v>2300</v>
      </c>
      <c r="AM37" s="116">
        <f t="shared" si="9"/>
        <v>2300</v>
      </c>
      <c r="AN37" s="116">
        <f t="shared" si="9"/>
        <v>2300</v>
      </c>
      <c r="AO37" s="116">
        <f t="shared" si="9"/>
        <v>2300</v>
      </c>
      <c r="AP37" s="115"/>
    </row>
    <row r="38" spans="2:42" ht="23">
      <c r="D38" s="136" t="s">
        <v>59</v>
      </c>
      <c r="E38" s="54">
        <v>22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119</v>
      </c>
      <c r="AC38" s="96">
        <f t="shared" si="0"/>
        <v>0.11995967741935484</v>
      </c>
      <c r="AD38" s="97">
        <f t="shared" si="1"/>
        <v>42840</v>
      </c>
      <c r="AE38" s="97">
        <f t="shared" si="2"/>
        <v>11578.378378378378</v>
      </c>
      <c r="AF38" s="116">
        <f t="shared" si="5"/>
        <v>3906.0493150684933</v>
      </c>
      <c r="AG38" s="116">
        <f t="shared" si="10"/>
        <v>7672.329063309885</v>
      </c>
      <c r="AH38" s="116">
        <f t="shared" si="6"/>
        <v>7672.329063309885</v>
      </c>
      <c r="AI38" s="116">
        <f t="shared" si="7"/>
        <v>7672.329063309885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105</v>
      </c>
      <c r="AC39" s="96">
        <f t="shared" si="0"/>
        <v>0.10584677419354839</v>
      </c>
      <c r="AD39" s="97">
        <f t="shared" si="1"/>
        <v>37800</v>
      </c>
      <c r="AE39" s="97">
        <f t="shared" si="2"/>
        <v>10216.216216216215</v>
      </c>
      <c r="AF39" s="116">
        <f t="shared" si="5"/>
        <v>3906.0493150684933</v>
      </c>
      <c r="AG39" s="116">
        <f t="shared" si="10"/>
        <v>6310.1669011477215</v>
      </c>
      <c r="AH39" s="116">
        <f t="shared" si="6"/>
        <v>6310.1669011477215</v>
      </c>
      <c r="AI39" s="116">
        <f t="shared" si="7"/>
        <v>6310.1669011477215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992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111</v>
      </c>
      <c r="AC40" s="96">
        <f t="shared" si="0"/>
        <v>0.11189516129032258</v>
      </c>
      <c r="AD40" s="97">
        <f t="shared" si="1"/>
        <v>39960</v>
      </c>
      <c r="AE40" s="97">
        <f t="shared" si="2"/>
        <v>10800</v>
      </c>
      <c r="AF40" s="116">
        <f t="shared" si="5"/>
        <v>3906.0493150684933</v>
      </c>
      <c r="AG40" s="116">
        <f t="shared" si="10"/>
        <v>6893.9506849315067</v>
      </c>
      <c r="AH40" s="116">
        <f t="shared" si="6"/>
        <v>6893.9506849315067</v>
      </c>
      <c r="AI40" s="116">
        <f t="shared" si="7"/>
        <v>6893.9506849315067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79</v>
      </c>
      <c r="AC41" s="96">
        <f t="shared" si="0"/>
        <v>7.9637096774193547E-2</v>
      </c>
      <c r="AD41" s="97">
        <f t="shared" si="1"/>
        <v>28440</v>
      </c>
      <c r="AE41" s="97">
        <f t="shared" si="2"/>
        <v>7686.4864864864858</v>
      </c>
      <c r="AF41" s="116">
        <f t="shared" si="5"/>
        <v>3906.0493150684933</v>
      </c>
      <c r="AG41" s="116">
        <f t="shared" si="10"/>
        <v>3780.4371714179924</v>
      </c>
      <c r="AH41" s="116">
        <f t="shared" si="6"/>
        <v>3780.4371714179924</v>
      </c>
      <c r="AI41" s="116">
        <f t="shared" si="7"/>
        <v>3780.4371714179924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28</v>
      </c>
      <c r="AC42" s="96">
        <f t="shared" si="0"/>
        <v>2.8225806451612902E-2</v>
      </c>
      <c r="AD42" s="97">
        <f t="shared" si="1"/>
        <v>10080</v>
      </c>
      <c r="AE42" s="97">
        <f t="shared" si="2"/>
        <v>2724.3243243243242</v>
      </c>
      <c r="AF42" s="116">
        <f t="shared" si="5"/>
        <v>3906.0493150684933</v>
      </c>
      <c r="AG42" s="116">
        <f t="shared" si="10"/>
        <v>-1181.7249907441692</v>
      </c>
      <c r="AH42" s="116">
        <f t="shared" si="6"/>
        <v>-1181.7249907441692</v>
      </c>
      <c r="AI42" s="116">
        <f t="shared" si="7"/>
        <v>-1181.7249907441692</v>
      </c>
      <c r="AJ42" s="116">
        <f t="shared" si="13"/>
        <v>1118.2750092558308</v>
      </c>
      <c r="AK42" s="116">
        <f t="shared" si="13"/>
        <v>1118.2750092558308</v>
      </c>
      <c r="AL42" s="116">
        <f t="shared" si="13"/>
        <v>1118.2750092558308</v>
      </c>
      <c r="AM42" s="116">
        <f t="shared" si="9"/>
        <v>1118.2750092558308</v>
      </c>
      <c r="AN42" s="116">
        <f t="shared" si="9"/>
        <v>1118.2750092558308</v>
      </c>
      <c r="AO42" s="116">
        <f t="shared" si="9"/>
        <v>1118.2750092558308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22</v>
      </c>
      <c r="AC43" s="96">
        <f t="shared" si="0"/>
        <v>2.2177419354838711E-2</v>
      </c>
      <c r="AD43" s="97">
        <f t="shared" si="1"/>
        <v>7920</v>
      </c>
      <c r="AE43" s="97">
        <f t="shared" si="2"/>
        <v>2140.5405405405404</v>
      </c>
      <c r="AF43" s="116">
        <f t="shared" si="5"/>
        <v>3906.0493150684933</v>
      </c>
      <c r="AG43" s="116">
        <f t="shared" si="10"/>
        <v>-1765.5087745279529</v>
      </c>
      <c r="AH43" s="116">
        <f t="shared" si="6"/>
        <v>-1765.5087745279529</v>
      </c>
      <c r="AI43" s="116">
        <f t="shared" si="7"/>
        <v>-1765.5087745279529</v>
      </c>
      <c r="AJ43" s="116">
        <f t="shared" si="13"/>
        <v>-647.23376527212213</v>
      </c>
      <c r="AK43" s="116">
        <f t="shared" si="13"/>
        <v>-647.23376527212213</v>
      </c>
      <c r="AL43" s="116">
        <f t="shared" si="13"/>
        <v>-647.23376527212213</v>
      </c>
      <c r="AM43" s="116">
        <f t="shared" si="9"/>
        <v>0</v>
      </c>
      <c r="AN43" s="116">
        <f t="shared" si="9"/>
        <v>0</v>
      </c>
      <c r="AO43" s="116">
        <f t="shared" si="9"/>
        <v>0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124.99999999999997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1300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5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4.9722222222222223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5.4250684931506843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130.20164383561644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3906.0493150684933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47556.1504109589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20.072753424657535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481.74608219178083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14452.382465753426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175957.75652054793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423.9577809761887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17.664907540674527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E09C-FDF8-7B43-92BD-1B0066D7BDC5}">
  <dimension ref="B1:AQ119"/>
  <sheetViews>
    <sheetView topLeftCell="A43" zoomScale="120" zoomScaleNormal="120" workbookViewId="0">
      <selection activeCell="B25" sqref="B25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182</v>
      </c>
    </row>
    <row r="13" spans="2:43" s="109" customFormat="1" ht="31" thickTop="1" thickBot="1">
      <c r="B13" s="104" t="s">
        <v>186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250</v>
      </c>
      <c r="F19" s="137" t="s">
        <v>1</v>
      </c>
      <c r="N19" s="136" t="s">
        <v>28</v>
      </c>
      <c r="O19" s="138">
        <f>E18*E19</f>
        <v>1250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88</v>
      </c>
      <c r="F20" s="137" t="s">
        <v>9</v>
      </c>
      <c r="N20" s="136" t="s">
        <v>44</v>
      </c>
      <c r="O20" s="138">
        <f>E20*200*1000/10000</f>
        <v>1760</v>
      </c>
      <c r="P20" s="137" t="s">
        <v>17</v>
      </c>
      <c r="AA20" s="176">
        <v>43861</v>
      </c>
      <c r="AB20" s="95">
        <f>E27</f>
        <v>17</v>
      </c>
      <c r="AC20" s="96">
        <f t="shared" ref="AC20:AC43" si="0">AB20/E$40</f>
        <v>1.7154389505549948E-2</v>
      </c>
      <c r="AD20" s="97">
        <f t="shared" ref="AD20:AD43" si="1">O$19*AB20*E$67*E$46</f>
        <v>12240</v>
      </c>
      <c r="AE20" s="97">
        <f t="shared" ref="AE20:AE43" si="2">AD20/E$73</f>
        <v>3308.1081081081079</v>
      </c>
      <c r="AF20" s="116">
        <f>J$93</f>
        <v>3906.0493150684933</v>
      </c>
      <c r="AG20" s="116">
        <f>AE20-AF20</f>
        <v>-597.94120696038544</v>
      </c>
      <c r="AH20" s="116">
        <f>(AE20) * (1-E$113/100) - AH$15-AF20</f>
        <v>-597.94120696038544</v>
      </c>
      <c r="AI20" s="116">
        <f>(AE20) * (1+E$113/100) -AH$15 -AF20</f>
        <v>-597.94120696038544</v>
      </c>
      <c r="AJ20" s="116">
        <f>IF($E$75+AG20 &lt; $E$74,$E$75+AG20, $E$74)</f>
        <v>1402.0587930396146</v>
      </c>
      <c r="AK20" s="116">
        <f>IF($E$75+AH20 &lt; $E$74,$E$75+AH20, $E$74)</f>
        <v>1402.0587930396146</v>
      </c>
      <c r="AL20" s="116">
        <f>IF($E$75+AI20 &lt; $E$74,$E$75+AI20, $E$74)</f>
        <v>1402.0587930396146</v>
      </c>
      <c r="AM20" s="116">
        <f>IF(AJ20&gt;0,AJ20,0)</f>
        <v>1402.0587930396146</v>
      </c>
      <c r="AN20" s="116">
        <f t="shared" ref="AN20:AO35" si="3">IF(AK20&gt;0,AK20,0)</f>
        <v>1402.0587930396146</v>
      </c>
      <c r="AO20" s="116">
        <f>IF(AL20&gt;0,AL20,0)</f>
        <v>1402.0587930396146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52</v>
      </c>
      <c r="AC21" s="96">
        <f t="shared" si="0"/>
        <v>5.2472250252270432E-2</v>
      </c>
      <c r="AD21" s="97">
        <f t="shared" si="1"/>
        <v>37440</v>
      </c>
      <c r="AE21" s="97">
        <f t="shared" si="2"/>
        <v>10118.918918918918</v>
      </c>
      <c r="AF21" s="116">
        <f t="shared" ref="AF21:AF43" si="5">J$93</f>
        <v>3906.0493150684933</v>
      </c>
      <c r="AG21" s="116">
        <f>AE21-AF21</f>
        <v>6212.8696038504249</v>
      </c>
      <c r="AH21" s="116">
        <f t="shared" ref="AH21:AH43" si="6">(AE21) * (1-E$113/100) - AH$15-AF21</f>
        <v>6212.8696038504249</v>
      </c>
      <c r="AI21" s="116">
        <f t="shared" ref="AI21:AI43" si="7">(AE21) * (1+E$113/100) -AH$15 -AF21</f>
        <v>6212.8696038504249</v>
      </c>
      <c r="AJ21" s="116">
        <f>IF(AJ20+AG21 &lt; $E$74,AJ20+AG21, $E$74)</f>
        <v>2300</v>
      </c>
      <c r="AK21" s="116">
        <f t="shared" ref="AK21:AL36" si="8">IF(AK20+AH21 &lt; $E$74,AK20+AH21, $E$74)</f>
        <v>2300</v>
      </c>
      <c r="AL21" s="116">
        <f t="shared" si="8"/>
        <v>2300</v>
      </c>
      <c r="AM21" s="116">
        <f t="shared" ref="AM21:AO43" si="9">IF(AJ21&gt;0,AJ21,0)</f>
        <v>2300</v>
      </c>
      <c r="AN21" s="116">
        <f t="shared" si="3"/>
        <v>2300</v>
      </c>
      <c r="AO21" s="116">
        <f t="shared" si="3"/>
        <v>2300</v>
      </c>
    </row>
    <row r="22" spans="2:42" ht="22" thickTop="1">
      <c r="AA22" s="176">
        <v>43921</v>
      </c>
      <c r="AB22" s="95">
        <f t="shared" si="4"/>
        <v>94</v>
      </c>
      <c r="AC22" s="96">
        <f t="shared" si="0"/>
        <v>9.4853683148335019E-2</v>
      </c>
      <c r="AD22" s="97">
        <f t="shared" si="1"/>
        <v>67680</v>
      </c>
      <c r="AE22" s="97">
        <f t="shared" si="2"/>
        <v>18291.89189189189</v>
      </c>
      <c r="AF22" s="116">
        <f t="shared" si="5"/>
        <v>3906.0493150684933</v>
      </c>
      <c r="AG22" s="116">
        <f t="shared" ref="AG22:AG43" si="10">AE22-AF22</f>
        <v>14385.842576823397</v>
      </c>
      <c r="AH22" s="116">
        <f t="shared" si="6"/>
        <v>14385.842576823397</v>
      </c>
      <c r="AI22" s="116">
        <f t="shared" si="7"/>
        <v>14385.842576823397</v>
      </c>
      <c r="AJ22" s="116">
        <f t="shared" ref="AJ22:AL37" si="11">IF(AJ21+AG22 &lt; $E$74,AJ21+AG22, $E$74)</f>
        <v>2300</v>
      </c>
      <c r="AK22" s="116">
        <f t="shared" si="8"/>
        <v>2300</v>
      </c>
      <c r="AL22" s="116">
        <f t="shared" si="8"/>
        <v>2300</v>
      </c>
      <c r="AM22" s="116">
        <f t="shared" si="9"/>
        <v>2300</v>
      </c>
      <c r="AN22" s="116">
        <f t="shared" si="3"/>
        <v>2300</v>
      </c>
      <c r="AO22" s="116">
        <f t="shared" si="3"/>
        <v>2300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114</v>
      </c>
      <c r="AC23" s="96">
        <f t="shared" si="0"/>
        <v>0.11503531786074672</v>
      </c>
      <c r="AD23" s="97">
        <f t="shared" si="1"/>
        <v>82080</v>
      </c>
      <c r="AE23" s="97">
        <f t="shared" si="2"/>
        <v>22183.783783783783</v>
      </c>
      <c r="AF23" s="116">
        <f t="shared" si="5"/>
        <v>3906.0493150684933</v>
      </c>
      <c r="AG23" s="116">
        <f t="shared" si="10"/>
        <v>18277.734468715291</v>
      </c>
      <c r="AH23" s="116">
        <f t="shared" si="6"/>
        <v>18277.734468715291</v>
      </c>
      <c r="AI23" s="116">
        <f t="shared" si="7"/>
        <v>18277.734468715291</v>
      </c>
      <c r="AJ23" s="116">
        <f t="shared" si="11"/>
        <v>2300</v>
      </c>
      <c r="AK23" s="116">
        <f t="shared" si="8"/>
        <v>2300</v>
      </c>
      <c r="AL23" s="116">
        <f t="shared" si="8"/>
        <v>2300</v>
      </c>
      <c r="AM23" s="116">
        <f t="shared" si="9"/>
        <v>2300</v>
      </c>
      <c r="AN23" s="116">
        <f t="shared" si="3"/>
        <v>2300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118</v>
      </c>
      <c r="AC24" s="96">
        <f t="shared" si="0"/>
        <v>0.11907164480322906</v>
      </c>
      <c r="AD24" s="97">
        <f t="shared" si="1"/>
        <v>84960</v>
      </c>
      <c r="AE24" s="97">
        <f t="shared" si="2"/>
        <v>22962.16216216216</v>
      </c>
      <c r="AF24" s="116">
        <f t="shared" si="5"/>
        <v>3906.0493150684933</v>
      </c>
      <c r="AG24" s="116">
        <f t="shared" si="10"/>
        <v>19056.112847093667</v>
      </c>
      <c r="AH24" s="116">
        <f t="shared" si="6"/>
        <v>19056.112847093667</v>
      </c>
      <c r="AI24" s="116">
        <f t="shared" si="7"/>
        <v>19056.112847093667</v>
      </c>
      <c r="AJ24" s="116">
        <f t="shared" si="11"/>
        <v>2300</v>
      </c>
      <c r="AK24" s="116">
        <f t="shared" si="8"/>
        <v>2300</v>
      </c>
      <c r="AL24" s="116">
        <f t="shared" si="8"/>
        <v>2300</v>
      </c>
      <c r="AM24" s="116">
        <f t="shared" si="9"/>
        <v>2300</v>
      </c>
      <c r="AN24" s="116">
        <f t="shared" si="3"/>
        <v>2300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133</v>
      </c>
      <c r="AC25" s="96">
        <f t="shared" si="0"/>
        <v>0.13420787083753785</v>
      </c>
      <c r="AD25" s="97">
        <f t="shared" si="1"/>
        <v>95760</v>
      </c>
      <c r="AE25" s="97">
        <f t="shared" si="2"/>
        <v>25881.08108108108</v>
      </c>
      <c r="AF25" s="116">
        <f t="shared" si="5"/>
        <v>3906.0493150684933</v>
      </c>
      <c r="AG25" s="116">
        <f t="shared" si="10"/>
        <v>21975.031766012587</v>
      </c>
      <c r="AH25" s="116">
        <f t="shared" si="6"/>
        <v>21975.031766012587</v>
      </c>
      <c r="AI25" s="116">
        <f t="shared" si="7"/>
        <v>21975.031766012587</v>
      </c>
      <c r="AJ25" s="116">
        <f t="shared" si="11"/>
        <v>2300</v>
      </c>
      <c r="AK25" s="116">
        <f t="shared" si="8"/>
        <v>2300</v>
      </c>
      <c r="AL25" s="116">
        <f t="shared" si="8"/>
        <v>2300</v>
      </c>
      <c r="AM25" s="116">
        <f t="shared" si="9"/>
        <v>2300</v>
      </c>
      <c r="AN25" s="116">
        <f t="shared" si="3"/>
        <v>2300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119</v>
      </c>
      <c r="AC26" s="96">
        <f t="shared" si="0"/>
        <v>0.12008072653884964</v>
      </c>
      <c r="AD26" s="97">
        <f t="shared" si="1"/>
        <v>85680</v>
      </c>
      <c r="AE26" s="97">
        <f t="shared" si="2"/>
        <v>23156.756756756757</v>
      </c>
      <c r="AF26" s="116">
        <f t="shared" si="5"/>
        <v>3906.0493150684933</v>
      </c>
      <c r="AG26" s="116">
        <f t="shared" si="10"/>
        <v>19250.707441688264</v>
      </c>
      <c r="AH26" s="116">
        <f t="shared" si="6"/>
        <v>19250.707441688264</v>
      </c>
      <c r="AI26" s="116">
        <f t="shared" si="7"/>
        <v>19250.707441688264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17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105</v>
      </c>
      <c r="AC27" s="96">
        <f t="shared" si="0"/>
        <v>0.10595358224016145</v>
      </c>
      <c r="AD27" s="97">
        <f t="shared" si="1"/>
        <v>75600</v>
      </c>
      <c r="AE27" s="97">
        <f t="shared" si="2"/>
        <v>20432.43243243243</v>
      </c>
      <c r="AF27" s="116">
        <f t="shared" si="5"/>
        <v>3906.0493150684933</v>
      </c>
      <c r="AG27" s="116">
        <f t="shared" si="10"/>
        <v>16526.383117363937</v>
      </c>
      <c r="AH27" s="116">
        <f t="shared" si="6"/>
        <v>16526.383117363937</v>
      </c>
      <c r="AI27" s="116">
        <f t="shared" si="7"/>
        <v>16526.383117363937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52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111</v>
      </c>
      <c r="AC28" s="96">
        <f t="shared" si="0"/>
        <v>0.11200807265388496</v>
      </c>
      <c r="AD28" s="97">
        <f t="shared" si="1"/>
        <v>79920</v>
      </c>
      <c r="AE28" s="97">
        <f t="shared" si="2"/>
        <v>21600</v>
      </c>
      <c r="AF28" s="116">
        <f t="shared" si="5"/>
        <v>3906.0493150684933</v>
      </c>
      <c r="AG28" s="116">
        <f t="shared" si="10"/>
        <v>17693.950684931508</v>
      </c>
      <c r="AH28" s="116">
        <f t="shared" si="6"/>
        <v>17693.950684931508</v>
      </c>
      <c r="AI28" s="116">
        <f t="shared" si="7"/>
        <v>17693.950684931508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94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79</v>
      </c>
      <c r="AC29" s="96">
        <f t="shared" si="0"/>
        <v>7.9717457114026238E-2</v>
      </c>
      <c r="AD29" s="97">
        <f t="shared" si="1"/>
        <v>56880</v>
      </c>
      <c r="AE29" s="97">
        <f t="shared" si="2"/>
        <v>15372.972972972972</v>
      </c>
      <c r="AF29" s="116">
        <f t="shared" si="5"/>
        <v>3906.0493150684933</v>
      </c>
      <c r="AG29" s="116">
        <f t="shared" si="10"/>
        <v>11466.923657904477</v>
      </c>
      <c r="AH29" s="116">
        <f t="shared" si="6"/>
        <v>11466.923657904477</v>
      </c>
      <c r="AI29" s="116">
        <f t="shared" si="7"/>
        <v>11466.923657904477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114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28</v>
      </c>
      <c r="AC30" s="96">
        <f t="shared" si="0"/>
        <v>2.8254288597376387E-2</v>
      </c>
      <c r="AD30" s="97">
        <f t="shared" si="1"/>
        <v>20160</v>
      </c>
      <c r="AE30" s="97">
        <f t="shared" si="2"/>
        <v>5448.6486486486483</v>
      </c>
      <c r="AF30" s="116">
        <f t="shared" si="5"/>
        <v>3906.0493150684933</v>
      </c>
      <c r="AG30" s="116">
        <f t="shared" si="10"/>
        <v>1542.599333580155</v>
      </c>
      <c r="AH30" s="116">
        <f t="shared" si="6"/>
        <v>1542.599333580155</v>
      </c>
      <c r="AI30" s="116">
        <f t="shared" si="7"/>
        <v>1542.599333580155</v>
      </c>
      <c r="AJ30" s="116">
        <f t="shared" si="11"/>
        <v>2300</v>
      </c>
      <c r="AK30" s="116">
        <f t="shared" si="8"/>
        <v>2300</v>
      </c>
      <c r="AL30" s="116">
        <f t="shared" si="8"/>
        <v>2300</v>
      </c>
      <c r="AM30" s="116">
        <f t="shared" si="9"/>
        <v>2300</v>
      </c>
      <c r="AN30" s="116">
        <f t="shared" si="3"/>
        <v>2300</v>
      </c>
      <c r="AO30" s="116">
        <f>IF(AL30&gt;0,AL30,0)</f>
        <v>2300</v>
      </c>
      <c r="AP30" s="115"/>
    </row>
    <row r="31" spans="2:42" ht="23">
      <c r="D31" s="136" t="s">
        <v>52</v>
      </c>
      <c r="E31" s="54">
        <v>118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21</v>
      </c>
      <c r="AC31" s="96">
        <f t="shared" si="0"/>
        <v>2.119071644803229E-2</v>
      </c>
      <c r="AD31" s="97">
        <f t="shared" si="1"/>
        <v>15120</v>
      </c>
      <c r="AE31" s="97">
        <f t="shared" si="2"/>
        <v>4086.4864864864862</v>
      </c>
      <c r="AF31" s="116">
        <f t="shared" si="5"/>
        <v>3906.0493150684933</v>
      </c>
      <c r="AG31" s="116">
        <f t="shared" si="10"/>
        <v>180.43717141799289</v>
      </c>
      <c r="AH31" s="116">
        <f t="shared" si="6"/>
        <v>180.43717141799289</v>
      </c>
      <c r="AI31" s="116">
        <f t="shared" si="7"/>
        <v>180.43717141799289</v>
      </c>
      <c r="AJ31" s="116">
        <f t="shared" si="11"/>
        <v>2300</v>
      </c>
      <c r="AK31" s="116">
        <f t="shared" si="8"/>
        <v>2300</v>
      </c>
      <c r="AL31" s="116">
        <f t="shared" si="8"/>
        <v>2300</v>
      </c>
      <c r="AM31" s="116">
        <f t="shared" si="9"/>
        <v>2300</v>
      </c>
      <c r="AN31" s="116">
        <f t="shared" si="3"/>
        <v>2300</v>
      </c>
      <c r="AO31" s="116">
        <f t="shared" si="3"/>
        <v>2300</v>
      </c>
      <c r="AP31" s="115"/>
    </row>
    <row r="32" spans="2:42" ht="23">
      <c r="D32" s="136" t="s">
        <v>53</v>
      </c>
      <c r="E32" s="54">
        <v>133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17</v>
      </c>
      <c r="AC32" s="96">
        <f t="shared" si="0"/>
        <v>1.7154389505549948E-2</v>
      </c>
      <c r="AD32" s="97">
        <f t="shared" si="1"/>
        <v>12240</v>
      </c>
      <c r="AE32" s="97">
        <f t="shared" si="2"/>
        <v>3308.1081081081079</v>
      </c>
      <c r="AF32" s="116">
        <f t="shared" si="5"/>
        <v>3906.0493150684933</v>
      </c>
      <c r="AG32" s="116">
        <f t="shared" si="10"/>
        <v>-597.94120696038544</v>
      </c>
      <c r="AH32" s="116">
        <f t="shared" si="6"/>
        <v>-597.94120696038544</v>
      </c>
      <c r="AI32" s="116">
        <f t="shared" si="7"/>
        <v>-597.94120696038544</v>
      </c>
      <c r="AJ32" s="116">
        <f t="shared" si="11"/>
        <v>1702.0587930396146</v>
      </c>
      <c r="AK32" s="116">
        <f t="shared" si="8"/>
        <v>1702.0587930396146</v>
      </c>
      <c r="AL32" s="116">
        <f t="shared" si="8"/>
        <v>1702.0587930396146</v>
      </c>
      <c r="AM32" s="116">
        <f t="shared" si="9"/>
        <v>1702.0587930396146</v>
      </c>
      <c r="AN32" s="116">
        <f t="shared" si="3"/>
        <v>1702.0587930396146</v>
      </c>
      <c r="AO32" s="116">
        <f t="shared" si="3"/>
        <v>1702.0587930396146</v>
      </c>
      <c r="AP32" s="115"/>
    </row>
    <row r="33" spans="2:42" ht="23">
      <c r="D33" s="136" t="s">
        <v>54</v>
      </c>
      <c r="E33" s="54">
        <v>119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52</v>
      </c>
      <c r="AC33" s="96">
        <f t="shared" si="0"/>
        <v>5.2472250252270432E-2</v>
      </c>
      <c r="AD33" s="97">
        <f t="shared" si="1"/>
        <v>37440</v>
      </c>
      <c r="AE33" s="97">
        <f t="shared" si="2"/>
        <v>10118.918918918918</v>
      </c>
      <c r="AF33" s="116">
        <f t="shared" si="5"/>
        <v>3906.0493150684933</v>
      </c>
      <c r="AG33" s="116">
        <f t="shared" si="10"/>
        <v>6212.8696038504249</v>
      </c>
      <c r="AH33" s="116">
        <f t="shared" si="6"/>
        <v>6212.8696038504249</v>
      </c>
      <c r="AI33" s="116">
        <f t="shared" si="7"/>
        <v>6212.8696038504249</v>
      </c>
      <c r="AJ33" s="116">
        <f t="shared" si="11"/>
        <v>2300</v>
      </c>
      <c r="AK33" s="116">
        <f t="shared" si="8"/>
        <v>2300</v>
      </c>
      <c r="AL33" s="116">
        <f t="shared" si="8"/>
        <v>2300</v>
      </c>
      <c r="AM33" s="116">
        <f t="shared" si="9"/>
        <v>2300</v>
      </c>
      <c r="AN33" s="116">
        <f t="shared" si="3"/>
        <v>2300</v>
      </c>
      <c r="AO33" s="116">
        <f t="shared" si="3"/>
        <v>2300</v>
      </c>
      <c r="AP33" s="115"/>
    </row>
    <row r="34" spans="2:42" ht="23">
      <c r="D34" s="136" t="s">
        <v>55</v>
      </c>
      <c r="E34" s="54">
        <v>105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94</v>
      </c>
      <c r="AC34" s="96">
        <f t="shared" si="0"/>
        <v>9.4853683148335019E-2</v>
      </c>
      <c r="AD34" s="97">
        <f t="shared" si="1"/>
        <v>67680</v>
      </c>
      <c r="AE34" s="97">
        <f t="shared" si="2"/>
        <v>18291.89189189189</v>
      </c>
      <c r="AF34" s="116">
        <f t="shared" si="5"/>
        <v>3906.0493150684933</v>
      </c>
      <c r="AG34" s="116">
        <f t="shared" si="10"/>
        <v>14385.842576823397</v>
      </c>
      <c r="AH34" s="116">
        <f t="shared" si="6"/>
        <v>14385.842576823397</v>
      </c>
      <c r="AI34" s="116">
        <f t="shared" si="7"/>
        <v>14385.842576823397</v>
      </c>
      <c r="AJ34" s="116">
        <f t="shared" si="11"/>
        <v>2300</v>
      </c>
      <c r="AK34" s="116">
        <f t="shared" si="8"/>
        <v>2300</v>
      </c>
      <c r="AL34" s="116">
        <f t="shared" si="8"/>
        <v>2300</v>
      </c>
      <c r="AM34" s="116">
        <f t="shared" si="9"/>
        <v>2300</v>
      </c>
      <c r="AN34" s="116">
        <f t="shared" si="3"/>
        <v>2300</v>
      </c>
      <c r="AO34" s="116">
        <f t="shared" si="3"/>
        <v>2300</v>
      </c>
      <c r="AP34" s="115"/>
    </row>
    <row r="35" spans="2:42" ht="23">
      <c r="D35" s="136" t="s">
        <v>56</v>
      </c>
      <c r="E35" s="54">
        <v>111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114</v>
      </c>
      <c r="AC35" s="96">
        <f t="shared" si="0"/>
        <v>0.11503531786074672</v>
      </c>
      <c r="AD35" s="97">
        <f t="shared" si="1"/>
        <v>82080</v>
      </c>
      <c r="AE35" s="97">
        <f t="shared" si="2"/>
        <v>22183.783783783783</v>
      </c>
      <c r="AF35" s="116">
        <f t="shared" si="5"/>
        <v>3906.0493150684933</v>
      </c>
      <c r="AG35" s="116">
        <f t="shared" si="10"/>
        <v>18277.734468715291</v>
      </c>
      <c r="AH35" s="116">
        <f t="shared" si="6"/>
        <v>18277.734468715291</v>
      </c>
      <c r="AI35" s="116">
        <f t="shared" si="7"/>
        <v>18277.734468715291</v>
      </c>
      <c r="AJ35" s="116">
        <f t="shared" si="11"/>
        <v>2300</v>
      </c>
      <c r="AK35" s="116">
        <f t="shared" si="8"/>
        <v>2300</v>
      </c>
      <c r="AL35" s="116">
        <f t="shared" si="8"/>
        <v>2300</v>
      </c>
      <c r="AM35" s="116">
        <f t="shared" si="9"/>
        <v>2300</v>
      </c>
      <c r="AN35" s="116">
        <f t="shared" si="3"/>
        <v>2300</v>
      </c>
      <c r="AO35" s="116">
        <f t="shared" si="3"/>
        <v>2300</v>
      </c>
      <c r="AP35" s="115"/>
    </row>
    <row r="36" spans="2:42" ht="23">
      <c r="D36" s="136" t="s">
        <v>57</v>
      </c>
      <c r="E36" s="54">
        <v>79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118</v>
      </c>
      <c r="AC36" s="96">
        <f t="shared" si="0"/>
        <v>0.11907164480322906</v>
      </c>
      <c r="AD36" s="97">
        <f t="shared" si="1"/>
        <v>84960</v>
      </c>
      <c r="AE36" s="97">
        <f t="shared" si="2"/>
        <v>22962.16216216216</v>
      </c>
      <c r="AF36" s="116">
        <f t="shared" si="5"/>
        <v>3906.0493150684933</v>
      </c>
      <c r="AG36" s="116">
        <f t="shared" si="10"/>
        <v>19056.112847093667</v>
      </c>
      <c r="AH36" s="116">
        <f t="shared" si="6"/>
        <v>19056.112847093667</v>
      </c>
      <c r="AI36" s="116">
        <f t="shared" si="7"/>
        <v>19056.112847093667</v>
      </c>
      <c r="AJ36" s="116">
        <f t="shared" si="11"/>
        <v>2300</v>
      </c>
      <c r="AK36" s="116">
        <f t="shared" si="8"/>
        <v>2300</v>
      </c>
      <c r="AL36" s="116">
        <f t="shared" si="8"/>
        <v>2300</v>
      </c>
      <c r="AM36" s="116">
        <f t="shared" si="9"/>
        <v>2300</v>
      </c>
      <c r="AN36" s="116">
        <f t="shared" si="9"/>
        <v>2300</v>
      </c>
      <c r="AO36" s="116">
        <f t="shared" si="9"/>
        <v>2300</v>
      </c>
      <c r="AP36" s="115"/>
    </row>
    <row r="37" spans="2:42" ht="23">
      <c r="D37" s="136" t="s">
        <v>58</v>
      </c>
      <c r="E37" s="54">
        <v>28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133</v>
      </c>
      <c r="AC37" s="96">
        <f t="shared" si="0"/>
        <v>0.13420787083753785</v>
      </c>
      <c r="AD37" s="97">
        <f t="shared" si="1"/>
        <v>95760</v>
      </c>
      <c r="AE37" s="97">
        <f t="shared" si="2"/>
        <v>25881.08108108108</v>
      </c>
      <c r="AF37" s="116">
        <f t="shared" si="5"/>
        <v>3906.0493150684933</v>
      </c>
      <c r="AG37" s="116">
        <f t="shared" si="10"/>
        <v>21975.031766012587</v>
      </c>
      <c r="AH37" s="116">
        <f t="shared" si="6"/>
        <v>21975.031766012587</v>
      </c>
      <c r="AI37" s="116">
        <f t="shared" si="7"/>
        <v>21975.031766012587</v>
      </c>
      <c r="AJ37" s="116">
        <f t="shared" si="11"/>
        <v>2300</v>
      </c>
      <c r="AK37" s="116">
        <f t="shared" si="11"/>
        <v>2300</v>
      </c>
      <c r="AL37" s="116">
        <f t="shared" si="11"/>
        <v>2300</v>
      </c>
      <c r="AM37" s="116">
        <f t="shared" si="9"/>
        <v>2300</v>
      </c>
      <c r="AN37" s="116">
        <f t="shared" si="9"/>
        <v>2300</v>
      </c>
      <c r="AO37" s="116">
        <f t="shared" si="9"/>
        <v>2300</v>
      </c>
      <c r="AP37" s="115"/>
    </row>
    <row r="38" spans="2:42" ht="23">
      <c r="D38" s="136" t="s">
        <v>59</v>
      </c>
      <c r="E38" s="54">
        <v>21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119</v>
      </c>
      <c r="AC38" s="96">
        <f t="shared" si="0"/>
        <v>0.12008072653884964</v>
      </c>
      <c r="AD38" s="97">
        <f t="shared" si="1"/>
        <v>85680</v>
      </c>
      <c r="AE38" s="97">
        <f t="shared" si="2"/>
        <v>23156.756756756757</v>
      </c>
      <c r="AF38" s="116">
        <f t="shared" si="5"/>
        <v>3906.0493150684933</v>
      </c>
      <c r="AG38" s="116">
        <f t="shared" si="10"/>
        <v>19250.707441688264</v>
      </c>
      <c r="AH38" s="116">
        <f t="shared" si="6"/>
        <v>19250.707441688264</v>
      </c>
      <c r="AI38" s="116">
        <f t="shared" si="7"/>
        <v>19250.707441688264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105</v>
      </c>
      <c r="AC39" s="96">
        <f t="shared" si="0"/>
        <v>0.10595358224016145</v>
      </c>
      <c r="AD39" s="97">
        <f t="shared" si="1"/>
        <v>75600</v>
      </c>
      <c r="AE39" s="97">
        <f t="shared" si="2"/>
        <v>20432.43243243243</v>
      </c>
      <c r="AF39" s="116">
        <f t="shared" si="5"/>
        <v>3906.0493150684933</v>
      </c>
      <c r="AG39" s="116">
        <f t="shared" si="10"/>
        <v>16526.383117363937</v>
      </c>
      <c r="AH39" s="116">
        <f t="shared" si="6"/>
        <v>16526.383117363937</v>
      </c>
      <c r="AI39" s="116">
        <f t="shared" si="7"/>
        <v>16526.383117363937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991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111</v>
      </c>
      <c r="AC40" s="96">
        <f t="shared" si="0"/>
        <v>0.11200807265388496</v>
      </c>
      <c r="AD40" s="97">
        <f t="shared" si="1"/>
        <v>79920</v>
      </c>
      <c r="AE40" s="97">
        <f t="shared" si="2"/>
        <v>21600</v>
      </c>
      <c r="AF40" s="116">
        <f t="shared" si="5"/>
        <v>3906.0493150684933</v>
      </c>
      <c r="AG40" s="116">
        <f t="shared" si="10"/>
        <v>17693.950684931508</v>
      </c>
      <c r="AH40" s="116">
        <f t="shared" si="6"/>
        <v>17693.950684931508</v>
      </c>
      <c r="AI40" s="116">
        <f t="shared" si="7"/>
        <v>17693.950684931508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79</v>
      </c>
      <c r="AC41" s="96">
        <f t="shared" si="0"/>
        <v>7.9717457114026238E-2</v>
      </c>
      <c r="AD41" s="97">
        <f t="shared" si="1"/>
        <v>56880</v>
      </c>
      <c r="AE41" s="97">
        <f t="shared" si="2"/>
        <v>15372.972972972972</v>
      </c>
      <c r="AF41" s="116">
        <f t="shared" si="5"/>
        <v>3906.0493150684933</v>
      </c>
      <c r="AG41" s="116">
        <f t="shared" si="10"/>
        <v>11466.923657904477</v>
      </c>
      <c r="AH41" s="116">
        <f t="shared" si="6"/>
        <v>11466.923657904477</v>
      </c>
      <c r="AI41" s="116">
        <f t="shared" si="7"/>
        <v>11466.923657904477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28</v>
      </c>
      <c r="AC42" s="96">
        <f t="shared" si="0"/>
        <v>2.8254288597376387E-2</v>
      </c>
      <c r="AD42" s="97">
        <f t="shared" si="1"/>
        <v>20160</v>
      </c>
      <c r="AE42" s="97">
        <f t="shared" si="2"/>
        <v>5448.6486486486483</v>
      </c>
      <c r="AF42" s="116">
        <f t="shared" si="5"/>
        <v>3906.0493150684933</v>
      </c>
      <c r="AG42" s="116">
        <f t="shared" si="10"/>
        <v>1542.599333580155</v>
      </c>
      <c r="AH42" s="116">
        <f t="shared" si="6"/>
        <v>1542.599333580155</v>
      </c>
      <c r="AI42" s="116">
        <f t="shared" si="7"/>
        <v>1542.599333580155</v>
      </c>
      <c r="AJ42" s="116">
        <f t="shared" si="13"/>
        <v>2300</v>
      </c>
      <c r="AK42" s="116">
        <f t="shared" si="13"/>
        <v>2300</v>
      </c>
      <c r="AL42" s="116">
        <f t="shared" si="13"/>
        <v>2300</v>
      </c>
      <c r="AM42" s="116">
        <f t="shared" si="9"/>
        <v>2300</v>
      </c>
      <c r="AN42" s="116">
        <f t="shared" si="9"/>
        <v>2300</v>
      </c>
      <c r="AO42" s="116">
        <f t="shared" si="9"/>
        <v>2300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21</v>
      </c>
      <c r="AC43" s="96">
        <f t="shared" si="0"/>
        <v>2.119071644803229E-2</v>
      </c>
      <c r="AD43" s="97">
        <f t="shared" si="1"/>
        <v>15120</v>
      </c>
      <c r="AE43" s="97">
        <f t="shared" si="2"/>
        <v>4086.4864864864862</v>
      </c>
      <c r="AF43" s="116">
        <f t="shared" si="5"/>
        <v>3906.0493150684933</v>
      </c>
      <c r="AG43" s="116">
        <f t="shared" si="10"/>
        <v>180.43717141799289</v>
      </c>
      <c r="AH43" s="116">
        <f t="shared" si="6"/>
        <v>180.43717141799289</v>
      </c>
      <c r="AI43" s="116">
        <f t="shared" si="7"/>
        <v>180.43717141799289</v>
      </c>
      <c r="AJ43" s="116">
        <f t="shared" si="13"/>
        <v>2300</v>
      </c>
      <c r="AK43" s="116">
        <f t="shared" si="13"/>
        <v>2300</v>
      </c>
      <c r="AL43" s="116">
        <f t="shared" si="13"/>
        <v>2300</v>
      </c>
      <c r="AM43" s="116">
        <f t="shared" si="9"/>
        <v>2300</v>
      </c>
      <c r="AN43" s="116">
        <f t="shared" si="9"/>
        <v>2300</v>
      </c>
      <c r="AO43" s="116">
        <f t="shared" si="9"/>
        <v>2300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249.99999999999994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2000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5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4.9722222222222223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5.4250684931506843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130.20164383561644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3906.0493150684933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47556.1504109589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20.072753424657535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481.74608219178083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14452.382465753426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175957.75652054793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423.9577809761887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17.664907540674527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21B7-BD12-2B4D-BD08-914FD0CA89FD}">
  <dimension ref="B1:AQ119"/>
  <sheetViews>
    <sheetView zoomScale="120" zoomScaleNormal="120" workbookViewId="0">
      <selection activeCell="I29" sqref="I29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182</v>
      </c>
    </row>
    <row r="13" spans="2:43" s="109" customFormat="1" ht="31" thickTop="1" thickBot="1">
      <c r="B13" s="104" t="s">
        <v>186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250</v>
      </c>
      <c r="F19" s="137" t="s">
        <v>1</v>
      </c>
      <c r="N19" s="136" t="s">
        <v>28</v>
      </c>
      <c r="O19" s="138">
        <f>E18*E19</f>
        <v>1250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88</v>
      </c>
      <c r="F20" s="137" t="s">
        <v>9</v>
      </c>
      <c r="N20" s="136" t="s">
        <v>44</v>
      </c>
      <c r="O20" s="138">
        <f>E20*200*1000/10000</f>
        <v>1760</v>
      </c>
      <c r="P20" s="137" t="s">
        <v>17</v>
      </c>
      <c r="AA20" s="176">
        <v>43861</v>
      </c>
      <c r="AB20" s="95">
        <f>E27</f>
        <v>17</v>
      </c>
      <c r="AC20" s="96">
        <f t="shared" ref="AC20:AC43" si="0">AB20/E$40</f>
        <v>1.7154389505549948E-2</v>
      </c>
      <c r="AD20" s="97">
        <f t="shared" ref="AD20:AD43" si="1">O$19*AB20*E$67*E$46</f>
        <v>12240</v>
      </c>
      <c r="AE20" s="97">
        <f t="shared" ref="AE20:AE43" si="2">AD20/E$73</f>
        <v>3308.1081081081079</v>
      </c>
      <c r="AF20" s="116">
        <f>J$93</f>
        <v>3906.0493150684933</v>
      </c>
      <c r="AG20" s="116">
        <f>AE20-AF20</f>
        <v>-597.94120696038544</v>
      </c>
      <c r="AH20" s="116">
        <f>(AE20) * (1-E$113/100) - AH$15-AF20</f>
        <v>-1590.3736393928179</v>
      </c>
      <c r="AI20" s="116">
        <f>(AE20) * (1+E$113/100) -AH$15 -AF20</f>
        <v>394.49122547204752</v>
      </c>
      <c r="AJ20" s="116">
        <f>IF($E$75+AG20 &lt; $E$74,$E$75+AG20, $E$74)</f>
        <v>1402.0587930396146</v>
      </c>
      <c r="AK20" s="116">
        <f>IF($E$75+AH20 &lt; $E$74,$E$75+AH20, $E$74)</f>
        <v>409.62636060718205</v>
      </c>
      <c r="AL20" s="116">
        <f>IF($E$75+AI20 &lt; $E$74,$E$75+AI20, $E$74)</f>
        <v>2300</v>
      </c>
      <c r="AM20" s="116">
        <f>IF(AJ20&gt;0,AJ20,0)</f>
        <v>1402.0587930396146</v>
      </c>
      <c r="AN20" s="116">
        <f t="shared" ref="AN20:AO35" si="3">IF(AK20&gt;0,AK20,0)</f>
        <v>409.62636060718205</v>
      </c>
      <c r="AO20" s="116">
        <f>IF(AL20&gt;0,AL20,0)</f>
        <v>2300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52</v>
      </c>
      <c r="AC21" s="96">
        <f t="shared" si="0"/>
        <v>5.2472250252270432E-2</v>
      </c>
      <c r="AD21" s="97">
        <f t="shared" si="1"/>
        <v>37440</v>
      </c>
      <c r="AE21" s="97">
        <f t="shared" si="2"/>
        <v>10118.918918918918</v>
      </c>
      <c r="AF21" s="116">
        <f t="shared" ref="AF21:AF43" si="5">J$93</f>
        <v>3906.0493150684933</v>
      </c>
      <c r="AG21" s="116">
        <f>AE21-AF21</f>
        <v>6212.8696038504249</v>
      </c>
      <c r="AH21" s="116">
        <f t="shared" ref="AH21:AH43" si="6">(AE21) * (1-E$113/100) - AH$15-AF21</f>
        <v>3177.1939281747491</v>
      </c>
      <c r="AI21" s="116">
        <f t="shared" ref="AI21:AI43" si="7">(AE21) * (1+E$113/100) -AH$15 -AF21</f>
        <v>9248.5452795261008</v>
      </c>
      <c r="AJ21" s="116">
        <f>IF(AJ20+AG21 &lt; $E$74,AJ20+AG21, $E$74)</f>
        <v>2300</v>
      </c>
      <c r="AK21" s="116">
        <f t="shared" ref="AK21:AL36" si="8">IF(AK20+AH21 &lt; $E$74,AK20+AH21, $E$74)</f>
        <v>2300</v>
      </c>
      <c r="AL21" s="116">
        <f t="shared" si="8"/>
        <v>2300</v>
      </c>
      <c r="AM21" s="116">
        <f t="shared" ref="AM21:AO43" si="9">IF(AJ21&gt;0,AJ21,0)</f>
        <v>2300</v>
      </c>
      <c r="AN21" s="116">
        <f t="shared" si="3"/>
        <v>2300</v>
      </c>
      <c r="AO21" s="116">
        <f t="shared" si="3"/>
        <v>2300</v>
      </c>
    </row>
    <row r="22" spans="2:42" ht="22" thickTop="1">
      <c r="AA22" s="176">
        <v>43921</v>
      </c>
      <c r="AB22" s="95">
        <f t="shared" si="4"/>
        <v>94</v>
      </c>
      <c r="AC22" s="96">
        <f t="shared" si="0"/>
        <v>9.4853683148335019E-2</v>
      </c>
      <c r="AD22" s="97">
        <f t="shared" si="1"/>
        <v>67680</v>
      </c>
      <c r="AE22" s="97">
        <f t="shared" si="2"/>
        <v>18291.89189189189</v>
      </c>
      <c r="AF22" s="116">
        <f t="shared" si="5"/>
        <v>3906.0493150684933</v>
      </c>
      <c r="AG22" s="116">
        <f t="shared" ref="AG22:AG43" si="10">AE22-AF22</f>
        <v>14385.842576823397</v>
      </c>
      <c r="AH22" s="116">
        <f t="shared" si="6"/>
        <v>8898.2750092558272</v>
      </c>
      <c r="AI22" s="116">
        <f t="shared" si="7"/>
        <v>19873.410144390964</v>
      </c>
      <c r="AJ22" s="116">
        <f t="shared" ref="AJ22:AL37" si="11">IF(AJ21+AG22 &lt; $E$74,AJ21+AG22, $E$74)</f>
        <v>2300</v>
      </c>
      <c r="AK22" s="116">
        <f t="shared" si="8"/>
        <v>2300</v>
      </c>
      <c r="AL22" s="116">
        <f t="shared" si="8"/>
        <v>2300</v>
      </c>
      <c r="AM22" s="116">
        <f t="shared" si="9"/>
        <v>2300</v>
      </c>
      <c r="AN22" s="116">
        <f t="shared" si="3"/>
        <v>2300</v>
      </c>
      <c r="AO22" s="116">
        <f t="shared" si="3"/>
        <v>2300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114</v>
      </c>
      <c r="AC23" s="96">
        <f t="shared" si="0"/>
        <v>0.11503531786074672</v>
      </c>
      <c r="AD23" s="97">
        <f t="shared" si="1"/>
        <v>82080</v>
      </c>
      <c r="AE23" s="97">
        <f t="shared" si="2"/>
        <v>22183.783783783783</v>
      </c>
      <c r="AF23" s="116">
        <f t="shared" si="5"/>
        <v>3906.0493150684933</v>
      </c>
      <c r="AG23" s="116">
        <f t="shared" si="10"/>
        <v>18277.734468715291</v>
      </c>
      <c r="AH23" s="116">
        <f t="shared" si="6"/>
        <v>11622.599333580154</v>
      </c>
      <c r="AI23" s="116">
        <f t="shared" si="7"/>
        <v>24932.869603850428</v>
      </c>
      <c r="AJ23" s="116">
        <f t="shared" si="11"/>
        <v>2300</v>
      </c>
      <c r="AK23" s="116">
        <f t="shared" si="8"/>
        <v>2300</v>
      </c>
      <c r="AL23" s="116">
        <f t="shared" si="8"/>
        <v>2300</v>
      </c>
      <c r="AM23" s="116">
        <f t="shared" si="9"/>
        <v>2300</v>
      </c>
      <c r="AN23" s="116">
        <f t="shared" si="3"/>
        <v>2300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118</v>
      </c>
      <c r="AC24" s="96">
        <f t="shared" si="0"/>
        <v>0.11907164480322906</v>
      </c>
      <c r="AD24" s="97">
        <f t="shared" si="1"/>
        <v>84960</v>
      </c>
      <c r="AE24" s="97">
        <f t="shared" si="2"/>
        <v>22962.16216216216</v>
      </c>
      <c r="AF24" s="116">
        <f t="shared" si="5"/>
        <v>3906.0493150684933</v>
      </c>
      <c r="AG24" s="116">
        <f t="shared" si="10"/>
        <v>19056.112847093667</v>
      </c>
      <c r="AH24" s="116">
        <f t="shared" si="6"/>
        <v>12167.464198445017</v>
      </c>
      <c r="AI24" s="116">
        <f t="shared" si="7"/>
        <v>25944.761495742317</v>
      </c>
      <c r="AJ24" s="116">
        <f t="shared" si="11"/>
        <v>2300</v>
      </c>
      <c r="AK24" s="116">
        <f t="shared" si="8"/>
        <v>2300</v>
      </c>
      <c r="AL24" s="116">
        <f t="shared" si="8"/>
        <v>2300</v>
      </c>
      <c r="AM24" s="116">
        <f t="shared" si="9"/>
        <v>2300</v>
      </c>
      <c r="AN24" s="116">
        <f t="shared" si="3"/>
        <v>2300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133</v>
      </c>
      <c r="AC25" s="96">
        <f t="shared" si="0"/>
        <v>0.13420787083753785</v>
      </c>
      <c r="AD25" s="97">
        <f t="shared" si="1"/>
        <v>95760</v>
      </c>
      <c r="AE25" s="97">
        <f t="shared" si="2"/>
        <v>25881.08108108108</v>
      </c>
      <c r="AF25" s="116">
        <f t="shared" si="5"/>
        <v>3906.0493150684933</v>
      </c>
      <c r="AG25" s="116">
        <f t="shared" si="10"/>
        <v>21975.031766012587</v>
      </c>
      <c r="AH25" s="116">
        <f t="shared" si="6"/>
        <v>14210.707441688261</v>
      </c>
      <c r="AI25" s="116">
        <f t="shared" si="7"/>
        <v>29739.356090336914</v>
      </c>
      <c r="AJ25" s="116">
        <f t="shared" si="11"/>
        <v>2300</v>
      </c>
      <c r="AK25" s="116">
        <f t="shared" si="8"/>
        <v>2300</v>
      </c>
      <c r="AL25" s="116">
        <f t="shared" si="8"/>
        <v>2300</v>
      </c>
      <c r="AM25" s="116">
        <f t="shared" si="9"/>
        <v>2300</v>
      </c>
      <c r="AN25" s="116">
        <f t="shared" si="3"/>
        <v>2300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119</v>
      </c>
      <c r="AC26" s="96">
        <f t="shared" si="0"/>
        <v>0.12008072653884964</v>
      </c>
      <c r="AD26" s="97">
        <f t="shared" si="1"/>
        <v>85680</v>
      </c>
      <c r="AE26" s="97">
        <f t="shared" si="2"/>
        <v>23156.756756756757</v>
      </c>
      <c r="AF26" s="116">
        <f t="shared" si="5"/>
        <v>3906.0493150684933</v>
      </c>
      <c r="AG26" s="116">
        <f t="shared" si="10"/>
        <v>19250.707441688264</v>
      </c>
      <c r="AH26" s="116">
        <f t="shared" si="6"/>
        <v>12303.680414661234</v>
      </c>
      <c r="AI26" s="116">
        <f t="shared" si="7"/>
        <v>26197.734468715291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17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105</v>
      </c>
      <c r="AC27" s="96">
        <f t="shared" si="0"/>
        <v>0.10595358224016145</v>
      </c>
      <c r="AD27" s="97">
        <f t="shared" si="1"/>
        <v>75600</v>
      </c>
      <c r="AE27" s="97">
        <f t="shared" si="2"/>
        <v>20432.43243243243</v>
      </c>
      <c r="AF27" s="116">
        <f t="shared" si="5"/>
        <v>3906.0493150684933</v>
      </c>
      <c r="AG27" s="116">
        <f t="shared" si="10"/>
        <v>16526.383117363937</v>
      </c>
      <c r="AH27" s="116">
        <f t="shared" si="6"/>
        <v>10396.653387634207</v>
      </c>
      <c r="AI27" s="116">
        <f t="shared" si="7"/>
        <v>22656.112847093667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52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111</v>
      </c>
      <c r="AC28" s="96">
        <f t="shared" si="0"/>
        <v>0.11200807265388496</v>
      </c>
      <c r="AD28" s="97">
        <f t="shared" si="1"/>
        <v>79920</v>
      </c>
      <c r="AE28" s="97">
        <f t="shared" si="2"/>
        <v>21600</v>
      </c>
      <c r="AF28" s="116">
        <f t="shared" si="5"/>
        <v>3906.0493150684933</v>
      </c>
      <c r="AG28" s="116">
        <f t="shared" si="10"/>
        <v>17693.950684931508</v>
      </c>
      <c r="AH28" s="116">
        <f t="shared" si="6"/>
        <v>11213.950684931504</v>
      </c>
      <c r="AI28" s="116">
        <f t="shared" si="7"/>
        <v>24173.950684931508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94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79</v>
      </c>
      <c r="AC29" s="96">
        <f t="shared" si="0"/>
        <v>7.9717457114026238E-2</v>
      </c>
      <c r="AD29" s="97">
        <f t="shared" si="1"/>
        <v>56880</v>
      </c>
      <c r="AE29" s="97">
        <f t="shared" si="2"/>
        <v>15372.972972972972</v>
      </c>
      <c r="AF29" s="116">
        <f t="shared" si="5"/>
        <v>3906.0493150684933</v>
      </c>
      <c r="AG29" s="116">
        <f t="shared" si="10"/>
        <v>11466.923657904477</v>
      </c>
      <c r="AH29" s="116">
        <f t="shared" si="6"/>
        <v>6855.0317660125866</v>
      </c>
      <c r="AI29" s="116">
        <f t="shared" si="7"/>
        <v>16078.815549796371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114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28</v>
      </c>
      <c r="AC30" s="96">
        <f t="shared" si="0"/>
        <v>2.8254288597376387E-2</v>
      </c>
      <c r="AD30" s="97">
        <f t="shared" si="1"/>
        <v>20160</v>
      </c>
      <c r="AE30" s="97">
        <f t="shared" si="2"/>
        <v>5448.6486486486483</v>
      </c>
      <c r="AF30" s="116">
        <f t="shared" si="5"/>
        <v>3906.0493150684933</v>
      </c>
      <c r="AG30" s="116">
        <f t="shared" si="10"/>
        <v>1542.599333580155</v>
      </c>
      <c r="AH30" s="116">
        <f t="shared" si="6"/>
        <v>-91.99526101443962</v>
      </c>
      <c r="AI30" s="116">
        <f t="shared" si="7"/>
        <v>3177.19392817475</v>
      </c>
      <c r="AJ30" s="116">
        <f t="shared" si="11"/>
        <v>2300</v>
      </c>
      <c r="AK30" s="116">
        <f t="shared" si="8"/>
        <v>2208.0047389855604</v>
      </c>
      <c r="AL30" s="116">
        <f t="shared" si="8"/>
        <v>2300</v>
      </c>
      <c r="AM30" s="116">
        <f t="shared" si="9"/>
        <v>2300</v>
      </c>
      <c r="AN30" s="116">
        <f t="shared" si="3"/>
        <v>2208.0047389855604</v>
      </c>
      <c r="AO30" s="116">
        <f>IF(AL30&gt;0,AL30,0)</f>
        <v>2300</v>
      </c>
      <c r="AP30" s="115"/>
    </row>
    <row r="31" spans="2:42" ht="23">
      <c r="D31" s="136" t="s">
        <v>52</v>
      </c>
      <c r="E31" s="54">
        <v>118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21</v>
      </c>
      <c r="AC31" s="96">
        <f t="shared" si="0"/>
        <v>2.119071644803229E-2</v>
      </c>
      <c r="AD31" s="97">
        <f t="shared" si="1"/>
        <v>15120</v>
      </c>
      <c r="AE31" s="97">
        <f t="shared" si="2"/>
        <v>4086.4864864864862</v>
      </c>
      <c r="AF31" s="116">
        <f t="shared" si="5"/>
        <v>3906.0493150684933</v>
      </c>
      <c r="AG31" s="116">
        <f t="shared" si="10"/>
        <v>180.43717141799289</v>
      </c>
      <c r="AH31" s="116">
        <f t="shared" si="6"/>
        <v>-1045.5087745279529</v>
      </c>
      <c r="AI31" s="116">
        <f t="shared" si="7"/>
        <v>1406.3831173639392</v>
      </c>
      <c r="AJ31" s="116">
        <f t="shared" si="11"/>
        <v>2300</v>
      </c>
      <c r="AK31" s="116">
        <f t="shared" si="8"/>
        <v>1162.4959644576074</v>
      </c>
      <c r="AL31" s="116">
        <f t="shared" si="8"/>
        <v>2300</v>
      </c>
      <c r="AM31" s="116">
        <f t="shared" si="9"/>
        <v>2300</v>
      </c>
      <c r="AN31" s="116">
        <f t="shared" si="3"/>
        <v>1162.4959644576074</v>
      </c>
      <c r="AO31" s="116">
        <f t="shared" si="3"/>
        <v>2300</v>
      </c>
      <c r="AP31" s="115"/>
    </row>
    <row r="32" spans="2:42" ht="23">
      <c r="D32" s="136" t="s">
        <v>53</v>
      </c>
      <c r="E32" s="54">
        <v>133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17</v>
      </c>
      <c r="AC32" s="96">
        <f t="shared" si="0"/>
        <v>1.7154389505549948E-2</v>
      </c>
      <c r="AD32" s="97">
        <f t="shared" si="1"/>
        <v>12240</v>
      </c>
      <c r="AE32" s="97">
        <f t="shared" si="2"/>
        <v>3308.1081081081079</v>
      </c>
      <c r="AF32" s="116">
        <f t="shared" si="5"/>
        <v>3906.0493150684933</v>
      </c>
      <c r="AG32" s="116">
        <f t="shared" si="10"/>
        <v>-597.94120696038544</v>
      </c>
      <c r="AH32" s="116">
        <f t="shared" si="6"/>
        <v>-1590.3736393928179</v>
      </c>
      <c r="AI32" s="116">
        <f t="shared" si="7"/>
        <v>394.49122547204752</v>
      </c>
      <c r="AJ32" s="116">
        <f t="shared" si="11"/>
        <v>1702.0587930396146</v>
      </c>
      <c r="AK32" s="116">
        <f t="shared" si="8"/>
        <v>-427.87767493521051</v>
      </c>
      <c r="AL32" s="116">
        <f t="shared" si="8"/>
        <v>2300</v>
      </c>
      <c r="AM32" s="116">
        <f t="shared" si="9"/>
        <v>1702.0587930396146</v>
      </c>
      <c r="AN32" s="116">
        <f t="shared" si="3"/>
        <v>0</v>
      </c>
      <c r="AO32" s="116">
        <f t="shared" si="3"/>
        <v>2300</v>
      </c>
      <c r="AP32" s="115"/>
    </row>
    <row r="33" spans="2:42" ht="23">
      <c r="D33" s="136" t="s">
        <v>54</v>
      </c>
      <c r="E33" s="54">
        <v>119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52</v>
      </c>
      <c r="AC33" s="96">
        <f t="shared" si="0"/>
        <v>5.2472250252270432E-2</v>
      </c>
      <c r="AD33" s="97">
        <f t="shared" si="1"/>
        <v>37440</v>
      </c>
      <c r="AE33" s="97">
        <f t="shared" si="2"/>
        <v>10118.918918918918</v>
      </c>
      <c r="AF33" s="116">
        <f t="shared" si="5"/>
        <v>3906.0493150684933</v>
      </c>
      <c r="AG33" s="116">
        <f t="shared" si="10"/>
        <v>6212.8696038504249</v>
      </c>
      <c r="AH33" s="116">
        <f t="shared" si="6"/>
        <v>3177.1939281747491</v>
      </c>
      <c r="AI33" s="116">
        <f t="shared" si="7"/>
        <v>9248.5452795261008</v>
      </c>
      <c r="AJ33" s="116">
        <f t="shared" si="11"/>
        <v>2300</v>
      </c>
      <c r="AK33" s="116">
        <f t="shared" si="8"/>
        <v>2300</v>
      </c>
      <c r="AL33" s="116">
        <f t="shared" si="8"/>
        <v>2300</v>
      </c>
      <c r="AM33" s="116">
        <f t="shared" si="9"/>
        <v>2300</v>
      </c>
      <c r="AN33" s="116">
        <f t="shared" si="3"/>
        <v>2300</v>
      </c>
      <c r="AO33" s="116">
        <f t="shared" si="3"/>
        <v>2300</v>
      </c>
      <c r="AP33" s="115"/>
    </row>
    <row r="34" spans="2:42" ht="23">
      <c r="D34" s="136" t="s">
        <v>55</v>
      </c>
      <c r="E34" s="54">
        <v>105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94</v>
      </c>
      <c r="AC34" s="96">
        <f t="shared" si="0"/>
        <v>9.4853683148335019E-2</v>
      </c>
      <c r="AD34" s="97">
        <f t="shared" si="1"/>
        <v>67680</v>
      </c>
      <c r="AE34" s="97">
        <f t="shared" si="2"/>
        <v>18291.89189189189</v>
      </c>
      <c r="AF34" s="116">
        <f t="shared" si="5"/>
        <v>3906.0493150684933</v>
      </c>
      <c r="AG34" s="116">
        <f t="shared" si="10"/>
        <v>14385.842576823397</v>
      </c>
      <c r="AH34" s="116">
        <f t="shared" si="6"/>
        <v>8898.2750092558272</v>
      </c>
      <c r="AI34" s="116">
        <f t="shared" si="7"/>
        <v>19873.410144390964</v>
      </c>
      <c r="AJ34" s="116">
        <f t="shared" si="11"/>
        <v>2300</v>
      </c>
      <c r="AK34" s="116">
        <f t="shared" si="8"/>
        <v>2300</v>
      </c>
      <c r="AL34" s="116">
        <f t="shared" si="8"/>
        <v>2300</v>
      </c>
      <c r="AM34" s="116">
        <f t="shared" si="9"/>
        <v>2300</v>
      </c>
      <c r="AN34" s="116">
        <f t="shared" si="3"/>
        <v>2300</v>
      </c>
      <c r="AO34" s="116">
        <f t="shared" si="3"/>
        <v>2300</v>
      </c>
      <c r="AP34" s="115"/>
    </row>
    <row r="35" spans="2:42" ht="23">
      <c r="D35" s="136" t="s">
        <v>56</v>
      </c>
      <c r="E35" s="54">
        <v>111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114</v>
      </c>
      <c r="AC35" s="96">
        <f t="shared" si="0"/>
        <v>0.11503531786074672</v>
      </c>
      <c r="AD35" s="97">
        <f t="shared" si="1"/>
        <v>82080</v>
      </c>
      <c r="AE35" s="97">
        <f t="shared" si="2"/>
        <v>22183.783783783783</v>
      </c>
      <c r="AF35" s="116">
        <f t="shared" si="5"/>
        <v>3906.0493150684933</v>
      </c>
      <c r="AG35" s="116">
        <f t="shared" si="10"/>
        <v>18277.734468715291</v>
      </c>
      <c r="AH35" s="116">
        <f t="shared" si="6"/>
        <v>11622.599333580154</v>
      </c>
      <c r="AI35" s="116">
        <f t="shared" si="7"/>
        <v>24932.869603850428</v>
      </c>
      <c r="AJ35" s="116">
        <f t="shared" si="11"/>
        <v>2300</v>
      </c>
      <c r="AK35" s="116">
        <f t="shared" si="8"/>
        <v>2300</v>
      </c>
      <c r="AL35" s="116">
        <f t="shared" si="8"/>
        <v>2300</v>
      </c>
      <c r="AM35" s="116">
        <f t="shared" si="9"/>
        <v>2300</v>
      </c>
      <c r="AN35" s="116">
        <f t="shared" si="3"/>
        <v>2300</v>
      </c>
      <c r="AO35" s="116">
        <f t="shared" si="3"/>
        <v>2300</v>
      </c>
      <c r="AP35" s="115"/>
    </row>
    <row r="36" spans="2:42" ht="23">
      <c r="D36" s="136" t="s">
        <v>57</v>
      </c>
      <c r="E36" s="54">
        <v>79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118</v>
      </c>
      <c r="AC36" s="96">
        <f t="shared" si="0"/>
        <v>0.11907164480322906</v>
      </c>
      <c r="AD36" s="97">
        <f t="shared" si="1"/>
        <v>84960</v>
      </c>
      <c r="AE36" s="97">
        <f t="shared" si="2"/>
        <v>22962.16216216216</v>
      </c>
      <c r="AF36" s="116">
        <f t="shared" si="5"/>
        <v>3906.0493150684933</v>
      </c>
      <c r="AG36" s="116">
        <f t="shared" si="10"/>
        <v>19056.112847093667</v>
      </c>
      <c r="AH36" s="116">
        <f t="shared" si="6"/>
        <v>12167.464198445017</v>
      </c>
      <c r="AI36" s="116">
        <f t="shared" si="7"/>
        <v>25944.761495742317</v>
      </c>
      <c r="AJ36" s="116">
        <f t="shared" si="11"/>
        <v>2300</v>
      </c>
      <c r="AK36" s="116">
        <f t="shared" si="8"/>
        <v>2300</v>
      </c>
      <c r="AL36" s="116">
        <f t="shared" si="8"/>
        <v>2300</v>
      </c>
      <c r="AM36" s="116">
        <f t="shared" si="9"/>
        <v>2300</v>
      </c>
      <c r="AN36" s="116">
        <f t="shared" si="9"/>
        <v>2300</v>
      </c>
      <c r="AO36" s="116">
        <f t="shared" si="9"/>
        <v>2300</v>
      </c>
      <c r="AP36" s="115"/>
    </row>
    <row r="37" spans="2:42" ht="23">
      <c r="D37" s="136" t="s">
        <v>58</v>
      </c>
      <c r="E37" s="54">
        <v>28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133</v>
      </c>
      <c r="AC37" s="96">
        <f t="shared" si="0"/>
        <v>0.13420787083753785</v>
      </c>
      <c r="AD37" s="97">
        <f t="shared" si="1"/>
        <v>95760</v>
      </c>
      <c r="AE37" s="97">
        <f t="shared" si="2"/>
        <v>25881.08108108108</v>
      </c>
      <c r="AF37" s="116">
        <f t="shared" si="5"/>
        <v>3906.0493150684933</v>
      </c>
      <c r="AG37" s="116">
        <f t="shared" si="10"/>
        <v>21975.031766012587</v>
      </c>
      <c r="AH37" s="116">
        <f t="shared" si="6"/>
        <v>14210.707441688261</v>
      </c>
      <c r="AI37" s="116">
        <f t="shared" si="7"/>
        <v>29739.356090336914</v>
      </c>
      <c r="AJ37" s="116">
        <f t="shared" si="11"/>
        <v>2300</v>
      </c>
      <c r="AK37" s="116">
        <f t="shared" si="11"/>
        <v>2300</v>
      </c>
      <c r="AL37" s="116">
        <f t="shared" si="11"/>
        <v>2300</v>
      </c>
      <c r="AM37" s="116">
        <f t="shared" si="9"/>
        <v>2300</v>
      </c>
      <c r="AN37" s="116">
        <f t="shared" si="9"/>
        <v>2300</v>
      </c>
      <c r="AO37" s="116">
        <f t="shared" si="9"/>
        <v>2300</v>
      </c>
      <c r="AP37" s="115"/>
    </row>
    <row r="38" spans="2:42" ht="23">
      <c r="D38" s="136" t="s">
        <v>59</v>
      </c>
      <c r="E38" s="54">
        <v>21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119</v>
      </c>
      <c r="AC38" s="96">
        <f t="shared" si="0"/>
        <v>0.12008072653884964</v>
      </c>
      <c r="AD38" s="97">
        <f t="shared" si="1"/>
        <v>85680</v>
      </c>
      <c r="AE38" s="97">
        <f t="shared" si="2"/>
        <v>23156.756756756757</v>
      </c>
      <c r="AF38" s="116">
        <f t="shared" si="5"/>
        <v>3906.0493150684933</v>
      </c>
      <c r="AG38" s="116">
        <f t="shared" si="10"/>
        <v>19250.707441688264</v>
      </c>
      <c r="AH38" s="116">
        <f t="shared" si="6"/>
        <v>12303.680414661234</v>
      </c>
      <c r="AI38" s="116">
        <f t="shared" si="7"/>
        <v>26197.734468715291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105</v>
      </c>
      <c r="AC39" s="96">
        <f t="shared" si="0"/>
        <v>0.10595358224016145</v>
      </c>
      <c r="AD39" s="97">
        <f t="shared" si="1"/>
        <v>75600</v>
      </c>
      <c r="AE39" s="97">
        <f t="shared" si="2"/>
        <v>20432.43243243243</v>
      </c>
      <c r="AF39" s="116">
        <f t="shared" si="5"/>
        <v>3906.0493150684933</v>
      </c>
      <c r="AG39" s="116">
        <f t="shared" si="10"/>
        <v>16526.383117363937</v>
      </c>
      <c r="AH39" s="116">
        <f t="shared" si="6"/>
        <v>10396.653387634207</v>
      </c>
      <c r="AI39" s="116">
        <f t="shared" si="7"/>
        <v>22656.112847093667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991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111</v>
      </c>
      <c r="AC40" s="96">
        <f t="shared" si="0"/>
        <v>0.11200807265388496</v>
      </c>
      <c r="AD40" s="97">
        <f t="shared" si="1"/>
        <v>79920</v>
      </c>
      <c r="AE40" s="97">
        <f t="shared" si="2"/>
        <v>21600</v>
      </c>
      <c r="AF40" s="116">
        <f t="shared" si="5"/>
        <v>3906.0493150684933</v>
      </c>
      <c r="AG40" s="116">
        <f t="shared" si="10"/>
        <v>17693.950684931508</v>
      </c>
      <c r="AH40" s="116">
        <f t="shared" si="6"/>
        <v>11213.950684931504</v>
      </c>
      <c r="AI40" s="116">
        <f t="shared" si="7"/>
        <v>24173.950684931508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79</v>
      </c>
      <c r="AC41" s="96">
        <f t="shared" si="0"/>
        <v>7.9717457114026238E-2</v>
      </c>
      <c r="AD41" s="97">
        <f t="shared" si="1"/>
        <v>56880</v>
      </c>
      <c r="AE41" s="97">
        <f t="shared" si="2"/>
        <v>15372.972972972972</v>
      </c>
      <c r="AF41" s="116">
        <f t="shared" si="5"/>
        <v>3906.0493150684933</v>
      </c>
      <c r="AG41" s="116">
        <f t="shared" si="10"/>
        <v>11466.923657904477</v>
      </c>
      <c r="AH41" s="116">
        <f t="shared" si="6"/>
        <v>6855.0317660125866</v>
      </c>
      <c r="AI41" s="116">
        <f t="shared" si="7"/>
        <v>16078.815549796371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28</v>
      </c>
      <c r="AC42" s="96">
        <f t="shared" si="0"/>
        <v>2.8254288597376387E-2</v>
      </c>
      <c r="AD42" s="97">
        <f t="shared" si="1"/>
        <v>20160</v>
      </c>
      <c r="AE42" s="97">
        <f t="shared" si="2"/>
        <v>5448.6486486486483</v>
      </c>
      <c r="AF42" s="116">
        <f t="shared" si="5"/>
        <v>3906.0493150684933</v>
      </c>
      <c r="AG42" s="116">
        <f t="shared" si="10"/>
        <v>1542.599333580155</v>
      </c>
      <c r="AH42" s="116">
        <f t="shared" si="6"/>
        <v>-91.99526101443962</v>
      </c>
      <c r="AI42" s="116">
        <f t="shared" si="7"/>
        <v>3177.19392817475</v>
      </c>
      <c r="AJ42" s="116">
        <f t="shared" si="13"/>
        <v>2300</v>
      </c>
      <c r="AK42" s="116">
        <f t="shared" si="13"/>
        <v>2208.0047389855604</v>
      </c>
      <c r="AL42" s="116">
        <f t="shared" si="13"/>
        <v>2300</v>
      </c>
      <c r="AM42" s="116">
        <f t="shared" si="9"/>
        <v>2300</v>
      </c>
      <c r="AN42" s="116">
        <f t="shared" si="9"/>
        <v>2208.0047389855604</v>
      </c>
      <c r="AO42" s="116">
        <f t="shared" si="9"/>
        <v>2300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21</v>
      </c>
      <c r="AC43" s="96">
        <f t="shared" si="0"/>
        <v>2.119071644803229E-2</v>
      </c>
      <c r="AD43" s="97">
        <f t="shared" si="1"/>
        <v>15120</v>
      </c>
      <c r="AE43" s="97">
        <f t="shared" si="2"/>
        <v>4086.4864864864862</v>
      </c>
      <c r="AF43" s="116">
        <f t="shared" si="5"/>
        <v>3906.0493150684933</v>
      </c>
      <c r="AG43" s="116">
        <f t="shared" si="10"/>
        <v>180.43717141799289</v>
      </c>
      <c r="AH43" s="116">
        <f t="shared" si="6"/>
        <v>-1045.5087745279529</v>
      </c>
      <c r="AI43" s="116">
        <f t="shared" si="7"/>
        <v>1406.3831173639392</v>
      </c>
      <c r="AJ43" s="116">
        <f t="shared" si="13"/>
        <v>2300</v>
      </c>
      <c r="AK43" s="116">
        <f t="shared" si="13"/>
        <v>1162.4959644576074</v>
      </c>
      <c r="AL43" s="116">
        <f t="shared" si="13"/>
        <v>2300</v>
      </c>
      <c r="AM43" s="116">
        <f t="shared" si="9"/>
        <v>2300</v>
      </c>
      <c r="AN43" s="116">
        <f t="shared" si="9"/>
        <v>1162.4959644576074</v>
      </c>
      <c r="AO43" s="116">
        <f t="shared" si="9"/>
        <v>2300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249.99999999999994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2000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5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4.9722222222222223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5.4250684931506843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130.20164383561644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3906.0493150684933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47556.1504109589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20.072753424657535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481.74608219178083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14452.382465753426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175957.75652054793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423.9577809761887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17.664907540674527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30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830C-D22D-584C-9665-E981662C35F9}">
  <dimension ref="B1:AQ119"/>
  <sheetViews>
    <sheetView zoomScale="120" zoomScaleNormal="120" workbookViewId="0">
      <selection activeCell="B13" sqref="B13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182</v>
      </c>
    </row>
    <row r="13" spans="2:43" s="109" customFormat="1" ht="31" thickTop="1" thickBot="1">
      <c r="B13" s="104" t="s">
        <v>187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250</v>
      </c>
      <c r="F19" s="137" t="s">
        <v>1</v>
      </c>
      <c r="N19" s="136" t="s">
        <v>28</v>
      </c>
      <c r="O19" s="138">
        <f>E18*E19</f>
        <v>1250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88</v>
      </c>
      <c r="F20" s="137" t="s">
        <v>9</v>
      </c>
      <c r="N20" s="136" t="s">
        <v>44</v>
      </c>
      <c r="O20" s="138">
        <f>E20*200*1000/10000</f>
        <v>1760</v>
      </c>
      <c r="P20" s="137" t="s">
        <v>17</v>
      </c>
      <c r="AA20" s="176">
        <v>43861</v>
      </c>
      <c r="AB20" s="95">
        <f>E27</f>
        <v>17</v>
      </c>
      <c r="AC20" s="96">
        <f t="shared" ref="AC20:AC43" si="0">AB20/E$40</f>
        <v>1.7137096774193547E-2</v>
      </c>
      <c r="AD20" s="97">
        <f t="shared" ref="AD20:AD43" si="1">O$19*AB20*E$67*E$46</f>
        <v>12240</v>
      </c>
      <c r="AE20" s="97">
        <f t="shared" ref="AE20:AE43" si="2">AD20/E$73</f>
        <v>3308.1081081081079</v>
      </c>
      <c r="AF20" s="116">
        <f>J$93</f>
        <v>4012.8986301369869</v>
      </c>
      <c r="AG20" s="116">
        <f>AE20-AF20</f>
        <v>-704.79052202887897</v>
      </c>
      <c r="AH20" s="116">
        <f>(AE20) * (1-E$113/100) - AH$15-AF20</f>
        <v>-1697.2229544613115</v>
      </c>
      <c r="AI20" s="116">
        <f>(AE20) * (1+E$113/100) -AH$15 -AF20</f>
        <v>287.64191040355399</v>
      </c>
      <c r="AJ20" s="116">
        <f>IF($E$75+AG20 &lt; $E$74,$E$75+AG20, $E$74)</f>
        <v>3295.209477971121</v>
      </c>
      <c r="AK20" s="116">
        <f>IF($E$75+AH20 &lt; $E$74,$E$75+AH20, $E$74)</f>
        <v>2302.7770455386885</v>
      </c>
      <c r="AL20" s="116">
        <f>IF($E$75+AI20 &lt; $E$74,$E$75+AI20, $E$74)</f>
        <v>4287.641910403554</v>
      </c>
      <c r="AM20" s="116">
        <f>IF(AJ20&gt;0,AJ20,0)</f>
        <v>3295.209477971121</v>
      </c>
      <c r="AN20" s="116">
        <f t="shared" ref="AN20:AO35" si="3">IF(AK20&gt;0,AK20,0)</f>
        <v>2302.7770455386885</v>
      </c>
      <c r="AO20" s="116">
        <f>IF(AL20&gt;0,AL20,0)</f>
        <v>4287.641910403554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52</v>
      </c>
      <c r="AC21" s="96">
        <f t="shared" si="0"/>
        <v>5.2419354838709679E-2</v>
      </c>
      <c r="AD21" s="97">
        <f t="shared" si="1"/>
        <v>37440</v>
      </c>
      <c r="AE21" s="97">
        <f t="shared" si="2"/>
        <v>10118.918918918918</v>
      </c>
      <c r="AF21" s="116">
        <f t="shared" ref="AF21:AF43" si="5">J$93</f>
        <v>4012.8986301369869</v>
      </c>
      <c r="AG21" s="116">
        <f>AE21-AF21</f>
        <v>6106.0202887819314</v>
      </c>
      <c r="AH21" s="116">
        <f t="shared" ref="AH21:AH43" si="6">(AE21) * (1-E$113/100) - AH$15-AF21</f>
        <v>3070.3446131062556</v>
      </c>
      <c r="AI21" s="116">
        <f t="shared" ref="AI21:AI43" si="7">(AE21) * (1+E$113/100) -AH$15 -AF21</f>
        <v>9141.6959644576091</v>
      </c>
      <c r="AJ21" s="116">
        <f>IF(AJ20+AG21 &lt; $E$74,AJ20+AG21, $E$74)</f>
        <v>4600</v>
      </c>
      <c r="AK21" s="116">
        <f t="shared" ref="AK21:AL36" si="8">IF(AK20+AH21 &lt; $E$74,AK20+AH21, $E$74)</f>
        <v>4600</v>
      </c>
      <c r="AL21" s="116">
        <f t="shared" si="8"/>
        <v>4600</v>
      </c>
      <c r="AM21" s="116">
        <f t="shared" ref="AM21:AO43" si="9">IF(AJ21&gt;0,AJ21,0)</f>
        <v>4600</v>
      </c>
      <c r="AN21" s="116">
        <f t="shared" si="3"/>
        <v>4600</v>
      </c>
      <c r="AO21" s="116">
        <f t="shared" si="3"/>
        <v>4600</v>
      </c>
    </row>
    <row r="22" spans="2:42" ht="22" thickTop="1">
      <c r="AA22" s="176">
        <v>43921</v>
      </c>
      <c r="AB22" s="95">
        <f t="shared" si="4"/>
        <v>94</v>
      </c>
      <c r="AC22" s="96">
        <f t="shared" si="0"/>
        <v>9.4758064516129031E-2</v>
      </c>
      <c r="AD22" s="97">
        <f t="shared" si="1"/>
        <v>67680</v>
      </c>
      <c r="AE22" s="97">
        <f t="shared" si="2"/>
        <v>18291.89189189189</v>
      </c>
      <c r="AF22" s="116">
        <f t="shared" si="5"/>
        <v>4012.8986301369869</v>
      </c>
      <c r="AG22" s="116">
        <f t="shared" ref="AG22:AG43" si="10">AE22-AF22</f>
        <v>14278.993261754902</v>
      </c>
      <c r="AH22" s="116">
        <f t="shared" si="6"/>
        <v>8791.4256941873355</v>
      </c>
      <c r="AI22" s="116">
        <f t="shared" si="7"/>
        <v>19766.560829322469</v>
      </c>
      <c r="AJ22" s="116">
        <f t="shared" ref="AJ22:AL37" si="11">IF(AJ21+AG22 &lt; $E$74,AJ21+AG22, $E$74)</f>
        <v>4600</v>
      </c>
      <c r="AK22" s="116">
        <f t="shared" si="8"/>
        <v>4600</v>
      </c>
      <c r="AL22" s="116">
        <f t="shared" si="8"/>
        <v>4600</v>
      </c>
      <c r="AM22" s="116">
        <f t="shared" si="9"/>
        <v>4600</v>
      </c>
      <c r="AN22" s="116">
        <f t="shared" si="3"/>
        <v>4600</v>
      </c>
      <c r="AO22" s="116">
        <f t="shared" si="3"/>
        <v>4600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114</v>
      </c>
      <c r="AC23" s="96">
        <f t="shared" si="0"/>
        <v>0.11491935483870967</v>
      </c>
      <c r="AD23" s="97">
        <f t="shared" si="1"/>
        <v>82080</v>
      </c>
      <c r="AE23" s="97">
        <f t="shared" si="2"/>
        <v>22183.783783783783</v>
      </c>
      <c r="AF23" s="116">
        <f t="shared" si="5"/>
        <v>4012.8986301369869</v>
      </c>
      <c r="AG23" s="116">
        <f t="shared" si="10"/>
        <v>18170.885153646796</v>
      </c>
      <c r="AH23" s="116">
        <f t="shared" si="6"/>
        <v>11515.750018511659</v>
      </c>
      <c r="AI23" s="116">
        <f t="shared" si="7"/>
        <v>24826.020288781932</v>
      </c>
      <c r="AJ23" s="116">
        <f t="shared" si="11"/>
        <v>4600</v>
      </c>
      <c r="AK23" s="116">
        <f t="shared" si="8"/>
        <v>4600</v>
      </c>
      <c r="AL23" s="116">
        <f t="shared" si="8"/>
        <v>4600</v>
      </c>
      <c r="AM23" s="116">
        <f t="shared" si="9"/>
        <v>4600</v>
      </c>
      <c r="AN23" s="116">
        <f t="shared" si="3"/>
        <v>4600</v>
      </c>
      <c r="AO23" s="116">
        <f t="shared" si="3"/>
        <v>4600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118</v>
      </c>
      <c r="AC24" s="96">
        <f t="shared" si="0"/>
        <v>0.11895161290322581</v>
      </c>
      <c r="AD24" s="97">
        <f t="shared" si="1"/>
        <v>84960</v>
      </c>
      <c r="AE24" s="97">
        <f t="shared" si="2"/>
        <v>22962.16216216216</v>
      </c>
      <c r="AF24" s="116">
        <f t="shared" si="5"/>
        <v>4012.8986301369869</v>
      </c>
      <c r="AG24" s="116">
        <f t="shared" si="10"/>
        <v>18949.263532025172</v>
      </c>
      <c r="AH24" s="116">
        <f t="shared" si="6"/>
        <v>12060.614883376526</v>
      </c>
      <c r="AI24" s="116">
        <f t="shared" si="7"/>
        <v>25837.912180673822</v>
      </c>
      <c r="AJ24" s="116">
        <f t="shared" si="11"/>
        <v>4600</v>
      </c>
      <c r="AK24" s="116">
        <f t="shared" si="8"/>
        <v>4600</v>
      </c>
      <c r="AL24" s="116">
        <f t="shared" si="8"/>
        <v>4600</v>
      </c>
      <c r="AM24" s="116">
        <f t="shared" si="9"/>
        <v>4600</v>
      </c>
      <c r="AN24" s="116">
        <f t="shared" si="3"/>
        <v>4600</v>
      </c>
      <c r="AO24" s="116">
        <f t="shared" si="3"/>
        <v>4600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133</v>
      </c>
      <c r="AC25" s="96">
        <f t="shared" si="0"/>
        <v>0.13407258064516128</v>
      </c>
      <c r="AD25" s="97">
        <f t="shared" si="1"/>
        <v>95760</v>
      </c>
      <c r="AE25" s="97">
        <f t="shared" si="2"/>
        <v>25881.08108108108</v>
      </c>
      <c r="AF25" s="116">
        <f t="shared" si="5"/>
        <v>4012.8986301369869</v>
      </c>
      <c r="AG25" s="116">
        <f t="shared" si="10"/>
        <v>21868.182450944092</v>
      </c>
      <c r="AH25" s="116">
        <f t="shared" si="6"/>
        <v>14103.858126619765</v>
      </c>
      <c r="AI25" s="116">
        <f t="shared" si="7"/>
        <v>29632.506775268419</v>
      </c>
      <c r="AJ25" s="116">
        <f t="shared" si="11"/>
        <v>4600</v>
      </c>
      <c r="AK25" s="116">
        <f t="shared" si="8"/>
        <v>4600</v>
      </c>
      <c r="AL25" s="116">
        <f t="shared" si="8"/>
        <v>4600</v>
      </c>
      <c r="AM25" s="116">
        <f t="shared" si="9"/>
        <v>4600</v>
      </c>
      <c r="AN25" s="116">
        <f t="shared" si="3"/>
        <v>4600</v>
      </c>
      <c r="AO25" s="116">
        <f t="shared" si="3"/>
        <v>4600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119</v>
      </c>
      <c r="AC26" s="96">
        <f t="shared" si="0"/>
        <v>0.11995967741935484</v>
      </c>
      <c r="AD26" s="97">
        <f t="shared" si="1"/>
        <v>85680</v>
      </c>
      <c r="AE26" s="97">
        <f t="shared" si="2"/>
        <v>23156.756756756757</v>
      </c>
      <c r="AF26" s="116">
        <f t="shared" si="5"/>
        <v>4012.8986301369869</v>
      </c>
      <c r="AG26" s="116">
        <f t="shared" si="10"/>
        <v>19143.858126619769</v>
      </c>
      <c r="AH26" s="116">
        <f t="shared" si="6"/>
        <v>12196.831099592742</v>
      </c>
      <c r="AI26" s="116">
        <f t="shared" si="7"/>
        <v>26090.885153646796</v>
      </c>
      <c r="AJ26" s="116">
        <f t="shared" si="11"/>
        <v>4600</v>
      </c>
      <c r="AK26" s="116">
        <f t="shared" si="8"/>
        <v>4600</v>
      </c>
      <c r="AL26" s="116">
        <f t="shared" si="8"/>
        <v>4600</v>
      </c>
      <c r="AM26" s="116">
        <f t="shared" si="9"/>
        <v>4600</v>
      </c>
      <c r="AN26" s="116">
        <f t="shared" si="3"/>
        <v>4600</v>
      </c>
      <c r="AO26" s="116">
        <f t="shared" si="3"/>
        <v>4600</v>
      </c>
      <c r="AP26" s="115"/>
    </row>
    <row r="27" spans="2:42" ht="23">
      <c r="B27" s="135" t="s">
        <v>89</v>
      </c>
      <c r="D27" s="136" t="s">
        <v>48</v>
      </c>
      <c r="E27" s="54">
        <v>17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105</v>
      </c>
      <c r="AC27" s="96">
        <f t="shared" si="0"/>
        <v>0.10584677419354839</v>
      </c>
      <c r="AD27" s="97">
        <f t="shared" si="1"/>
        <v>75600</v>
      </c>
      <c r="AE27" s="97">
        <f t="shared" si="2"/>
        <v>20432.43243243243</v>
      </c>
      <c r="AF27" s="116">
        <f t="shared" si="5"/>
        <v>4012.8986301369869</v>
      </c>
      <c r="AG27" s="116">
        <f t="shared" si="10"/>
        <v>16419.533802295442</v>
      </c>
      <c r="AH27" s="116">
        <f t="shared" si="6"/>
        <v>10289.804072565712</v>
      </c>
      <c r="AI27" s="116">
        <f t="shared" si="7"/>
        <v>22549.263532025172</v>
      </c>
      <c r="AJ27" s="116">
        <f t="shared" si="11"/>
        <v>4600</v>
      </c>
      <c r="AK27" s="116">
        <f t="shared" si="8"/>
        <v>4600</v>
      </c>
      <c r="AL27" s="116">
        <f t="shared" si="8"/>
        <v>4600</v>
      </c>
      <c r="AM27" s="116">
        <f t="shared" si="9"/>
        <v>4600</v>
      </c>
      <c r="AN27" s="116">
        <f t="shared" si="3"/>
        <v>4600</v>
      </c>
      <c r="AO27" s="116">
        <f t="shared" si="3"/>
        <v>4600</v>
      </c>
      <c r="AP27" s="115"/>
    </row>
    <row r="28" spans="2:42" ht="23">
      <c r="B28" s="135" t="s">
        <v>90</v>
      </c>
      <c r="D28" s="136" t="s">
        <v>49</v>
      </c>
      <c r="E28" s="54">
        <v>52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111</v>
      </c>
      <c r="AC28" s="96">
        <f t="shared" si="0"/>
        <v>0.11189516129032258</v>
      </c>
      <c r="AD28" s="97">
        <f t="shared" si="1"/>
        <v>79920</v>
      </c>
      <c r="AE28" s="97">
        <f t="shared" si="2"/>
        <v>21600</v>
      </c>
      <c r="AF28" s="116">
        <f t="shared" si="5"/>
        <v>4012.8986301369869</v>
      </c>
      <c r="AG28" s="116">
        <f t="shared" si="10"/>
        <v>17587.101369863012</v>
      </c>
      <c r="AH28" s="116">
        <f t="shared" si="6"/>
        <v>11107.101369863012</v>
      </c>
      <c r="AI28" s="116">
        <f t="shared" si="7"/>
        <v>24067.101369863012</v>
      </c>
      <c r="AJ28" s="116">
        <f t="shared" si="11"/>
        <v>4600</v>
      </c>
      <c r="AK28" s="116">
        <f t="shared" si="8"/>
        <v>4600</v>
      </c>
      <c r="AL28" s="116">
        <f t="shared" si="8"/>
        <v>4600</v>
      </c>
      <c r="AM28" s="116">
        <f t="shared" si="9"/>
        <v>4600</v>
      </c>
      <c r="AN28" s="116">
        <f t="shared" si="3"/>
        <v>4600</v>
      </c>
      <c r="AO28" s="116">
        <f t="shared" si="3"/>
        <v>4600</v>
      </c>
      <c r="AP28" s="115"/>
    </row>
    <row r="29" spans="2:42" ht="23">
      <c r="D29" s="136" t="s">
        <v>50</v>
      </c>
      <c r="E29" s="54">
        <v>94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79</v>
      </c>
      <c r="AC29" s="96">
        <f t="shared" si="0"/>
        <v>7.9637096774193547E-2</v>
      </c>
      <c r="AD29" s="97">
        <f t="shared" si="1"/>
        <v>56880</v>
      </c>
      <c r="AE29" s="97">
        <f t="shared" si="2"/>
        <v>15372.972972972972</v>
      </c>
      <c r="AF29" s="116">
        <f t="shared" si="5"/>
        <v>4012.8986301369869</v>
      </c>
      <c r="AG29" s="116">
        <f t="shared" si="10"/>
        <v>11360.074342835986</v>
      </c>
      <c r="AH29" s="116">
        <f t="shared" si="6"/>
        <v>6748.182450944093</v>
      </c>
      <c r="AI29" s="116">
        <f t="shared" si="7"/>
        <v>15971.966234727875</v>
      </c>
      <c r="AJ29" s="116">
        <f t="shared" si="11"/>
        <v>4600</v>
      </c>
      <c r="AK29" s="116">
        <f t="shared" si="8"/>
        <v>4600</v>
      </c>
      <c r="AL29" s="116">
        <f t="shared" si="8"/>
        <v>4600</v>
      </c>
      <c r="AM29" s="116">
        <f t="shared" si="9"/>
        <v>4600</v>
      </c>
      <c r="AN29" s="116">
        <f t="shared" si="3"/>
        <v>4600</v>
      </c>
      <c r="AO29" s="116">
        <f t="shared" si="3"/>
        <v>4600</v>
      </c>
      <c r="AP29" s="115"/>
    </row>
    <row r="30" spans="2:42" ht="23">
      <c r="D30" s="136" t="s">
        <v>51</v>
      </c>
      <c r="E30" s="54">
        <v>114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28</v>
      </c>
      <c r="AC30" s="96">
        <f t="shared" si="0"/>
        <v>2.8225806451612902E-2</v>
      </c>
      <c r="AD30" s="97">
        <f t="shared" si="1"/>
        <v>20160</v>
      </c>
      <c r="AE30" s="97">
        <f t="shared" si="2"/>
        <v>5448.6486486486483</v>
      </c>
      <c r="AF30" s="116">
        <f t="shared" si="5"/>
        <v>4012.8986301369869</v>
      </c>
      <c r="AG30" s="116">
        <f t="shared" si="10"/>
        <v>1435.7500185116614</v>
      </c>
      <c r="AH30" s="116">
        <f t="shared" si="6"/>
        <v>-198.84457608293314</v>
      </c>
      <c r="AI30" s="116">
        <f t="shared" si="7"/>
        <v>3070.3446131062565</v>
      </c>
      <c r="AJ30" s="116">
        <f t="shared" si="11"/>
        <v>4600</v>
      </c>
      <c r="AK30" s="116">
        <f t="shared" si="8"/>
        <v>4401.1554239170673</v>
      </c>
      <c r="AL30" s="116">
        <f t="shared" si="8"/>
        <v>4600</v>
      </c>
      <c r="AM30" s="116">
        <f t="shared" si="9"/>
        <v>4600</v>
      </c>
      <c r="AN30" s="116">
        <f t="shared" si="3"/>
        <v>4401.1554239170673</v>
      </c>
      <c r="AO30" s="116">
        <f>IF(AL30&gt;0,AL30,0)</f>
        <v>4600</v>
      </c>
      <c r="AP30" s="115"/>
    </row>
    <row r="31" spans="2:42" ht="23">
      <c r="D31" s="136" t="s">
        <v>52</v>
      </c>
      <c r="E31" s="54">
        <v>118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22</v>
      </c>
      <c r="AC31" s="96">
        <f t="shared" si="0"/>
        <v>2.2177419354838711E-2</v>
      </c>
      <c r="AD31" s="97">
        <f t="shared" si="1"/>
        <v>15840</v>
      </c>
      <c r="AE31" s="97">
        <f t="shared" si="2"/>
        <v>4281.0810810810808</v>
      </c>
      <c r="AF31" s="116">
        <f t="shared" si="5"/>
        <v>4012.8986301369869</v>
      </c>
      <c r="AG31" s="116">
        <f t="shared" si="10"/>
        <v>268.18245094409394</v>
      </c>
      <c r="AH31" s="116">
        <f t="shared" si="6"/>
        <v>-1016.1418733802307</v>
      </c>
      <c r="AI31" s="116">
        <f t="shared" si="7"/>
        <v>1552.5067752684181</v>
      </c>
      <c r="AJ31" s="116">
        <f t="shared" si="11"/>
        <v>4600</v>
      </c>
      <c r="AK31" s="116">
        <f t="shared" si="8"/>
        <v>3385.0135505368366</v>
      </c>
      <c r="AL31" s="116">
        <f t="shared" si="8"/>
        <v>4600</v>
      </c>
      <c r="AM31" s="116">
        <f t="shared" si="9"/>
        <v>4600</v>
      </c>
      <c r="AN31" s="116">
        <f t="shared" si="3"/>
        <v>3385.0135505368366</v>
      </c>
      <c r="AO31" s="116">
        <f t="shared" si="3"/>
        <v>4600</v>
      </c>
      <c r="AP31" s="115"/>
    </row>
    <row r="32" spans="2:42" ht="23">
      <c r="D32" s="136" t="s">
        <v>53</v>
      </c>
      <c r="E32" s="54">
        <v>133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17</v>
      </c>
      <c r="AC32" s="96">
        <f t="shared" si="0"/>
        <v>1.7137096774193547E-2</v>
      </c>
      <c r="AD32" s="97">
        <f t="shared" si="1"/>
        <v>12240</v>
      </c>
      <c r="AE32" s="97">
        <f t="shared" si="2"/>
        <v>3308.1081081081079</v>
      </c>
      <c r="AF32" s="116">
        <f t="shared" si="5"/>
        <v>4012.8986301369869</v>
      </c>
      <c r="AG32" s="116">
        <f t="shared" si="10"/>
        <v>-704.79052202887897</v>
      </c>
      <c r="AH32" s="116">
        <f t="shared" si="6"/>
        <v>-1697.2229544613115</v>
      </c>
      <c r="AI32" s="116">
        <f t="shared" si="7"/>
        <v>287.64191040355399</v>
      </c>
      <c r="AJ32" s="116">
        <f t="shared" si="11"/>
        <v>3895.209477971121</v>
      </c>
      <c r="AK32" s="116">
        <f t="shared" si="8"/>
        <v>1687.7905960755252</v>
      </c>
      <c r="AL32" s="116">
        <f t="shared" si="8"/>
        <v>4600</v>
      </c>
      <c r="AM32" s="116">
        <f t="shared" si="9"/>
        <v>3895.209477971121</v>
      </c>
      <c r="AN32" s="116">
        <f t="shared" si="3"/>
        <v>1687.7905960755252</v>
      </c>
      <c r="AO32" s="116">
        <f t="shared" si="3"/>
        <v>4600</v>
      </c>
      <c r="AP32" s="115"/>
    </row>
    <row r="33" spans="2:42" ht="23">
      <c r="D33" s="136" t="s">
        <v>54</v>
      </c>
      <c r="E33" s="54">
        <v>119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52</v>
      </c>
      <c r="AC33" s="96">
        <f t="shared" si="0"/>
        <v>5.2419354838709679E-2</v>
      </c>
      <c r="AD33" s="97">
        <f t="shared" si="1"/>
        <v>37440</v>
      </c>
      <c r="AE33" s="97">
        <f t="shared" si="2"/>
        <v>10118.918918918918</v>
      </c>
      <c r="AF33" s="116">
        <f t="shared" si="5"/>
        <v>4012.8986301369869</v>
      </c>
      <c r="AG33" s="116">
        <f t="shared" si="10"/>
        <v>6106.0202887819314</v>
      </c>
      <c r="AH33" s="116">
        <f t="shared" si="6"/>
        <v>3070.3446131062556</v>
      </c>
      <c r="AI33" s="116">
        <f t="shared" si="7"/>
        <v>9141.6959644576091</v>
      </c>
      <c r="AJ33" s="116">
        <f t="shared" si="11"/>
        <v>4600</v>
      </c>
      <c r="AK33" s="116">
        <f t="shared" si="8"/>
        <v>4600</v>
      </c>
      <c r="AL33" s="116">
        <f t="shared" si="8"/>
        <v>4600</v>
      </c>
      <c r="AM33" s="116">
        <f t="shared" si="9"/>
        <v>4600</v>
      </c>
      <c r="AN33" s="116">
        <f t="shared" si="3"/>
        <v>4600</v>
      </c>
      <c r="AO33" s="116">
        <f t="shared" si="3"/>
        <v>4600</v>
      </c>
      <c r="AP33" s="115"/>
    </row>
    <row r="34" spans="2:42" ht="23">
      <c r="D34" s="136" t="s">
        <v>55</v>
      </c>
      <c r="E34" s="54">
        <v>105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94</v>
      </c>
      <c r="AC34" s="96">
        <f t="shared" si="0"/>
        <v>9.4758064516129031E-2</v>
      </c>
      <c r="AD34" s="97">
        <f t="shared" si="1"/>
        <v>67680</v>
      </c>
      <c r="AE34" s="97">
        <f t="shared" si="2"/>
        <v>18291.89189189189</v>
      </c>
      <c r="AF34" s="116">
        <f t="shared" si="5"/>
        <v>4012.8986301369869</v>
      </c>
      <c r="AG34" s="116">
        <f t="shared" si="10"/>
        <v>14278.993261754902</v>
      </c>
      <c r="AH34" s="116">
        <f t="shared" si="6"/>
        <v>8791.4256941873355</v>
      </c>
      <c r="AI34" s="116">
        <f t="shared" si="7"/>
        <v>19766.560829322469</v>
      </c>
      <c r="AJ34" s="116">
        <f t="shared" si="11"/>
        <v>4600</v>
      </c>
      <c r="AK34" s="116">
        <f t="shared" si="8"/>
        <v>4600</v>
      </c>
      <c r="AL34" s="116">
        <f t="shared" si="8"/>
        <v>4600</v>
      </c>
      <c r="AM34" s="116">
        <f t="shared" si="9"/>
        <v>4600</v>
      </c>
      <c r="AN34" s="116">
        <f t="shared" si="3"/>
        <v>4600</v>
      </c>
      <c r="AO34" s="116">
        <f t="shared" si="3"/>
        <v>4600</v>
      </c>
      <c r="AP34" s="115"/>
    </row>
    <row r="35" spans="2:42" ht="23">
      <c r="D35" s="136" t="s">
        <v>56</v>
      </c>
      <c r="E35" s="54">
        <v>111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114</v>
      </c>
      <c r="AC35" s="96">
        <f t="shared" si="0"/>
        <v>0.11491935483870967</v>
      </c>
      <c r="AD35" s="97">
        <f t="shared" si="1"/>
        <v>82080</v>
      </c>
      <c r="AE35" s="97">
        <f t="shared" si="2"/>
        <v>22183.783783783783</v>
      </c>
      <c r="AF35" s="116">
        <f t="shared" si="5"/>
        <v>4012.8986301369869</v>
      </c>
      <c r="AG35" s="116">
        <f t="shared" si="10"/>
        <v>18170.885153646796</v>
      </c>
      <c r="AH35" s="116">
        <f t="shared" si="6"/>
        <v>11515.750018511659</v>
      </c>
      <c r="AI35" s="116">
        <f t="shared" si="7"/>
        <v>24826.020288781932</v>
      </c>
      <c r="AJ35" s="116">
        <f t="shared" si="11"/>
        <v>4600</v>
      </c>
      <c r="AK35" s="116">
        <f t="shared" si="8"/>
        <v>4600</v>
      </c>
      <c r="AL35" s="116">
        <f t="shared" si="8"/>
        <v>4600</v>
      </c>
      <c r="AM35" s="116">
        <f t="shared" si="9"/>
        <v>4600</v>
      </c>
      <c r="AN35" s="116">
        <f t="shared" si="3"/>
        <v>4600</v>
      </c>
      <c r="AO35" s="116">
        <f t="shared" si="3"/>
        <v>4600</v>
      </c>
      <c r="AP35" s="115"/>
    </row>
    <row r="36" spans="2:42" ht="23">
      <c r="D36" s="136" t="s">
        <v>57</v>
      </c>
      <c r="E36" s="54">
        <v>79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118</v>
      </c>
      <c r="AC36" s="96">
        <f t="shared" si="0"/>
        <v>0.11895161290322581</v>
      </c>
      <c r="AD36" s="97">
        <f t="shared" si="1"/>
        <v>84960</v>
      </c>
      <c r="AE36" s="97">
        <f t="shared" si="2"/>
        <v>22962.16216216216</v>
      </c>
      <c r="AF36" s="116">
        <f t="shared" si="5"/>
        <v>4012.8986301369869</v>
      </c>
      <c r="AG36" s="116">
        <f t="shared" si="10"/>
        <v>18949.263532025172</v>
      </c>
      <c r="AH36" s="116">
        <f t="shared" si="6"/>
        <v>12060.614883376526</v>
      </c>
      <c r="AI36" s="116">
        <f t="shared" si="7"/>
        <v>25837.912180673822</v>
      </c>
      <c r="AJ36" s="116">
        <f t="shared" si="11"/>
        <v>4600</v>
      </c>
      <c r="AK36" s="116">
        <f t="shared" si="8"/>
        <v>4600</v>
      </c>
      <c r="AL36" s="116">
        <f t="shared" si="8"/>
        <v>4600</v>
      </c>
      <c r="AM36" s="116">
        <f t="shared" si="9"/>
        <v>4600</v>
      </c>
      <c r="AN36" s="116">
        <f t="shared" si="9"/>
        <v>4600</v>
      </c>
      <c r="AO36" s="116">
        <f t="shared" si="9"/>
        <v>4600</v>
      </c>
      <c r="AP36" s="115"/>
    </row>
    <row r="37" spans="2:42" ht="23">
      <c r="D37" s="136" t="s">
        <v>58</v>
      </c>
      <c r="E37" s="54">
        <v>28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133</v>
      </c>
      <c r="AC37" s="96">
        <f t="shared" si="0"/>
        <v>0.13407258064516128</v>
      </c>
      <c r="AD37" s="97">
        <f t="shared" si="1"/>
        <v>95760</v>
      </c>
      <c r="AE37" s="97">
        <f t="shared" si="2"/>
        <v>25881.08108108108</v>
      </c>
      <c r="AF37" s="116">
        <f t="shared" si="5"/>
        <v>4012.8986301369869</v>
      </c>
      <c r="AG37" s="116">
        <f t="shared" si="10"/>
        <v>21868.182450944092</v>
      </c>
      <c r="AH37" s="116">
        <f t="shared" si="6"/>
        <v>14103.858126619765</v>
      </c>
      <c r="AI37" s="116">
        <f t="shared" si="7"/>
        <v>29632.506775268419</v>
      </c>
      <c r="AJ37" s="116">
        <f t="shared" si="11"/>
        <v>4600</v>
      </c>
      <c r="AK37" s="116">
        <f t="shared" si="11"/>
        <v>4600</v>
      </c>
      <c r="AL37" s="116">
        <f t="shared" si="11"/>
        <v>4600</v>
      </c>
      <c r="AM37" s="116">
        <f t="shared" si="9"/>
        <v>4600</v>
      </c>
      <c r="AN37" s="116">
        <f t="shared" si="9"/>
        <v>4600</v>
      </c>
      <c r="AO37" s="116">
        <f t="shared" si="9"/>
        <v>4600</v>
      </c>
      <c r="AP37" s="115"/>
    </row>
    <row r="38" spans="2:42" ht="23">
      <c r="D38" s="136" t="s">
        <v>59</v>
      </c>
      <c r="E38" s="54">
        <v>22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119</v>
      </c>
      <c r="AC38" s="96">
        <f t="shared" si="0"/>
        <v>0.11995967741935484</v>
      </c>
      <c r="AD38" s="97">
        <f t="shared" si="1"/>
        <v>85680</v>
      </c>
      <c r="AE38" s="97">
        <f t="shared" si="2"/>
        <v>23156.756756756757</v>
      </c>
      <c r="AF38" s="116">
        <f t="shared" si="5"/>
        <v>4012.8986301369869</v>
      </c>
      <c r="AG38" s="116">
        <f t="shared" si="10"/>
        <v>19143.858126619769</v>
      </c>
      <c r="AH38" s="116">
        <f t="shared" si="6"/>
        <v>12196.831099592742</v>
      </c>
      <c r="AI38" s="116">
        <f t="shared" si="7"/>
        <v>26090.885153646796</v>
      </c>
      <c r="AJ38" s="116">
        <f t="shared" ref="AJ38:AL43" si="13">IF(AJ37+AG38 &lt; $E$74,AJ37+AG38, $E$74)</f>
        <v>4600</v>
      </c>
      <c r="AK38" s="116">
        <f t="shared" si="13"/>
        <v>4600</v>
      </c>
      <c r="AL38" s="116">
        <f t="shared" si="13"/>
        <v>4600</v>
      </c>
      <c r="AM38" s="116">
        <f t="shared" si="9"/>
        <v>4600</v>
      </c>
      <c r="AN38" s="116">
        <f t="shared" si="9"/>
        <v>4600</v>
      </c>
      <c r="AO38" s="116">
        <f t="shared" si="9"/>
        <v>4600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105</v>
      </c>
      <c r="AC39" s="96">
        <f t="shared" si="0"/>
        <v>0.10584677419354839</v>
      </c>
      <c r="AD39" s="97">
        <f t="shared" si="1"/>
        <v>75600</v>
      </c>
      <c r="AE39" s="97">
        <f t="shared" si="2"/>
        <v>20432.43243243243</v>
      </c>
      <c r="AF39" s="116">
        <f t="shared" si="5"/>
        <v>4012.8986301369869</v>
      </c>
      <c r="AG39" s="116">
        <f t="shared" si="10"/>
        <v>16419.533802295442</v>
      </c>
      <c r="AH39" s="116">
        <f t="shared" si="6"/>
        <v>10289.804072565712</v>
      </c>
      <c r="AI39" s="116">
        <f t="shared" si="7"/>
        <v>22549.263532025172</v>
      </c>
      <c r="AJ39" s="116">
        <f t="shared" si="13"/>
        <v>4600</v>
      </c>
      <c r="AK39" s="116">
        <f t="shared" si="13"/>
        <v>4600</v>
      </c>
      <c r="AL39" s="116">
        <f t="shared" si="13"/>
        <v>4600</v>
      </c>
      <c r="AM39" s="116">
        <f t="shared" si="9"/>
        <v>4600</v>
      </c>
      <c r="AN39" s="116">
        <f t="shared" si="9"/>
        <v>4600</v>
      </c>
      <c r="AO39" s="116">
        <f t="shared" si="9"/>
        <v>4600</v>
      </c>
      <c r="AP39" s="115"/>
    </row>
    <row r="40" spans="2:42">
      <c r="D40" s="136" t="s">
        <v>61</v>
      </c>
      <c r="E40" s="144">
        <f>SUM(E27:E39)</f>
        <v>992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111</v>
      </c>
      <c r="AC40" s="96">
        <f t="shared" si="0"/>
        <v>0.11189516129032258</v>
      </c>
      <c r="AD40" s="97">
        <f t="shared" si="1"/>
        <v>79920</v>
      </c>
      <c r="AE40" s="97">
        <f t="shared" si="2"/>
        <v>21600</v>
      </c>
      <c r="AF40" s="116">
        <f t="shared" si="5"/>
        <v>4012.8986301369869</v>
      </c>
      <c r="AG40" s="116">
        <f t="shared" si="10"/>
        <v>17587.101369863012</v>
      </c>
      <c r="AH40" s="116">
        <f t="shared" si="6"/>
        <v>11107.101369863012</v>
      </c>
      <c r="AI40" s="116">
        <f t="shared" si="7"/>
        <v>24067.101369863012</v>
      </c>
      <c r="AJ40" s="116">
        <f t="shared" si="13"/>
        <v>4600</v>
      </c>
      <c r="AK40" s="116">
        <f t="shared" si="13"/>
        <v>4600</v>
      </c>
      <c r="AL40" s="116">
        <f t="shared" si="13"/>
        <v>4600</v>
      </c>
      <c r="AM40" s="116">
        <f t="shared" si="9"/>
        <v>4600</v>
      </c>
      <c r="AN40" s="116">
        <f t="shared" si="9"/>
        <v>4600</v>
      </c>
      <c r="AO40" s="116">
        <f t="shared" si="9"/>
        <v>4600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79</v>
      </c>
      <c r="AC41" s="96">
        <f t="shared" si="0"/>
        <v>7.9637096774193547E-2</v>
      </c>
      <c r="AD41" s="97">
        <f t="shared" si="1"/>
        <v>56880</v>
      </c>
      <c r="AE41" s="97">
        <f t="shared" si="2"/>
        <v>15372.972972972972</v>
      </c>
      <c r="AF41" s="116">
        <f t="shared" si="5"/>
        <v>4012.8986301369869</v>
      </c>
      <c r="AG41" s="116">
        <f t="shared" si="10"/>
        <v>11360.074342835986</v>
      </c>
      <c r="AH41" s="116">
        <f t="shared" si="6"/>
        <v>6748.182450944093</v>
      </c>
      <c r="AI41" s="116">
        <f t="shared" si="7"/>
        <v>15971.966234727875</v>
      </c>
      <c r="AJ41" s="116">
        <f t="shared" si="13"/>
        <v>4600</v>
      </c>
      <c r="AK41" s="116">
        <f t="shared" si="13"/>
        <v>4600</v>
      </c>
      <c r="AL41" s="116">
        <f t="shared" si="13"/>
        <v>4600</v>
      </c>
      <c r="AM41" s="116">
        <f t="shared" si="9"/>
        <v>4600</v>
      </c>
      <c r="AN41" s="116">
        <f t="shared" si="9"/>
        <v>4600</v>
      </c>
      <c r="AO41" s="116">
        <f t="shared" si="9"/>
        <v>4600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28</v>
      </c>
      <c r="AC42" s="96">
        <f t="shared" si="0"/>
        <v>2.8225806451612902E-2</v>
      </c>
      <c r="AD42" s="97">
        <f t="shared" si="1"/>
        <v>20160</v>
      </c>
      <c r="AE42" s="97">
        <f t="shared" si="2"/>
        <v>5448.6486486486483</v>
      </c>
      <c r="AF42" s="116">
        <f t="shared" si="5"/>
        <v>4012.8986301369869</v>
      </c>
      <c r="AG42" s="116">
        <f t="shared" si="10"/>
        <v>1435.7500185116614</v>
      </c>
      <c r="AH42" s="116">
        <f t="shared" si="6"/>
        <v>-198.84457608293314</v>
      </c>
      <c r="AI42" s="116">
        <f t="shared" si="7"/>
        <v>3070.3446131062565</v>
      </c>
      <c r="AJ42" s="116">
        <f t="shared" si="13"/>
        <v>4600</v>
      </c>
      <c r="AK42" s="116">
        <f t="shared" si="13"/>
        <v>4401.1554239170673</v>
      </c>
      <c r="AL42" s="116">
        <f t="shared" si="13"/>
        <v>4600</v>
      </c>
      <c r="AM42" s="116">
        <f t="shared" si="9"/>
        <v>4600</v>
      </c>
      <c r="AN42" s="116">
        <f t="shared" si="9"/>
        <v>4401.1554239170673</v>
      </c>
      <c r="AO42" s="116">
        <f t="shared" si="9"/>
        <v>4600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22</v>
      </c>
      <c r="AC43" s="96">
        <f t="shared" si="0"/>
        <v>2.2177419354838711E-2</v>
      </c>
      <c r="AD43" s="97">
        <f t="shared" si="1"/>
        <v>15840</v>
      </c>
      <c r="AE43" s="97">
        <f t="shared" si="2"/>
        <v>4281.0810810810808</v>
      </c>
      <c r="AF43" s="116">
        <f t="shared" si="5"/>
        <v>4012.8986301369869</v>
      </c>
      <c r="AG43" s="116">
        <f t="shared" si="10"/>
        <v>268.18245094409394</v>
      </c>
      <c r="AH43" s="116">
        <f t="shared" si="6"/>
        <v>-1016.1418733802307</v>
      </c>
      <c r="AI43" s="116">
        <f t="shared" si="7"/>
        <v>1552.5067752684181</v>
      </c>
      <c r="AJ43" s="116">
        <f t="shared" si="13"/>
        <v>4600</v>
      </c>
      <c r="AK43" s="116">
        <f t="shared" si="13"/>
        <v>3385.0135505368366</v>
      </c>
      <c r="AL43" s="116">
        <f t="shared" si="13"/>
        <v>4600</v>
      </c>
      <c r="AM43" s="116">
        <f t="shared" si="9"/>
        <v>4600</v>
      </c>
      <c r="AN43" s="116">
        <f t="shared" si="9"/>
        <v>3385.0135505368366</v>
      </c>
      <c r="AO43" s="116">
        <f t="shared" si="9"/>
        <v>4600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0.72</v>
      </c>
      <c r="F46" s="137"/>
      <c r="N46" s="136" t="s">
        <v>96</v>
      </c>
      <c r="O46" s="150">
        <f>E46</f>
        <v>0.72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0.28000000000000003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249.99999999999994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17020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4600</v>
      </c>
      <c r="F74" s="137" t="s">
        <v>0</v>
      </c>
      <c r="I74" s="136" t="s">
        <v>79</v>
      </c>
      <c r="J74" s="158">
        <f>E76/(365*24)</f>
        <v>0.29680365296803651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4000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2600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0.33333333333333331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5</v>
      </c>
      <c r="F83" s="137" t="s">
        <v>1</v>
      </c>
      <c r="I83" s="136" t="s">
        <v>33</v>
      </c>
      <c r="J83" s="168">
        <f>60-J82</f>
        <v>59.666666666666664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1</v>
      </c>
      <c r="F86" s="137" t="s">
        <v>26</v>
      </c>
      <c r="I86" s="136" t="s">
        <v>31</v>
      </c>
      <c r="J86" s="169">
        <f>(E82*J82)/60</f>
        <v>0.27777777777777773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4.9722222222222223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0.29680365296803651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5.5734703196347031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133.76328767123289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4012.8986301369869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48857.040821917813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20.621840182648402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494.92416438356173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14847.724931506853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180771.05104109593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825.33856577556753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34.389106907315309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30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14D-BBAF-DF46-A32F-E8DDD5CABA37}">
  <dimension ref="B1:AQ119"/>
  <sheetViews>
    <sheetView topLeftCell="B1" zoomScale="120" zoomScaleNormal="120" workbookViewId="0">
      <selection activeCell="E114" sqref="E114"/>
    </sheetView>
  </sheetViews>
  <sheetFormatPr baseColWidth="10" defaultRowHeight="21" outlineLevelCol="1"/>
  <cols>
    <col min="1" max="1" width="2" style="90" customWidth="1"/>
    <col min="2" max="2" width="63" style="53" customWidth="1"/>
    <col min="3" max="3" width="6.6640625" style="89" customWidth="1"/>
    <col min="4" max="4" width="50.1640625" style="53" customWidth="1"/>
    <col min="5" max="5" width="13.5" style="53" customWidth="1"/>
    <col min="6" max="6" width="14.6640625" style="90" customWidth="1"/>
    <col min="7" max="7" width="1.83203125" style="90" customWidth="1"/>
    <col min="8" max="8" width="1.83203125" style="90" customWidth="1" outlineLevel="1"/>
    <col min="9" max="9" width="67.83203125" style="53" customWidth="1" outlineLevel="1"/>
    <col min="10" max="10" width="14.83203125" style="91" customWidth="1" outlineLevel="1"/>
    <col min="11" max="11" width="9.6640625" style="90" customWidth="1" outlineLevel="1"/>
    <col min="12" max="12" width="1.83203125" style="91" customWidth="1" outlineLevel="1"/>
    <col min="13" max="13" width="1.83203125" style="90" customWidth="1"/>
    <col min="14" max="14" width="68.6640625" style="90" customWidth="1"/>
    <col min="15" max="15" width="8.5" style="92" customWidth="1"/>
    <col min="16" max="16" width="9" style="92" customWidth="1"/>
    <col min="17" max="17" width="2" style="92" customWidth="1"/>
    <col min="18" max="18" width="1.33203125" style="92" customWidth="1"/>
    <col min="19" max="19" width="46.5" style="92" customWidth="1"/>
    <col min="20" max="21" width="36.33203125" style="92" customWidth="1"/>
    <col min="22" max="22" width="36.33203125" style="93" customWidth="1"/>
    <col min="23" max="23" width="13" style="94" customWidth="1"/>
    <col min="24" max="24" width="2.5" style="94" customWidth="1"/>
    <col min="25" max="25" width="1.5" style="94" customWidth="1"/>
    <col min="26" max="26" width="2.5" style="94" customWidth="1"/>
    <col min="27" max="27" width="13.83203125" style="176" customWidth="1"/>
    <col min="28" max="28" width="14.83203125" style="95" customWidth="1"/>
    <col min="29" max="29" width="11.6640625" style="96" customWidth="1"/>
    <col min="30" max="30" width="13.33203125" style="97" customWidth="1"/>
    <col min="31" max="31" width="15.83203125" style="97" customWidth="1"/>
    <col min="32" max="32" width="16.33203125" style="92" customWidth="1"/>
    <col min="33" max="33" width="15.33203125" style="92" customWidth="1"/>
    <col min="34" max="34" width="15.6640625" style="92" customWidth="1"/>
    <col min="35" max="35" width="15.33203125" style="92" customWidth="1"/>
    <col min="36" max="36" width="16.33203125" style="92" customWidth="1"/>
    <col min="37" max="38" width="16" style="92" customWidth="1"/>
    <col min="39" max="39" width="16.83203125" style="92" customWidth="1"/>
    <col min="40" max="40" width="17.5" style="92" customWidth="1"/>
    <col min="41" max="41" width="13.83203125" style="92" customWidth="1"/>
    <col min="42" max="42" width="1" style="92" customWidth="1"/>
    <col min="43" max="43" width="1" style="90" customWidth="1"/>
    <col min="44" max="16384" width="10.83203125" style="90"/>
  </cols>
  <sheetData>
    <row r="1" spans="2:43">
      <c r="AK1" s="90"/>
      <c r="AL1" s="90"/>
      <c r="AM1" s="90"/>
      <c r="AN1" s="90"/>
      <c r="AO1" s="90"/>
      <c r="AP1" s="90"/>
    </row>
    <row r="2" spans="2:43">
      <c r="AK2" s="90"/>
      <c r="AL2" s="90"/>
      <c r="AM2" s="90"/>
      <c r="AN2" s="90"/>
      <c r="AO2" s="90"/>
      <c r="AP2" s="90"/>
    </row>
    <row r="3" spans="2:43">
      <c r="D3" s="98"/>
      <c r="E3" s="99"/>
      <c r="F3" s="99"/>
      <c r="G3" s="98"/>
      <c r="AK3" s="90"/>
      <c r="AL3" s="90"/>
      <c r="AM3" s="90"/>
      <c r="AN3" s="90"/>
      <c r="AO3" s="90"/>
      <c r="AP3" s="90"/>
    </row>
    <row r="4" spans="2:43">
      <c r="D4" s="98"/>
      <c r="E4" s="99"/>
      <c r="F4" s="99"/>
      <c r="G4" s="98"/>
      <c r="AK4" s="90"/>
      <c r="AL4" s="90"/>
      <c r="AM4" s="90"/>
      <c r="AN4" s="90"/>
      <c r="AO4" s="90"/>
      <c r="AP4" s="90"/>
    </row>
    <row r="5" spans="2:43">
      <c r="D5" s="98"/>
      <c r="E5" s="99"/>
      <c r="F5" s="99"/>
      <c r="G5" s="98"/>
      <c r="AK5" s="90"/>
      <c r="AL5" s="90"/>
      <c r="AM5" s="90"/>
      <c r="AN5" s="90"/>
      <c r="AO5" s="90"/>
      <c r="AP5" s="90"/>
    </row>
    <row r="6" spans="2:43">
      <c r="D6" s="98"/>
      <c r="E6" s="99"/>
      <c r="F6" s="89" t="s">
        <v>133</v>
      </c>
      <c r="G6" s="98"/>
      <c r="I6" s="90"/>
      <c r="AK6" s="90"/>
      <c r="AL6" s="90"/>
      <c r="AM6" s="90"/>
      <c r="AN6" s="90"/>
      <c r="AO6" s="90"/>
      <c r="AP6" s="90"/>
    </row>
    <row r="7" spans="2:43">
      <c r="D7" s="98"/>
      <c r="E7" s="99"/>
      <c r="F7" s="89" t="s">
        <v>134</v>
      </c>
      <c r="G7" s="98"/>
      <c r="I7" s="90"/>
      <c r="AK7" s="90"/>
      <c r="AL7" s="90"/>
      <c r="AM7" s="90"/>
      <c r="AN7" s="90"/>
      <c r="AO7" s="90"/>
      <c r="AP7" s="90"/>
    </row>
    <row r="8" spans="2:43">
      <c r="D8" s="100"/>
      <c r="E8" s="101"/>
      <c r="F8" s="89" t="s">
        <v>132</v>
      </c>
      <c r="G8" s="100"/>
      <c r="I8" s="90"/>
      <c r="AK8" s="90"/>
      <c r="AL8" s="90"/>
      <c r="AM8" s="90"/>
      <c r="AN8" s="90"/>
      <c r="AO8" s="90"/>
      <c r="AP8" s="90"/>
    </row>
    <row r="9" spans="2:43">
      <c r="D9" s="100"/>
      <c r="E9" s="98"/>
      <c r="F9" s="101"/>
      <c r="G9" s="100"/>
      <c r="AK9" s="90"/>
      <c r="AL9" s="90"/>
      <c r="AM9" s="90"/>
      <c r="AN9" s="90"/>
      <c r="AO9" s="90"/>
      <c r="AP9" s="90"/>
    </row>
    <row r="10" spans="2:43">
      <c r="D10" s="102" t="s">
        <v>131</v>
      </c>
      <c r="F10" s="98"/>
      <c r="G10" s="98"/>
      <c r="AK10" s="90"/>
      <c r="AL10" s="90"/>
      <c r="AM10" s="90"/>
      <c r="AN10" s="90"/>
      <c r="AO10" s="90"/>
      <c r="AP10" s="90"/>
    </row>
    <row r="12" spans="2:43" ht="35" thickBot="1">
      <c r="B12" s="103" t="s">
        <v>182</v>
      </c>
    </row>
    <row r="13" spans="2:43" s="109" customFormat="1" ht="31" thickTop="1" thickBot="1">
      <c r="B13" s="104" t="s">
        <v>183</v>
      </c>
      <c r="C13" s="105"/>
      <c r="D13" s="106" t="s">
        <v>19</v>
      </c>
      <c r="E13" s="107"/>
      <c r="F13" s="108"/>
      <c r="I13" s="106" t="s">
        <v>91</v>
      </c>
      <c r="J13" s="107"/>
      <c r="K13" s="108"/>
      <c r="L13" s="110"/>
      <c r="N13" s="106"/>
      <c r="O13" s="107"/>
      <c r="P13" s="107"/>
      <c r="Q13" s="107"/>
      <c r="R13" s="107"/>
      <c r="S13" s="107" t="s">
        <v>110</v>
      </c>
      <c r="T13" s="107"/>
      <c r="U13" s="107"/>
      <c r="V13" s="107"/>
      <c r="W13" s="108"/>
      <c r="X13" s="111"/>
      <c r="Y13" s="111"/>
      <c r="Z13" s="106"/>
      <c r="AA13" s="177"/>
      <c r="AB13" s="112"/>
      <c r="AC13" s="113"/>
      <c r="AD13" s="114"/>
      <c r="AE13" s="114" t="s">
        <v>98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8"/>
    </row>
    <row r="14" spans="2:43" ht="22" thickTop="1">
      <c r="AQ14" s="115"/>
    </row>
    <row r="15" spans="2:43">
      <c r="AG15" s="92" t="s">
        <v>130</v>
      </c>
      <c r="AH15" s="53">
        <f>E112</f>
        <v>0</v>
      </c>
      <c r="AI15" s="89" t="s">
        <v>127</v>
      </c>
      <c r="AJ15" s="116"/>
      <c r="AK15" s="89" t="s">
        <v>129</v>
      </c>
    </row>
    <row r="16" spans="2:43" s="120" customFormat="1" ht="27" thickBot="1">
      <c r="B16" s="117" t="s">
        <v>20</v>
      </c>
      <c r="C16" s="118"/>
      <c r="D16" s="117" t="s">
        <v>70</v>
      </c>
      <c r="E16" s="119"/>
      <c r="I16" s="119"/>
      <c r="J16" s="121"/>
      <c r="L16" s="121"/>
      <c r="N16" s="117" t="s">
        <v>76</v>
      </c>
      <c r="O16" s="121"/>
      <c r="Q16" s="122"/>
      <c r="R16" s="122"/>
      <c r="S16" s="117"/>
      <c r="T16" s="122"/>
      <c r="U16" s="122"/>
      <c r="V16" s="123"/>
      <c r="W16" s="124"/>
      <c r="X16" s="124"/>
      <c r="Y16" s="124"/>
      <c r="Z16" s="124"/>
      <c r="AA16" s="178"/>
      <c r="AB16" s="125"/>
      <c r="AC16" s="126"/>
      <c r="AD16" s="127"/>
      <c r="AE16" s="127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</row>
    <row r="17" spans="2:42" ht="22" thickTop="1">
      <c r="D17" s="128"/>
      <c r="E17" s="129"/>
      <c r="F17" s="130"/>
      <c r="N17" s="128"/>
      <c r="O17" s="129"/>
      <c r="P17" s="130"/>
      <c r="AA17" s="179"/>
      <c r="AB17" s="131" t="s">
        <v>101</v>
      </c>
      <c r="AC17" s="132"/>
      <c r="AD17" s="133" t="s">
        <v>100</v>
      </c>
      <c r="AE17" s="133" t="s">
        <v>100</v>
      </c>
      <c r="AF17" s="134" t="s">
        <v>107</v>
      </c>
      <c r="AG17" s="134" t="s">
        <v>106</v>
      </c>
      <c r="AH17" s="134"/>
      <c r="AI17" s="134"/>
      <c r="AJ17" s="134" t="s">
        <v>106</v>
      </c>
      <c r="AK17" s="134"/>
      <c r="AL17" s="134"/>
      <c r="AM17" s="134" t="s">
        <v>106</v>
      </c>
      <c r="AN17" s="134"/>
      <c r="AO17" s="134"/>
    </row>
    <row r="18" spans="2:42">
      <c r="B18" s="135" t="s">
        <v>85</v>
      </c>
      <c r="D18" s="136" t="s">
        <v>16</v>
      </c>
      <c r="E18" s="32">
        <v>5</v>
      </c>
      <c r="F18" s="137" t="s">
        <v>11</v>
      </c>
      <c r="N18" s="136"/>
      <c r="O18" s="138"/>
      <c r="P18" s="137"/>
      <c r="AA18" s="179" t="s">
        <v>69</v>
      </c>
      <c r="AB18" s="131" t="s">
        <v>99</v>
      </c>
      <c r="AC18" s="132"/>
      <c r="AD18" s="133" t="s">
        <v>102</v>
      </c>
      <c r="AE18" s="133" t="s">
        <v>102</v>
      </c>
      <c r="AF18" s="134" t="s">
        <v>105</v>
      </c>
      <c r="AG18" s="134" t="s">
        <v>10</v>
      </c>
      <c r="AH18" s="134" t="s">
        <v>115</v>
      </c>
      <c r="AI18" s="134" t="s">
        <v>116</v>
      </c>
      <c r="AJ18" s="134" t="s">
        <v>108</v>
      </c>
      <c r="AK18" s="134" t="s">
        <v>117</v>
      </c>
      <c r="AL18" s="134" t="s">
        <v>120</v>
      </c>
      <c r="AM18" s="134" t="s">
        <v>109</v>
      </c>
      <c r="AN18" s="134" t="s">
        <v>119</v>
      </c>
      <c r="AO18" s="134" t="s">
        <v>118</v>
      </c>
    </row>
    <row r="19" spans="2:42">
      <c r="B19" s="135" t="s">
        <v>85</v>
      </c>
      <c r="D19" s="136" t="s">
        <v>18</v>
      </c>
      <c r="E19" s="32">
        <v>125</v>
      </c>
      <c r="F19" s="137" t="s">
        <v>1</v>
      </c>
      <c r="N19" s="136" t="s">
        <v>28</v>
      </c>
      <c r="O19" s="138">
        <f>E18*E19</f>
        <v>625</v>
      </c>
      <c r="P19" s="137" t="s">
        <v>17</v>
      </c>
      <c r="AA19" s="179" t="s">
        <v>69</v>
      </c>
      <c r="AB19" s="131" t="s">
        <v>8</v>
      </c>
      <c r="AC19" s="132" t="s">
        <v>6</v>
      </c>
      <c r="AD19" s="133" t="s">
        <v>7</v>
      </c>
      <c r="AE19" s="133" t="s">
        <v>0</v>
      </c>
      <c r="AF19" s="134" t="s">
        <v>0</v>
      </c>
      <c r="AG19" s="134" t="s">
        <v>0</v>
      </c>
      <c r="AH19" s="134" t="s">
        <v>0</v>
      </c>
      <c r="AI19" s="134" t="s">
        <v>0</v>
      </c>
      <c r="AJ19" s="134" t="s">
        <v>0</v>
      </c>
      <c r="AK19" s="134" t="s">
        <v>0</v>
      </c>
      <c r="AL19" s="134" t="s">
        <v>0</v>
      </c>
      <c r="AM19" s="134" t="s">
        <v>0</v>
      </c>
      <c r="AN19" s="134" t="s">
        <v>0</v>
      </c>
      <c r="AO19" s="134" t="s">
        <v>0</v>
      </c>
    </row>
    <row r="20" spans="2:42">
      <c r="B20" s="135" t="s">
        <v>85</v>
      </c>
      <c r="D20" s="136" t="s">
        <v>43</v>
      </c>
      <c r="E20" s="32">
        <v>44</v>
      </c>
      <c r="F20" s="137" t="s">
        <v>9</v>
      </c>
      <c r="N20" s="136" t="s">
        <v>44</v>
      </c>
      <c r="O20" s="138">
        <f>E20*200*1000/10000</f>
        <v>880</v>
      </c>
      <c r="P20" s="137" t="s">
        <v>17</v>
      </c>
      <c r="AA20" s="176">
        <v>43861</v>
      </c>
      <c r="AB20" s="95">
        <f>E27</f>
        <v>17</v>
      </c>
      <c r="AC20" s="96">
        <f t="shared" ref="AC20:AC43" si="0">AB20/E$40</f>
        <v>1.7137096774193547E-2</v>
      </c>
      <c r="AD20" s="97">
        <f t="shared" ref="AD20:AD43" si="1">O$19*AB20*E$67*E$46</f>
        <v>1105</v>
      </c>
      <c r="AE20" s="97">
        <f t="shared" ref="AE20:AE43" si="2">AD20/E$73</f>
        <v>298.64864864864865</v>
      </c>
      <c r="AF20" s="116">
        <f>J$93</f>
        <v>903.04931506849312</v>
      </c>
      <c r="AG20" s="116">
        <f>AE20-AF20</f>
        <v>-604.40066641984447</v>
      </c>
      <c r="AH20" s="116">
        <f>(AE20) * (1-E$113/100) - AH$15-AF20</f>
        <v>-693.99526101443905</v>
      </c>
      <c r="AI20" s="116">
        <f>(AE20) * (1+E$113/100) -AH$15 -AF20</f>
        <v>-514.80607182524989</v>
      </c>
      <c r="AJ20" s="116">
        <f>IF($E$75+AG20 &lt; $E$74,$E$75+AG20, $E$74)</f>
        <v>395.59933358015553</v>
      </c>
      <c r="AK20" s="116">
        <f>IF($E$75+AH20 &lt; $E$74,$E$75+AH20, $E$74)</f>
        <v>306.00473898556095</v>
      </c>
      <c r="AL20" s="116">
        <f>IF($E$75+AI20 &lt; $E$74,$E$75+AI20, $E$74)</f>
        <v>485.19392817475011</v>
      </c>
      <c r="AM20" s="116">
        <f>IF(AJ20&gt;0,AJ20,0)</f>
        <v>395.59933358015553</v>
      </c>
      <c r="AN20" s="116">
        <f t="shared" ref="AN20:AO35" si="3">IF(AK20&gt;0,AK20,0)</f>
        <v>306.00473898556095</v>
      </c>
      <c r="AO20" s="116">
        <f>IF(AL20&gt;0,AL20,0)</f>
        <v>485.19392817475011</v>
      </c>
    </row>
    <row r="21" spans="2:42" ht="22" thickBot="1">
      <c r="D21" s="139"/>
      <c r="E21" s="140"/>
      <c r="F21" s="141"/>
      <c r="N21" s="139"/>
      <c r="O21" s="140"/>
      <c r="P21" s="141"/>
      <c r="AA21" s="176">
        <v>43890</v>
      </c>
      <c r="AB21" s="95">
        <f t="shared" ref="AB21:AB31" si="4">E28</f>
        <v>52</v>
      </c>
      <c r="AC21" s="96">
        <f t="shared" si="0"/>
        <v>5.2419354838709679E-2</v>
      </c>
      <c r="AD21" s="97">
        <f t="shared" si="1"/>
        <v>3380</v>
      </c>
      <c r="AE21" s="97">
        <f t="shared" si="2"/>
        <v>913.51351351351343</v>
      </c>
      <c r="AF21" s="116">
        <f t="shared" ref="AF21:AF43" si="5">J$93</f>
        <v>903.04931506849312</v>
      </c>
      <c r="AG21" s="116">
        <f>AE21-AF21</f>
        <v>10.464198445020315</v>
      </c>
      <c r="AH21" s="116">
        <f t="shared" ref="AH21:AH43" si="6">(AE21) * (1-E$113/100) - AH$15-AF21</f>
        <v>-263.58985560903375</v>
      </c>
      <c r="AI21" s="116">
        <f t="shared" ref="AI21:AI43" si="7">(AE21) * (1+E$113/100) -AH$15 -AF21</f>
        <v>284.51825249907438</v>
      </c>
      <c r="AJ21" s="116">
        <f>IF(AJ20+AG21 &lt; $E$74,AJ20+AG21, $E$74)</f>
        <v>406.06353202517585</v>
      </c>
      <c r="AK21" s="116">
        <f t="shared" ref="AK21:AL36" si="8">IF(AK20+AH21 &lt; $E$74,AK20+AH21, $E$74)</f>
        <v>42.4148833765272</v>
      </c>
      <c r="AL21" s="116">
        <f t="shared" si="8"/>
        <v>769.71218067382449</v>
      </c>
      <c r="AM21" s="116">
        <f t="shared" ref="AM21:AO43" si="9">IF(AJ21&gt;0,AJ21,0)</f>
        <v>406.06353202517585</v>
      </c>
      <c r="AN21" s="116">
        <f t="shared" si="3"/>
        <v>42.4148833765272</v>
      </c>
      <c r="AO21" s="116">
        <f t="shared" si="3"/>
        <v>769.71218067382449</v>
      </c>
    </row>
    <row r="22" spans="2:42" ht="22" thickTop="1">
      <c r="AA22" s="176">
        <v>43921</v>
      </c>
      <c r="AB22" s="95">
        <f t="shared" si="4"/>
        <v>94</v>
      </c>
      <c r="AC22" s="96">
        <f t="shared" si="0"/>
        <v>9.4758064516129031E-2</v>
      </c>
      <c r="AD22" s="97">
        <f t="shared" si="1"/>
        <v>6110</v>
      </c>
      <c r="AE22" s="97">
        <f t="shared" si="2"/>
        <v>1651.3513513513512</v>
      </c>
      <c r="AF22" s="116">
        <f t="shared" si="5"/>
        <v>903.04931506849312</v>
      </c>
      <c r="AG22" s="116">
        <f t="shared" ref="AG22:AG43" si="10">AE22-AF22</f>
        <v>748.30203628285813</v>
      </c>
      <c r="AH22" s="116">
        <f t="shared" si="6"/>
        <v>252.89663087745271</v>
      </c>
      <c r="AI22" s="116">
        <f t="shared" si="7"/>
        <v>1243.7074416882635</v>
      </c>
      <c r="AJ22" s="116">
        <f t="shared" ref="AJ22:AL37" si="11">IF(AJ21+AG22 &lt; $E$74,AJ21+AG22, $E$74)</f>
        <v>1154.365568308034</v>
      </c>
      <c r="AK22" s="116">
        <f t="shared" si="8"/>
        <v>295.31151425397991</v>
      </c>
      <c r="AL22" s="116">
        <f t="shared" si="8"/>
        <v>2013.4196223620879</v>
      </c>
      <c r="AM22" s="116">
        <f t="shared" si="9"/>
        <v>1154.365568308034</v>
      </c>
      <c r="AN22" s="116">
        <f t="shared" si="3"/>
        <v>295.31151425397991</v>
      </c>
      <c r="AO22" s="116">
        <f t="shared" si="3"/>
        <v>2013.4196223620879</v>
      </c>
    </row>
    <row r="23" spans="2:42">
      <c r="N23" s="53"/>
      <c r="O23" s="91"/>
      <c r="P23" s="90"/>
      <c r="Q23" s="91"/>
      <c r="AA23" s="176">
        <v>43951</v>
      </c>
      <c r="AB23" s="95">
        <f t="shared" si="4"/>
        <v>114</v>
      </c>
      <c r="AC23" s="96">
        <f t="shared" si="0"/>
        <v>0.11491935483870967</v>
      </c>
      <c r="AD23" s="97">
        <f t="shared" si="1"/>
        <v>7410</v>
      </c>
      <c r="AE23" s="97">
        <f t="shared" si="2"/>
        <v>2002.7027027027027</v>
      </c>
      <c r="AF23" s="116">
        <f t="shared" si="5"/>
        <v>903.04931506849312</v>
      </c>
      <c r="AG23" s="116">
        <f t="shared" si="10"/>
        <v>1099.6533876342096</v>
      </c>
      <c r="AH23" s="116">
        <f t="shared" si="6"/>
        <v>498.84257682339876</v>
      </c>
      <c r="AI23" s="116">
        <f t="shared" si="7"/>
        <v>1700.4641984450207</v>
      </c>
      <c r="AJ23" s="116">
        <f t="shared" si="11"/>
        <v>2254.0189559422433</v>
      </c>
      <c r="AK23" s="116">
        <f t="shared" si="8"/>
        <v>794.15409107737867</v>
      </c>
      <c r="AL23" s="116">
        <f t="shared" si="8"/>
        <v>2300</v>
      </c>
      <c r="AM23" s="116">
        <f t="shared" si="9"/>
        <v>2254.0189559422433</v>
      </c>
      <c r="AN23" s="116">
        <f t="shared" si="3"/>
        <v>794.15409107737867</v>
      </c>
      <c r="AO23" s="116">
        <f t="shared" si="3"/>
        <v>2300</v>
      </c>
      <c r="AP23" s="115"/>
    </row>
    <row r="24" spans="2:42" ht="27" thickBot="1">
      <c r="B24" s="117" t="s">
        <v>68</v>
      </c>
      <c r="C24" s="118"/>
      <c r="D24" s="117" t="s">
        <v>67</v>
      </c>
      <c r="E24" s="119"/>
      <c r="F24" s="142"/>
      <c r="G24" s="142"/>
      <c r="H24" s="142"/>
      <c r="I24" s="119"/>
      <c r="J24" s="121"/>
      <c r="K24" s="120"/>
      <c r="L24" s="121"/>
      <c r="M24" s="120"/>
      <c r="N24" s="117" t="s">
        <v>67</v>
      </c>
      <c r="O24" s="121"/>
      <c r="P24" s="120"/>
      <c r="Q24" s="91"/>
      <c r="AA24" s="176">
        <v>43982</v>
      </c>
      <c r="AB24" s="95">
        <f t="shared" si="4"/>
        <v>118</v>
      </c>
      <c r="AC24" s="96">
        <f t="shared" si="0"/>
        <v>0.11895161290322581</v>
      </c>
      <c r="AD24" s="97">
        <f t="shared" si="1"/>
        <v>7670</v>
      </c>
      <c r="AE24" s="97">
        <f t="shared" si="2"/>
        <v>2072.9729729729729</v>
      </c>
      <c r="AF24" s="116">
        <f t="shared" si="5"/>
        <v>903.04931506849312</v>
      </c>
      <c r="AG24" s="116">
        <f t="shared" si="10"/>
        <v>1169.9236579044798</v>
      </c>
      <c r="AH24" s="116">
        <f t="shared" si="6"/>
        <v>548.03176601258792</v>
      </c>
      <c r="AI24" s="116">
        <f t="shared" si="7"/>
        <v>1791.8155497963719</v>
      </c>
      <c r="AJ24" s="116">
        <f t="shared" si="11"/>
        <v>2300</v>
      </c>
      <c r="AK24" s="116">
        <f t="shared" si="8"/>
        <v>1342.1858570899667</v>
      </c>
      <c r="AL24" s="116">
        <f t="shared" si="8"/>
        <v>2300</v>
      </c>
      <c r="AM24" s="116">
        <f t="shared" si="9"/>
        <v>2300</v>
      </c>
      <c r="AN24" s="116">
        <f t="shared" si="3"/>
        <v>1342.1858570899667</v>
      </c>
      <c r="AO24" s="116">
        <f t="shared" si="3"/>
        <v>2300</v>
      </c>
      <c r="AP24" s="115"/>
    </row>
    <row r="25" spans="2:42" ht="22" thickTop="1">
      <c r="B25" s="135" t="s">
        <v>80</v>
      </c>
      <c r="D25" s="128"/>
      <c r="E25" s="129"/>
      <c r="F25" s="130"/>
      <c r="N25" s="128"/>
      <c r="O25" s="129"/>
      <c r="P25" s="130"/>
      <c r="Q25" s="91"/>
      <c r="AA25" s="176">
        <v>44012</v>
      </c>
      <c r="AB25" s="95">
        <f t="shared" si="4"/>
        <v>133</v>
      </c>
      <c r="AC25" s="96">
        <f t="shared" si="0"/>
        <v>0.13407258064516128</v>
      </c>
      <c r="AD25" s="97">
        <f t="shared" si="1"/>
        <v>8645</v>
      </c>
      <c r="AE25" s="97">
        <f t="shared" si="2"/>
        <v>2336.4864864864862</v>
      </c>
      <c r="AF25" s="116">
        <f t="shared" si="5"/>
        <v>903.04931506849312</v>
      </c>
      <c r="AG25" s="116">
        <f t="shared" si="10"/>
        <v>1433.4371714179931</v>
      </c>
      <c r="AH25" s="116">
        <f t="shared" si="6"/>
        <v>732.49122547204706</v>
      </c>
      <c r="AI25" s="116">
        <f t="shared" si="7"/>
        <v>2134.3831173639392</v>
      </c>
      <c r="AJ25" s="116">
        <f t="shared" si="11"/>
        <v>2300</v>
      </c>
      <c r="AK25" s="116">
        <f t="shared" si="8"/>
        <v>2074.6770825620138</v>
      </c>
      <c r="AL25" s="116">
        <f t="shared" si="8"/>
        <v>2300</v>
      </c>
      <c r="AM25" s="116">
        <f t="shared" si="9"/>
        <v>2300</v>
      </c>
      <c r="AN25" s="116">
        <f t="shared" si="3"/>
        <v>2074.6770825620138</v>
      </c>
      <c r="AO25" s="116">
        <f t="shared" si="3"/>
        <v>2300</v>
      </c>
      <c r="AP25" s="115"/>
    </row>
    <row r="26" spans="2:42">
      <c r="B26" s="135" t="s">
        <v>81</v>
      </c>
      <c r="D26" s="136" t="s">
        <v>60</v>
      </c>
      <c r="E26" s="138"/>
      <c r="F26" s="137"/>
      <c r="N26" s="136"/>
      <c r="O26" s="138"/>
      <c r="P26" s="137"/>
      <c r="Q26" s="91"/>
      <c r="AA26" s="176">
        <v>44043</v>
      </c>
      <c r="AB26" s="95">
        <f t="shared" si="4"/>
        <v>119</v>
      </c>
      <c r="AC26" s="96">
        <f t="shared" si="0"/>
        <v>0.11995967741935484</v>
      </c>
      <c r="AD26" s="97">
        <f t="shared" si="1"/>
        <v>7735</v>
      </c>
      <c r="AE26" s="97">
        <f t="shared" si="2"/>
        <v>2090.5405405405404</v>
      </c>
      <c r="AF26" s="116">
        <f t="shared" si="5"/>
        <v>903.04931506849312</v>
      </c>
      <c r="AG26" s="116">
        <f t="shared" si="10"/>
        <v>1187.4912254720473</v>
      </c>
      <c r="AH26" s="116">
        <f t="shared" si="6"/>
        <v>560.32906330988499</v>
      </c>
      <c r="AI26" s="116">
        <f t="shared" si="7"/>
        <v>1814.6533876342094</v>
      </c>
      <c r="AJ26" s="116">
        <f t="shared" si="11"/>
        <v>2300</v>
      </c>
      <c r="AK26" s="116">
        <f t="shared" si="8"/>
        <v>2300</v>
      </c>
      <c r="AL26" s="116">
        <f t="shared" si="8"/>
        <v>2300</v>
      </c>
      <c r="AM26" s="116">
        <f t="shared" si="9"/>
        <v>2300</v>
      </c>
      <c r="AN26" s="116">
        <f t="shared" si="3"/>
        <v>2300</v>
      </c>
      <c r="AO26" s="116">
        <f t="shared" si="3"/>
        <v>2300</v>
      </c>
      <c r="AP26" s="115"/>
    </row>
    <row r="27" spans="2:42" ht="23">
      <c r="B27" s="135" t="s">
        <v>89</v>
      </c>
      <c r="D27" s="136" t="s">
        <v>48</v>
      </c>
      <c r="E27" s="54">
        <v>17</v>
      </c>
      <c r="F27" s="143" t="s">
        <v>8</v>
      </c>
      <c r="N27" s="136"/>
      <c r="O27" s="138"/>
      <c r="P27" s="143"/>
      <c r="Q27" s="91"/>
      <c r="AA27" s="176">
        <v>44074</v>
      </c>
      <c r="AB27" s="95">
        <f t="shared" si="4"/>
        <v>105</v>
      </c>
      <c r="AC27" s="96">
        <f t="shared" si="0"/>
        <v>0.10584677419354839</v>
      </c>
      <c r="AD27" s="97">
        <f t="shared" si="1"/>
        <v>6825</v>
      </c>
      <c r="AE27" s="97">
        <f t="shared" si="2"/>
        <v>1844.5945945945946</v>
      </c>
      <c r="AF27" s="116">
        <f t="shared" si="5"/>
        <v>903.04931506849312</v>
      </c>
      <c r="AG27" s="116">
        <f t="shared" si="10"/>
        <v>941.54527952610147</v>
      </c>
      <c r="AH27" s="116">
        <f t="shared" si="6"/>
        <v>388.16690114772291</v>
      </c>
      <c r="AI27" s="116">
        <f t="shared" si="7"/>
        <v>1494.9236579044798</v>
      </c>
      <c r="AJ27" s="116">
        <f t="shared" si="11"/>
        <v>2300</v>
      </c>
      <c r="AK27" s="116">
        <f t="shared" si="8"/>
        <v>2300</v>
      </c>
      <c r="AL27" s="116">
        <f t="shared" si="8"/>
        <v>2300</v>
      </c>
      <c r="AM27" s="116">
        <f t="shared" si="9"/>
        <v>2300</v>
      </c>
      <c r="AN27" s="116">
        <f t="shared" si="3"/>
        <v>2300</v>
      </c>
      <c r="AO27" s="116">
        <f t="shared" si="3"/>
        <v>2300</v>
      </c>
      <c r="AP27" s="115"/>
    </row>
    <row r="28" spans="2:42" ht="23">
      <c r="B28" s="135" t="s">
        <v>90</v>
      </c>
      <c r="D28" s="136" t="s">
        <v>49</v>
      </c>
      <c r="E28" s="54">
        <v>52</v>
      </c>
      <c r="F28" s="143" t="s">
        <v>8</v>
      </c>
      <c r="N28" s="136"/>
      <c r="O28" s="138"/>
      <c r="P28" s="143"/>
      <c r="Q28" s="91"/>
      <c r="AA28" s="176">
        <v>44104</v>
      </c>
      <c r="AB28" s="95">
        <f t="shared" si="4"/>
        <v>111</v>
      </c>
      <c r="AC28" s="96">
        <f t="shared" si="0"/>
        <v>0.11189516129032258</v>
      </c>
      <c r="AD28" s="97">
        <f t="shared" si="1"/>
        <v>7215</v>
      </c>
      <c r="AE28" s="97">
        <f t="shared" si="2"/>
        <v>1950</v>
      </c>
      <c r="AF28" s="116">
        <f t="shared" si="5"/>
        <v>903.04931506849312</v>
      </c>
      <c r="AG28" s="116">
        <f t="shared" si="10"/>
        <v>1046.9506849315069</v>
      </c>
      <c r="AH28" s="116">
        <f t="shared" si="6"/>
        <v>461.95068493150688</v>
      </c>
      <c r="AI28" s="116">
        <f t="shared" si="7"/>
        <v>1631.9506849315069</v>
      </c>
      <c r="AJ28" s="116">
        <f t="shared" si="11"/>
        <v>2300</v>
      </c>
      <c r="AK28" s="116">
        <f t="shared" si="8"/>
        <v>2300</v>
      </c>
      <c r="AL28" s="116">
        <f t="shared" si="8"/>
        <v>2300</v>
      </c>
      <c r="AM28" s="116">
        <f t="shared" si="9"/>
        <v>2300</v>
      </c>
      <c r="AN28" s="116">
        <f t="shared" si="3"/>
        <v>2300</v>
      </c>
      <c r="AO28" s="116">
        <f t="shared" si="3"/>
        <v>2300</v>
      </c>
      <c r="AP28" s="115"/>
    </row>
    <row r="29" spans="2:42" ht="23">
      <c r="D29" s="136" t="s">
        <v>50</v>
      </c>
      <c r="E29" s="54">
        <v>94</v>
      </c>
      <c r="F29" s="143" t="s">
        <v>8</v>
      </c>
      <c r="N29" s="136"/>
      <c r="O29" s="138"/>
      <c r="P29" s="143"/>
      <c r="Q29" s="91"/>
      <c r="AA29" s="176">
        <v>44135</v>
      </c>
      <c r="AB29" s="95">
        <f t="shared" si="4"/>
        <v>79</v>
      </c>
      <c r="AC29" s="96">
        <f t="shared" si="0"/>
        <v>7.9637096774193547E-2</v>
      </c>
      <c r="AD29" s="97">
        <f t="shared" si="1"/>
        <v>5135</v>
      </c>
      <c r="AE29" s="97">
        <f t="shared" si="2"/>
        <v>1387.8378378378377</v>
      </c>
      <c r="AF29" s="116">
        <f t="shared" si="5"/>
        <v>903.04931506849312</v>
      </c>
      <c r="AG29" s="116">
        <f t="shared" si="10"/>
        <v>484.78852276934458</v>
      </c>
      <c r="AH29" s="116">
        <f t="shared" si="6"/>
        <v>68.437171417993227</v>
      </c>
      <c r="AI29" s="116">
        <f t="shared" si="7"/>
        <v>901.13987412069605</v>
      </c>
      <c r="AJ29" s="116">
        <f t="shared" si="11"/>
        <v>2300</v>
      </c>
      <c r="AK29" s="116">
        <f t="shared" si="8"/>
        <v>2300</v>
      </c>
      <c r="AL29" s="116">
        <f t="shared" si="8"/>
        <v>2300</v>
      </c>
      <c r="AM29" s="116">
        <f t="shared" si="9"/>
        <v>2300</v>
      </c>
      <c r="AN29" s="116">
        <f t="shared" si="3"/>
        <v>2300</v>
      </c>
      <c r="AO29" s="116">
        <f t="shared" si="3"/>
        <v>2300</v>
      </c>
      <c r="AP29" s="115"/>
    </row>
    <row r="30" spans="2:42" ht="23">
      <c r="D30" s="136" t="s">
        <v>51</v>
      </c>
      <c r="E30" s="54">
        <v>114</v>
      </c>
      <c r="F30" s="143" t="s">
        <v>8</v>
      </c>
      <c r="N30" s="136"/>
      <c r="O30" s="138"/>
      <c r="P30" s="143"/>
      <c r="Q30" s="91"/>
      <c r="AA30" s="176">
        <v>44165</v>
      </c>
      <c r="AB30" s="95">
        <f t="shared" si="4"/>
        <v>28</v>
      </c>
      <c r="AC30" s="96">
        <f t="shared" si="0"/>
        <v>2.8225806451612902E-2</v>
      </c>
      <c r="AD30" s="97">
        <f t="shared" si="1"/>
        <v>1820</v>
      </c>
      <c r="AE30" s="97">
        <f t="shared" si="2"/>
        <v>491.89189189189187</v>
      </c>
      <c r="AF30" s="116">
        <f t="shared" si="5"/>
        <v>903.04931506849312</v>
      </c>
      <c r="AG30" s="116">
        <f t="shared" si="10"/>
        <v>-411.15742317660124</v>
      </c>
      <c r="AH30" s="116">
        <f t="shared" si="6"/>
        <v>-558.72499074416885</v>
      </c>
      <c r="AI30" s="116">
        <f t="shared" si="7"/>
        <v>-263.58985560903363</v>
      </c>
      <c r="AJ30" s="116">
        <f t="shared" si="11"/>
        <v>1888.8425768233988</v>
      </c>
      <c r="AK30" s="116">
        <f t="shared" si="8"/>
        <v>1741.2750092558313</v>
      </c>
      <c r="AL30" s="116">
        <f t="shared" si="8"/>
        <v>2036.4101443909663</v>
      </c>
      <c r="AM30" s="116">
        <f t="shared" si="9"/>
        <v>1888.8425768233988</v>
      </c>
      <c r="AN30" s="116">
        <f t="shared" si="3"/>
        <v>1741.2750092558313</v>
      </c>
      <c r="AO30" s="116">
        <f>IF(AL30&gt;0,AL30,0)</f>
        <v>2036.4101443909663</v>
      </c>
      <c r="AP30" s="115"/>
    </row>
    <row r="31" spans="2:42" ht="23">
      <c r="D31" s="136" t="s">
        <v>52</v>
      </c>
      <c r="E31" s="54">
        <v>118</v>
      </c>
      <c r="F31" s="143" t="s">
        <v>8</v>
      </c>
      <c r="N31" s="136"/>
      <c r="O31" s="138"/>
      <c r="P31" s="143"/>
      <c r="Q31" s="91"/>
      <c r="AA31" s="176">
        <v>44196</v>
      </c>
      <c r="AB31" s="95">
        <f t="shared" si="4"/>
        <v>22</v>
      </c>
      <c r="AC31" s="96">
        <f t="shared" si="0"/>
        <v>2.2177419354838711E-2</v>
      </c>
      <c r="AD31" s="97">
        <f t="shared" si="1"/>
        <v>1430</v>
      </c>
      <c r="AE31" s="97">
        <f t="shared" si="2"/>
        <v>386.48648648648646</v>
      </c>
      <c r="AF31" s="116">
        <f t="shared" si="5"/>
        <v>903.04931506849312</v>
      </c>
      <c r="AG31" s="116">
        <f t="shared" si="10"/>
        <v>-516.56282858200666</v>
      </c>
      <c r="AH31" s="116">
        <f t="shared" si="6"/>
        <v>-632.5087745279526</v>
      </c>
      <c r="AI31" s="116">
        <f t="shared" si="7"/>
        <v>-400.61688263606072</v>
      </c>
      <c r="AJ31" s="116">
        <f t="shared" si="11"/>
        <v>1372.2797482413921</v>
      </c>
      <c r="AK31" s="116">
        <f t="shared" si="8"/>
        <v>1108.7662347278788</v>
      </c>
      <c r="AL31" s="116">
        <f t="shared" si="8"/>
        <v>1635.7932617549054</v>
      </c>
      <c r="AM31" s="116">
        <f t="shared" si="9"/>
        <v>1372.2797482413921</v>
      </c>
      <c r="AN31" s="116">
        <f t="shared" si="3"/>
        <v>1108.7662347278788</v>
      </c>
      <c r="AO31" s="116">
        <f t="shared" si="3"/>
        <v>1635.7932617549054</v>
      </c>
      <c r="AP31" s="115"/>
    </row>
    <row r="32" spans="2:42" ht="23">
      <c r="D32" s="136" t="s">
        <v>53</v>
      </c>
      <c r="E32" s="54">
        <v>133</v>
      </c>
      <c r="F32" s="143" t="s">
        <v>8</v>
      </c>
      <c r="N32" s="136"/>
      <c r="O32" s="138"/>
      <c r="P32" s="143"/>
      <c r="Q32" s="91"/>
      <c r="AA32" s="176">
        <v>44227</v>
      </c>
      <c r="AB32" s="95">
        <f>AB20</f>
        <v>17</v>
      </c>
      <c r="AC32" s="96">
        <f t="shared" si="0"/>
        <v>1.7137096774193547E-2</v>
      </c>
      <c r="AD32" s="97">
        <f t="shared" si="1"/>
        <v>1105</v>
      </c>
      <c r="AE32" s="97">
        <f t="shared" si="2"/>
        <v>298.64864864864865</v>
      </c>
      <c r="AF32" s="116">
        <f t="shared" si="5"/>
        <v>903.04931506849312</v>
      </c>
      <c r="AG32" s="116">
        <f t="shared" si="10"/>
        <v>-604.40066641984447</v>
      </c>
      <c r="AH32" s="116">
        <f t="shared" si="6"/>
        <v>-693.99526101443905</v>
      </c>
      <c r="AI32" s="116">
        <f t="shared" si="7"/>
        <v>-514.80607182524989</v>
      </c>
      <c r="AJ32" s="116">
        <f t="shared" si="11"/>
        <v>767.87908182154763</v>
      </c>
      <c r="AK32" s="116">
        <f t="shared" si="8"/>
        <v>414.77097371343973</v>
      </c>
      <c r="AL32" s="116">
        <f t="shared" si="8"/>
        <v>1120.9871899296554</v>
      </c>
      <c r="AM32" s="116">
        <f t="shared" si="9"/>
        <v>767.87908182154763</v>
      </c>
      <c r="AN32" s="116">
        <f t="shared" si="3"/>
        <v>414.77097371343973</v>
      </c>
      <c r="AO32" s="116">
        <f t="shared" si="3"/>
        <v>1120.9871899296554</v>
      </c>
      <c r="AP32" s="115"/>
    </row>
    <row r="33" spans="2:42" ht="23">
      <c r="D33" s="136" t="s">
        <v>54</v>
      </c>
      <c r="E33" s="54">
        <v>119</v>
      </c>
      <c r="F33" s="143" t="s">
        <v>8</v>
      </c>
      <c r="N33" s="136"/>
      <c r="O33" s="138"/>
      <c r="P33" s="143"/>
      <c r="Q33" s="91"/>
      <c r="AA33" s="176">
        <v>44255</v>
      </c>
      <c r="AB33" s="95">
        <f t="shared" ref="AB33:AB43" si="12">AB21</f>
        <v>52</v>
      </c>
      <c r="AC33" s="96">
        <f t="shared" si="0"/>
        <v>5.2419354838709679E-2</v>
      </c>
      <c r="AD33" s="97">
        <f t="shared" si="1"/>
        <v>3380</v>
      </c>
      <c r="AE33" s="97">
        <f t="shared" si="2"/>
        <v>913.51351351351343</v>
      </c>
      <c r="AF33" s="116">
        <f t="shared" si="5"/>
        <v>903.04931506849312</v>
      </c>
      <c r="AG33" s="116">
        <f t="shared" si="10"/>
        <v>10.464198445020315</v>
      </c>
      <c r="AH33" s="116">
        <f t="shared" si="6"/>
        <v>-263.58985560903375</v>
      </c>
      <c r="AI33" s="116">
        <f t="shared" si="7"/>
        <v>284.51825249907438</v>
      </c>
      <c r="AJ33" s="116">
        <f t="shared" si="11"/>
        <v>778.34328026656794</v>
      </c>
      <c r="AK33" s="116">
        <f t="shared" si="8"/>
        <v>151.18111810440598</v>
      </c>
      <c r="AL33" s="116">
        <f t="shared" si="8"/>
        <v>1405.5054424287298</v>
      </c>
      <c r="AM33" s="116">
        <f t="shared" si="9"/>
        <v>778.34328026656794</v>
      </c>
      <c r="AN33" s="116">
        <f t="shared" si="3"/>
        <v>151.18111810440598</v>
      </c>
      <c r="AO33" s="116">
        <f t="shared" si="3"/>
        <v>1405.5054424287298</v>
      </c>
      <c r="AP33" s="115"/>
    </row>
    <row r="34" spans="2:42" ht="23">
      <c r="D34" s="136" t="s">
        <v>55</v>
      </c>
      <c r="E34" s="54">
        <v>105</v>
      </c>
      <c r="F34" s="143" t="s">
        <v>8</v>
      </c>
      <c r="N34" s="136"/>
      <c r="O34" s="138"/>
      <c r="P34" s="143"/>
      <c r="Q34" s="91"/>
      <c r="AA34" s="176">
        <v>44286</v>
      </c>
      <c r="AB34" s="95">
        <f t="shared" si="12"/>
        <v>94</v>
      </c>
      <c r="AC34" s="96">
        <f t="shared" si="0"/>
        <v>9.4758064516129031E-2</v>
      </c>
      <c r="AD34" s="97">
        <f t="shared" si="1"/>
        <v>6110</v>
      </c>
      <c r="AE34" s="97">
        <f t="shared" si="2"/>
        <v>1651.3513513513512</v>
      </c>
      <c r="AF34" s="116">
        <f t="shared" si="5"/>
        <v>903.04931506849312</v>
      </c>
      <c r="AG34" s="116">
        <f t="shared" si="10"/>
        <v>748.30203628285813</v>
      </c>
      <c r="AH34" s="116">
        <f t="shared" si="6"/>
        <v>252.89663087745271</v>
      </c>
      <c r="AI34" s="116">
        <f t="shared" si="7"/>
        <v>1243.7074416882635</v>
      </c>
      <c r="AJ34" s="116">
        <f t="shared" si="11"/>
        <v>1526.6453165494261</v>
      </c>
      <c r="AK34" s="116">
        <f t="shared" si="8"/>
        <v>404.07774898185869</v>
      </c>
      <c r="AL34" s="116">
        <f t="shared" si="8"/>
        <v>2300</v>
      </c>
      <c r="AM34" s="116">
        <f t="shared" si="9"/>
        <v>1526.6453165494261</v>
      </c>
      <c r="AN34" s="116">
        <f t="shared" si="3"/>
        <v>404.07774898185869</v>
      </c>
      <c r="AO34" s="116">
        <f t="shared" si="3"/>
        <v>2300</v>
      </c>
      <c r="AP34" s="115"/>
    </row>
    <row r="35" spans="2:42" ht="23">
      <c r="D35" s="136" t="s">
        <v>56</v>
      </c>
      <c r="E35" s="54">
        <v>111</v>
      </c>
      <c r="F35" s="143" t="s">
        <v>8</v>
      </c>
      <c r="N35" s="136"/>
      <c r="O35" s="138"/>
      <c r="P35" s="143"/>
      <c r="Q35" s="91"/>
      <c r="AA35" s="176">
        <v>44316</v>
      </c>
      <c r="AB35" s="95">
        <f t="shared" si="12"/>
        <v>114</v>
      </c>
      <c r="AC35" s="96">
        <f t="shared" si="0"/>
        <v>0.11491935483870967</v>
      </c>
      <c r="AD35" s="97">
        <f t="shared" si="1"/>
        <v>7410</v>
      </c>
      <c r="AE35" s="97">
        <f t="shared" si="2"/>
        <v>2002.7027027027027</v>
      </c>
      <c r="AF35" s="116">
        <f t="shared" si="5"/>
        <v>903.04931506849312</v>
      </c>
      <c r="AG35" s="116">
        <f t="shared" si="10"/>
        <v>1099.6533876342096</v>
      </c>
      <c r="AH35" s="116">
        <f t="shared" si="6"/>
        <v>498.84257682339876</v>
      </c>
      <c r="AI35" s="116">
        <f t="shared" si="7"/>
        <v>1700.4641984450207</v>
      </c>
      <c r="AJ35" s="116">
        <f t="shared" si="11"/>
        <v>2300</v>
      </c>
      <c r="AK35" s="116">
        <f t="shared" si="8"/>
        <v>902.92032580525745</v>
      </c>
      <c r="AL35" s="116">
        <f t="shared" si="8"/>
        <v>2300</v>
      </c>
      <c r="AM35" s="116">
        <f t="shared" si="9"/>
        <v>2300</v>
      </c>
      <c r="AN35" s="116">
        <f t="shared" si="3"/>
        <v>902.92032580525745</v>
      </c>
      <c r="AO35" s="116">
        <f t="shared" si="3"/>
        <v>2300</v>
      </c>
      <c r="AP35" s="115"/>
    </row>
    <row r="36" spans="2:42" ht="23">
      <c r="D36" s="136" t="s">
        <v>57</v>
      </c>
      <c r="E36" s="54">
        <v>79</v>
      </c>
      <c r="F36" s="143" t="s">
        <v>8</v>
      </c>
      <c r="N36" s="136"/>
      <c r="O36" s="138"/>
      <c r="P36" s="143"/>
      <c r="Q36" s="91"/>
      <c r="AA36" s="176">
        <v>44347</v>
      </c>
      <c r="AB36" s="95">
        <f t="shared" si="12"/>
        <v>118</v>
      </c>
      <c r="AC36" s="96">
        <f t="shared" si="0"/>
        <v>0.11895161290322581</v>
      </c>
      <c r="AD36" s="97">
        <f t="shared" si="1"/>
        <v>7670</v>
      </c>
      <c r="AE36" s="97">
        <f t="shared" si="2"/>
        <v>2072.9729729729729</v>
      </c>
      <c r="AF36" s="116">
        <f t="shared" si="5"/>
        <v>903.04931506849312</v>
      </c>
      <c r="AG36" s="116">
        <f t="shared" si="10"/>
        <v>1169.9236579044798</v>
      </c>
      <c r="AH36" s="116">
        <f t="shared" si="6"/>
        <v>548.03176601258792</v>
      </c>
      <c r="AI36" s="116">
        <f t="shared" si="7"/>
        <v>1791.8155497963719</v>
      </c>
      <c r="AJ36" s="116">
        <f t="shared" si="11"/>
        <v>2300</v>
      </c>
      <c r="AK36" s="116">
        <f t="shared" si="8"/>
        <v>1450.9520918178455</v>
      </c>
      <c r="AL36" s="116">
        <f t="shared" si="8"/>
        <v>2300</v>
      </c>
      <c r="AM36" s="116">
        <f t="shared" si="9"/>
        <v>2300</v>
      </c>
      <c r="AN36" s="116">
        <f t="shared" si="9"/>
        <v>1450.9520918178455</v>
      </c>
      <c r="AO36" s="116">
        <f t="shared" si="9"/>
        <v>2300</v>
      </c>
      <c r="AP36" s="115"/>
    </row>
    <row r="37" spans="2:42" ht="23">
      <c r="D37" s="136" t="s">
        <v>58</v>
      </c>
      <c r="E37" s="54">
        <v>28</v>
      </c>
      <c r="F37" s="143" t="s">
        <v>8</v>
      </c>
      <c r="N37" s="136"/>
      <c r="O37" s="138"/>
      <c r="P37" s="143"/>
      <c r="Q37" s="91"/>
      <c r="AA37" s="176">
        <v>44377</v>
      </c>
      <c r="AB37" s="95">
        <f t="shared" si="12"/>
        <v>133</v>
      </c>
      <c r="AC37" s="96">
        <f t="shared" si="0"/>
        <v>0.13407258064516128</v>
      </c>
      <c r="AD37" s="97">
        <f t="shared" si="1"/>
        <v>8645</v>
      </c>
      <c r="AE37" s="97">
        <f t="shared" si="2"/>
        <v>2336.4864864864862</v>
      </c>
      <c r="AF37" s="116">
        <f t="shared" si="5"/>
        <v>903.04931506849312</v>
      </c>
      <c r="AG37" s="116">
        <f t="shared" si="10"/>
        <v>1433.4371714179931</v>
      </c>
      <c r="AH37" s="116">
        <f t="shared" si="6"/>
        <v>732.49122547204706</v>
      </c>
      <c r="AI37" s="116">
        <f t="shared" si="7"/>
        <v>2134.3831173639392</v>
      </c>
      <c r="AJ37" s="116">
        <f t="shared" si="11"/>
        <v>2300</v>
      </c>
      <c r="AK37" s="116">
        <f t="shared" si="11"/>
        <v>2183.4433172898925</v>
      </c>
      <c r="AL37" s="116">
        <f t="shared" si="11"/>
        <v>2300</v>
      </c>
      <c r="AM37" s="116">
        <f t="shared" si="9"/>
        <v>2300</v>
      </c>
      <c r="AN37" s="116">
        <f t="shared" si="9"/>
        <v>2183.4433172898925</v>
      </c>
      <c r="AO37" s="116">
        <f t="shared" si="9"/>
        <v>2300</v>
      </c>
      <c r="AP37" s="115"/>
    </row>
    <row r="38" spans="2:42" ht="23">
      <c r="D38" s="136" t="s">
        <v>59</v>
      </c>
      <c r="E38" s="54">
        <v>22</v>
      </c>
      <c r="F38" s="143" t="s">
        <v>8</v>
      </c>
      <c r="N38" s="136"/>
      <c r="O38" s="138"/>
      <c r="P38" s="143"/>
      <c r="Q38" s="91"/>
      <c r="AA38" s="176">
        <v>44408</v>
      </c>
      <c r="AB38" s="95">
        <f t="shared" si="12"/>
        <v>119</v>
      </c>
      <c r="AC38" s="96">
        <f t="shared" si="0"/>
        <v>0.11995967741935484</v>
      </c>
      <c r="AD38" s="97">
        <f t="shared" si="1"/>
        <v>7735</v>
      </c>
      <c r="AE38" s="97">
        <f t="shared" si="2"/>
        <v>2090.5405405405404</v>
      </c>
      <c r="AF38" s="116">
        <f t="shared" si="5"/>
        <v>903.04931506849312</v>
      </c>
      <c r="AG38" s="116">
        <f t="shared" si="10"/>
        <v>1187.4912254720473</v>
      </c>
      <c r="AH38" s="116">
        <f t="shared" si="6"/>
        <v>560.32906330988499</v>
      </c>
      <c r="AI38" s="116">
        <f t="shared" si="7"/>
        <v>1814.6533876342094</v>
      </c>
      <c r="AJ38" s="116">
        <f t="shared" ref="AJ38:AL43" si="13">IF(AJ37+AG38 &lt; $E$74,AJ37+AG38, $E$74)</f>
        <v>2300</v>
      </c>
      <c r="AK38" s="116">
        <f t="shared" si="13"/>
        <v>2300</v>
      </c>
      <c r="AL38" s="116">
        <f t="shared" si="13"/>
        <v>2300</v>
      </c>
      <c r="AM38" s="116">
        <f t="shared" si="9"/>
        <v>2300</v>
      </c>
      <c r="AN38" s="116">
        <f t="shared" si="9"/>
        <v>2300</v>
      </c>
      <c r="AO38" s="116">
        <f t="shared" si="9"/>
        <v>2300</v>
      </c>
      <c r="AP38" s="115"/>
    </row>
    <row r="39" spans="2:42">
      <c r="D39" s="136"/>
      <c r="E39" s="144"/>
      <c r="F39" s="143"/>
      <c r="N39" s="136"/>
      <c r="O39" s="138"/>
      <c r="P39" s="143"/>
      <c r="Q39" s="91"/>
      <c r="AA39" s="176">
        <v>44439</v>
      </c>
      <c r="AB39" s="95">
        <f t="shared" si="12"/>
        <v>105</v>
      </c>
      <c r="AC39" s="96">
        <f t="shared" si="0"/>
        <v>0.10584677419354839</v>
      </c>
      <c r="AD39" s="97">
        <f t="shared" si="1"/>
        <v>6825</v>
      </c>
      <c r="AE39" s="97">
        <f t="shared" si="2"/>
        <v>1844.5945945945946</v>
      </c>
      <c r="AF39" s="116">
        <f t="shared" si="5"/>
        <v>903.04931506849312</v>
      </c>
      <c r="AG39" s="116">
        <f t="shared" si="10"/>
        <v>941.54527952610147</v>
      </c>
      <c r="AH39" s="116">
        <f t="shared" si="6"/>
        <v>388.16690114772291</v>
      </c>
      <c r="AI39" s="116">
        <f t="shared" si="7"/>
        <v>1494.9236579044798</v>
      </c>
      <c r="AJ39" s="116">
        <f t="shared" si="13"/>
        <v>2300</v>
      </c>
      <c r="AK39" s="116">
        <f t="shared" si="13"/>
        <v>2300</v>
      </c>
      <c r="AL39" s="116">
        <f t="shared" si="13"/>
        <v>2300</v>
      </c>
      <c r="AM39" s="116">
        <f t="shared" si="9"/>
        <v>2300</v>
      </c>
      <c r="AN39" s="116">
        <f t="shared" si="9"/>
        <v>2300</v>
      </c>
      <c r="AO39" s="116">
        <f t="shared" si="9"/>
        <v>2300</v>
      </c>
      <c r="AP39" s="115"/>
    </row>
    <row r="40" spans="2:42">
      <c r="D40" s="136" t="s">
        <v>61</v>
      </c>
      <c r="E40" s="144">
        <f>SUM(E27:E39)</f>
        <v>992</v>
      </c>
      <c r="F40" s="143" t="s">
        <v>8</v>
      </c>
      <c r="N40" s="136"/>
      <c r="O40" s="138"/>
      <c r="P40" s="143"/>
      <c r="Q40" s="91"/>
      <c r="AA40" s="176">
        <v>44469</v>
      </c>
      <c r="AB40" s="95">
        <f t="shared" si="12"/>
        <v>111</v>
      </c>
      <c r="AC40" s="96">
        <f t="shared" si="0"/>
        <v>0.11189516129032258</v>
      </c>
      <c r="AD40" s="97">
        <f t="shared" si="1"/>
        <v>7215</v>
      </c>
      <c r="AE40" s="97">
        <f t="shared" si="2"/>
        <v>1950</v>
      </c>
      <c r="AF40" s="116">
        <f t="shared" si="5"/>
        <v>903.04931506849312</v>
      </c>
      <c r="AG40" s="116">
        <f t="shared" si="10"/>
        <v>1046.9506849315069</v>
      </c>
      <c r="AH40" s="116">
        <f t="shared" si="6"/>
        <v>461.95068493150688</v>
      </c>
      <c r="AI40" s="116">
        <f t="shared" si="7"/>
        <v>1631.9506849315069</v>
      </c>
      <c r="AJ40" s="116">
        <f t="shared" si="13"/>
        <v>2300</v>
      </c>
      <c r="AK40" s="116">
        <f t="shared" si="13"/>
        <v>2300</v>
      </c>
      <c r="AL40" s="116">
        <f t="shared" si="13"/>
        <v>2300</v>
      </c>
      <c r="AM40" s="116">
        <f t="shared" si="9"/>
        <v>2300</v>
      </c>
      <c r="AN40" s="116">
        <f t="shared" si="9"/>
        <v>2300</v>
      </c>
      <c r="AO40" s="116">
        <f t="shared" si="9"/>
        <v>2300</v>
      </c>
    </row>
    <row r="41" spans="2:42" ht="22" thickBot="1">
      <c r="D41" s="139"/>
      <c r="E41" s="140"/>
      <c r="F41" s="145"/>
      <c r="N41" s="139"/>
      <c r="O41" s="140"/>
      <c r="P41" s="145"/>
      <c r="Q41" s="91"/>
      <c r="AA41" s="176">
        <v>44500</v>
      </c>
      <c r="AB41" s="95">
        <f t="shared" si="12"/>
        <v>79</v>
      </c>
      <c r="AC41" s="96">
        <f t="shared" si="0"/>
        <v>7.9637096774193547E-2</v>
      </c>
      <c r="AD41" s="97">
        <f t="shared" si="1"/>
        <v>5135</v>
      </c>
      <c r="AE41" s="97">
        <f t="shared" si="2"/>
        <v>1387.8378378378377</v>
      </c>
      <c r="AF41" s="116">
        <f t="shared" si="5"/>
        <v>903.04931506849312</v>
      </c>
      <c r="AG41" s="116">
        <f t="shared" si="10"/>
        <v>484.78852276934458</v>
      </c>
      <c r="AH41" s="116">
        <f t="shared" si="6"/>
        <v>68.437171417993227</v>
      </c>
      <c r="AI41" s="116">
        <f t="shared" si="7"/>
        <v>901.13987412069605</v>
      </c>
      <c r="AJ41" s="116">
        <f t="shared" si="13"/>
        <v>2300</v>
      </c>
      <c r="AK41" s="116">
        <f t="shared" si="13"/>
        <v>2300</v>
      </c>
      <c r="AL41" s="116">
        <f t="shared" si="13"/>
        <v>2300</v>
      </c>
      <c r="AM41" s="116">
        <f t="shared" si="9"/>
        <v>2300</v>
      </c>
      <c r="AN41" s="116">
        <f t="shared" si="9"/>
        <v>2300</v>
      </c>
      <c r="AO41" s="116">
        <f t="shared" si="9"/>
        <v>2300</v>
      </c>
    </row>
    <row r="42" spans="2:42" ht="22" thickTop="1">
      <c r="N42" s="53"/>
      <c r="O42" s="91"/>
      <c r="P42" s="90"/>
      <c r="Q42" s="91"/>
      <c r="AA42" s="176">
        <v>44530</v>
      </c>
      <c r="AB42" s="95">
        <f t="shared" si="12"/>
        <v>28</v>
      </c>
      <c r="AC42" s="96">
        <f t="shared" si="0"/>
        <v>2.8225806451612902E-2</v>
      </c>
      <c r="AD42" s="97">
        <f t="shared" si="1"/>
        <v>1820</v>
      </c>
      <c r="AE42" s="97">
        <f t="shared" si="2"/>
        <v>491.89189189189187</v>
      </c>
      <c r="AF42" s="116">
        <f t="shared" si="5"/>
        <v>903.04931506849312</v>
      </c>
      <c r="AG42" s="116">
        <f t="shared" si="10"/>
        <v>-411.15742317660124</v>
      </c>
      <c r="AH42" s="116">
        <f t="shared" si="6"/>
        <v>-558.72499074416885</v>
      </c>
      <c r="AI42" s="116">
        <f t="shared" si="7"/>
        <v>-263.58985560903363</v>
      </c>
      <c r="AJ42" s="116">
        <f t="shared" si="13"/>
        <v>1888.8425768233988</v>
      </c>
      <c r="AK42" s="116">
        <f t="shared" si="13"/>
        <v>1741.2750092558313</v>
      </c>
      <c r="AL42" s="116">
        <f t="shared" si="13"/>
        <v>2036.4101443909663</v>
      </c>
      <c r="AM42" s="116">
        <f t="shared" si="9"/>
        <v>1888.8425768233988</v>
      </c>
      <c r="AN42" s="116">
        <f t="shared" si="9"/>
        <v>1741.2750092558313</v>
      </c>
      <c r="AO42" s="116">
        <f t="shared" si="9"/>
        <v>2036.4101443909663</v>
      </c>
    </row>
    <row r="43" spans="2:42">
      <c r="N43" s="53"/>
      <c r="O43" s="91"/>
      <c r="P43" s="90"/>
      <c r="Q43" s="91"/>
      <c r="AA43" s="176">
        <v>44561</v>
      </c>
      <c r="AB43" s="95">
        <f t="shared" si="12"/>
        <v>22</v>
      </c>
      <c r="AC43" s="96">
        <f t="shared" si="0"/>
        <v>2.2177419354838711E-2</v>
      </c>
      <c r="AD43" s="97">
        <f t="shared" si="1"/>
        <v>1430</v>
      </c>
      <c r="AE43" s="97">
        <f t="shared" si="2"/>
        <v>386.48648648648646</v>
      </c>
      <c r="AF43" s="116">
        <f t="shared" si="5"/>
        <v>903.04931506849312</v>
      </c>
      <c r="AG43" s="116">
        <f t="shared" si="10"/>
        <v>-516.56282858200666</v>
      </c>
      <c r="AH43" s="116">
        <f t="shared" si="6"/>
        <v>-632.5087745279526</v>
      </c>
      <c r="AI43" s="116">
        <f t="shared" si="7"/>
        <v>-400.61688263606072</v>
      </c>
      <c r="AJ43" s="116">
        <f t="shared" si="13"/>
        <v>1372.2797482413921</v>
      </c>
      <c r="AK43" s="116">
        <f t="shared" si="13"/>
        <v>1108.7662347278788</v>
      </c>
      <c r="AL43" s="116">
        <f t="shared" si="13"/>
        <v>1635.7932617549054</v>
      </c>
      <c r="AM43" s="116">
        <f t="shared" si="9"/>
        <v>1372.2797482413921</v>
      </c>
      <c r="AN43" s="116">
        <f t="shared" si="9"/>
        <v>1108.7662347278788</v>
      </c>
      <c r="AO43" s="116">
        <f t="shared" si="9"/>
        <v>1635.7932617549054</v>
      </c>
    </row>
    <row r="44" spans="2:42" ht="27" thickBot="1">
      <c r="B44" s="117" t="s">
        <v>62</v>
      </c>
      <c r="C44" s="118"/>
      <c r="D44" s="117" t="s">
        <v>63</v>
      </c>
      <c r="E44" s="119"/>
      <c r="F44" s="142"/>
      <c r="G44" s="142"/>
      <c r="H44" s="142"/>
      <c r="I44" s="119"/>
      <c r="J44" s="121"/>
      <c r="K44" s="120"/>
      <c r="L44" s="121"/>
      <c r="M44" s="120"/>
      <c r="N44" s="117" t="s">
        <v>63</v>
      </c>
      <c r="O44" s="121"/>
      <c r="P44" s="120"/>
      <c r="Q44" s="91"/>
      <c r="T44" s="117" t="s">
        <v>112</v>
      </c>
    </row>
    <row r="45" spans="2:42" ht="22" thickTop="1">
      <c r="D45" s="128"/>
      <c r="E45" s="129"/>
      <c r="F45" s="130"/>
      <c r="N45" s="128"/>
      <c r="O45" s="129"/>
      <c r="P45" s="130"/>
      <c r="Q45" s="91"/>
      <c r="S45" s="146"/>
      <c r="T45" s="147"/>
      <c r="U45" s="147"/>
      <c r="V45" s="148"/>
      <c r="W45" s="149"/>
    </row>
    <row r="46" spans="2:42">
      <c r="B46" s="135" t="s">
        <v>93</v>
      </c>
      <c r="D46" s="136" t="s">
        <v>111</v>
      </c>
      <c r="E46" s="33">
        <v>0.13</v>
      </c>
      <c r="F46" s="137"/>
      <c r="N46" s="136" t="s">
        <v>96</v>
      </c>
      <c r="O46" s="150">
        <f>E46</f>
        <v>0.13</v>
      </c>
      <c r="P46" s="137"/>
      <c r="Q46" s="91"/>
      <c r="S46" s="151"/>
      <c r="T46" s="152"/>
      <c r="U46" s="152"/>
      <c r="V46" s="153"/>
      <c r="W46" s="154"/>
    </row>
    <row r="47" spans="2:42">
      <c r="B47" s="135" t="s">
        <v>92</v>
      </c>
      <c r="D47" s="136"/>
      <c r="E47" s="138"/>
      <c r="F47" s="137"/>
      <c r="N47" s="136" t="s">
        <v>97</v>
      </c>
      <c r="O47" s="150">
        <f>1-O46</f>
        <v>0.87</v>
      </c>
      <c r="P47" s="137"/>
      <c r="Q47" s="91"/>
      <c r="S47" s="151"/>
      <c r="T47" s="152"/>
      <c r="U47" s="152"/>
      <c r="V47" s="153"/>
      <c r="W47" s="154"/>
    </row>
    <row r="48" spans="2:42">
      <c r="B48" s="135" t="s">
        <v>94</v>
      </c>
      <c r="D48" s="136"/>
      <c r="E48" s="138"/>
      <c r="F48" s="137"/>
      <c r="N48" s="136"/>
      <c r="O48" s="138"/>
      <c r="P48" s="137"/>
      <c r="Q48" s="91"/>
      <c r="S48" s="151"/>
      <c r="T48" s="152"/>
      <c r="U48" s="152"/>
      <c r="V48" s="153"/>
      <c r="W48" s="154"/>
    </row>
    <row r="49" spans="2:23">
      <c r="B49" s="135" t="s">
        <v>95</v>
      </c>
      <c r="D49" s="136"/>
      <c r="E49" s="138"/>
      <c r="F49" s="137"/>
      <c r="N49" s="136"/>
      <c r="O49" s="138"/>
      <c r="P49" s="137"/>
      <c r="Q49" s="91"/>
      <c r="S49" s="151"/>
      <c r="T49" s="152"/>
      <c r="U49" s="152"/>
      <c r="V49" s="153"/>
      <c r="W49" s="154"/>
    </row>
    <row r="50" spans="2:23">
      <c r="B50" s="135"/>
      <c r="D50" s="136"/>
      <c r="E50" s="138"/>
      <c r="F50" s="137"/>
      <c r="N50" s="136"/>
      <c r="O50" s="138"/>
      <c r="P50" s="137"/>
      <c r="Q50" s="91"/>
      <c r="S50" s="151"/>
      <c r="T50" s="152"/>
      <c r="U50" s="152"/>
      <c r="V50" s="153"/>
      <c r="W50" s="154"/>
    </row>
    <row r="51" spans="2:23">
      <c r="D51" s="136"/>
      <c r="E51" s="138"/>
      <c r="F51" s="137"/>
      <c r="N51" s="136"/>
      <c r="O51" s="138"/>
      <c r="P51" s="137"/>
      <c r="Q51" s="91"/>
      <c r="S51" s="151"/>
      <c r="T51" s="152"/>
      <c r="U51" s="152"/>
      <c r="V51" s="153"/>
      <c r="W51" s="154"/>
    </row>
    <row r="52" spans="2:23">
      <c r="D52" s="136"/>
      <c r="E52" s="138"/>
      <c r="F52" s="137"/>
      <c r="N52" s="136"/>
      <c r="O52" s="138"/>
      <c r="P52" s="137"/>
      <c r="Q52" s="91"/>
      <c r="S52" s="151"/>
      <c r="T52" s="152"/>
      <c r="U52" s="152"/>
      <c r="V52" s="153"/>
      <c r="W52" s="154"/>
    </row>
    <row r="53" spans="2:23">
      <c r="D53" s="136"/>
      <c r="E53" s="138"/>
      <c r="F53" s="137"/>
      <c r="N53" s="136"/>
      <c r="O53" s="138"/>
      <c r="P53" s="137"/>
      <c r="Q53" s="91"/>
      <c r="S53" s="151"/>
      <c r="T53" s="152"/>
      <c r="U53" s="152"/>
      <c r="V53" s="153"/>
      <c r="W53" s="154"/>
    </row>
    <row r="54" spans="2:23">
      <c r="D54" s="136"/>
      <c r="E54" s="138"/>
      <c r="F54" s="137"/>
      <c r="N54" s="136"/>
      <c r="O54" s="138"/>
      <c r="P54" s="137"/>
      <c r="Q54" s="91"/>
      <c r="S54" s="151"/>
      <c r="T54" s="152"/>
      <c r="U54" s="152"/>
      <c r="V54" s="153"/>
      <c r="W54" s="154"/>
    </row>
    <row r="55" spans="2:23">
      <c r="D55" s="136"/>
      <c r="E55" s="138"/>
      <c r="F55" s="137"/>
      <c r="N55" s="136"/>
      <c r="O55" s="138"/>
      <c r="P55" s="137"/>
      <c r="Q55" s="91"/>
      <c r="S55" s="151"/>
      <c r="T55" s="152"/>
      <c r="U55" s="152"/>
      <c r="V55" s="153"/>
      <c r="W55" s="154"/>
    </row>
    <row r="56" spans="2:23">
      <c r="D56" s="136"/>
      <c r="E56" s="138"/>
      <c r="F56" s="137"/>
      <c r="N56" s="136"/>
      <c r="O56" s="138"/>
      <c r="P56" s="137"/>
      <c r="Q56" s="91"/>
      <c r="S56" s="151"/>
      <c r="T56" s="152"/>
      <c r="U56" s="152"/>
      <c r="V56" s="153"/>
      <c r="W56" s="154"/>
    </row>
    <row r="57" spans="2:23">
      <c r="D57" s="136"/>
      <c r="E57" s="138"/>
      <c r="F57" s="137"/>
      <c r="N57" s="136"/>
      <c r="O57" s="138"/>
      <c r="P57" s="137"/>
      <c r="Q57" s="91"/>
      <c r="S57" s="151"/>
      <c r="T57" s="152"/>
      <c r="U57" s="152"/>
      <c r="V57" s="153"/>
      <c r="W57" s="154"/>
    </row>
    <row r="58" spans="2:23">
      <c r="D58" s="136"/>
      <c r="E58" s="138"/>
      <c r="F58" s="137"/>
      <c r="N58" s="136"/>
      <c r="O58" s="138"/>
      <c r="P58" s="137"/>
      <c r="Q58" s="91"/>
      <c r="S58" s="151"/>
      <c r="T58" s="152"/>
      <c r="U58" s="152"/>
      <c r="V58" s="153"/>
      <c r="W58" s="154"/>
    </row>
    <row r="59" spans="2:23">
      <c r="D59" s="136"/>
      <c r="E59" s="138"/>
      <c r="F59" s="137"/>
      <c r="N59" s="136"/>
      <c r="O59" s="138"/>
      <c r="P59" s="137"/>
      <c r="Q59" s="91"/>
      <c r="S59" s="151"/>
      <c r="T59" s="152"/>
      <c r="U59" s="152"/>
      <c r="V59" s="153"/>
      <c r="W59" s="154"/>
    </row>
    <row r="60" spans="2:23">
      <c r="D60" s="136"/>
      <c r="E60" s="138"/>
      <c r="F60" s="137"/>
      <c r="N60" s="136"/>
      <c r="O60" s="138"/>
      <c r="P60" s="137"/>
      <c r="Q60" s="91"/>
      <c r="S60" s="151"/>
      <c r="T60" s="152"/>
      <c r="U60" s="152"/>
      <c r="V60" s="153"/>
      <c r="W60" s="154"/>
    </row>
    <row r="61" spans="2:23">
      <c r="D61" s="136"/>
      <c r="E61" s="138"/>
      <c r="F61" s="137"/>
      <c r="N61" s="136"/>
      <c r="O61" s="138"/>
      <c r="P61" s="137"/>
      <c r="Q61" s="91"/>
      <c r="S61" s="151"/>
      <c r="T61" s="152"/>
      <c r="U61" s="152"/>
      <c r="V61" s="153"/>
      <c r="W61" s="154"/>
    </row>
    <row r="62" spans="2:23" ht="22" thickBot="1">
      <c r="D62" s="139"/>
      <c r="E62" s="140"/>
      <c r="F62" s="141"/>
      <c r="N62" s="139"/>
      <c r="O62" s="140"/>
      <c r="P62" s="141"/>
      <c r="Q62" s="91"/>
      <c r="S62" s="151"/>
      <c r="T62" s="152"/>
      <c r="U62" s="152"/>
      <c r="V62" s="153"/>
      <c r="W62" s="154"/>
    </row>
    <row r="63" spans="2:23" ht="22" thickTop="1">
      <c r="D63" s="138"/>
      <c r="E63" s="138"/>
      <c r="F63" s="155"/>
      <c r="N63" s="138"/>
      <c r="O63" s="138"/>
      <c r="P63" s="155"/>
      <c r="Q63" s="91"/>
      <c r="S63" s="151"/>
      <c r="T63" s="152"/>
      <c r="U63" s="152"/>
      <c r="V63" s="153"/>
      <c r="W63" s="154"/>
    </row>
    <row r="64" spans="2:23">
      <c r="D64" s="138"/>
      <c r="E64" s="138"/>
      <c r="F64" s="155"/>
      <c r="I64" s="138"/>
      <c r="J64" s="138"/>
      <c r="K64" s="155"/>
      <c r="S64" s="151"/>
      <c r="T64" s="152"/>
      <c r="U64" s="152"/>
      <c r="V64" s="153"/>
      <c r="W64" s="154"/>
    </row>
    <row r="65" spans="2:31" ht="27" thickBot="1">
      <c r="B65" s="117" t="s">
        <v>114</v>
      </c>
      <c r="C65" s="156"/>
      <c r="D65" s="117" t="s">
        <v>71</v>
      </c>
      <c r="E65" s="119"/>
      <c r="F65" s="120"/>
      <c r="G65" s="120"/>
      <c r="H65" s="120"/>
      <c r="I65" s="119"/>
      <c r="J65" s="121"/>
      <c r="K65" s="120"/>
      <c r="L65" s="121"/>
      <c r="M65" s="120"/>
      <c r="N65" s="117" t="s">
        <v>77</v>
      </c>
      <c r="O65" s="121"/>
      <c r="P65" s="120"/>
      <c r="Q65" s="91"/>
      <c r="S65" s="151"/>
      <c r="T65" s="152"/>
      <c r="U65" s="152"/>
      <c r="V65" s="153"/>
      <c r="W65" s="154"/>
    </row>
    <row r="66" spans="2:31" ht="22" thickTop="1">
      <c r="B66" s="157"/>
      <c r="D66" s="128"/>
      <c r="E66" s="129"/>
      <c r="F66" s="130"/>
      <c r="N66" s="128"/>
      <c r="O66" s="129"/>
      <c r="P66" s="130"/>
      <c r="Q66" s="91"/>
      <c r="S66" s="151"/>
      <c r="T66" s="152"/>
      <c r="U66" s="152"/>
      <c r="V66" s="153"/>
      <c r="W66" s="154"/>
    </row>
    <row r="67" spans="2:31">
      <c r="B67" s="135" t="s">
        <v>86</v>
      </c>
      <c r="D67" s="136" t="s">
        <v>47</v>
      </c>
      <c r="E67" s="32">
        <v>0.8</v>
      </c>
      <c r="F67" s="137"/>
      <c r="N67" s="136" t="s">
        <v>64</v>
      </c>
      <c r="O67" s="138">
        <f>O19*(1-E67)</f>
        <v>124.99999999999997</v>
      </c>
      <c r="P67" s="137" t="s">
        <v>17</v>
      </c>
      <c r="Q67" s="91"/>
      <c r="S67" s="151"/>
      <c r="T67" s="152"/>
      <c r="U67" s="152"/>
      <c r="V67" s="153"/>
      <c r="W67" s="154"/>
    </row>
    <row r="68" spans="2:31" ht="22" thickBot="1">
      <c r="D68" s="139"/>
      <c r="E68" s="140"/>
      <c r="F68" s="141"/>
      <c r="N68" s="139"/>
      <c r="O68" s="140"/>
      <c r="P68" s="141"/>
      <c r="Q68" s="91"/>
      <c r="S68" s="151"/>
      <c r="T68" s="152"/>
      <c r="U68" s="152"/>
      <c r="V68" s="153"/>
      <c r="W68" s="154"/>
    </row>
    <row r="69" spans="2:31" ht="22" thickTop="1">
      <c r="N69" s="53"/>
      <c r="O69" s="91"/>
      <c r="P69" s="90"/>
      <c r="Q69" s="91"/>
      <c r="S69" s="151"/>
      <c r="T69" s="152"/>
      <c r="U69" s="152"/>
      <c r="V69" s="153"/>
      <c r="W69" s="154"/>
    </row>
    <row r="70" spans="2:31">
      <c r="S70" s="151"/>
      <c r="T70" s="152"/>
      <c r="U70" s="152"/>
      <c r="V70" s="153"/>
      <c r="W70" s="154"/>
    </row>
    <row r="71" spans="2:31" ht="27" thickBot="1">
      <c r="B71" s="117" t="s">
        <v>65</v>
      </c>
      <c r="C71" s="118"/>
      <c r="D71" s="117" t="s">
        <v>72</v>
      </c>
      <c r="E71" s="119" t="s">
        <v>13</v>
      </c>
      <c r="F71" s="120"/>
      <c r="G71" s="120"/>
      <c r="H71" s="120"/>
      <c r="I71" s="117" t="s">
        <v>78</v>
      </c>
      <c r="J71" s="121"/>
      <c r="K71" s="120"/>
      <c r="L71" s="121"/>
      <c r="M71" s="120"/>
      <c r="N71" s="120"/>
      <c r="O71" s="122"/>
      <c r="P71" s="122"/>
      <c r="S71" s="151"/>
      <c r="T71" s="152"/>
      <c r="U71" s="152"/>
      <c r="V71" s="153"/>
      <c r="W71" s="154"/>
    </row>
    <row r="72" spans="2:31" ht="22" thickTop="1">
      <c r="D72" s="128"/>
      <c r="E72" s="129"/>
      <c r="F72" s="130"/>
      <c r="I72" s="128"/>
      <c r="J72" s="129"/>
      <c r="K72" s="130"/>
      <c r="S72" s="151"/>
      <c r="T72" s="152"/>
      <c r="U72" s="152"/>
      <c r="V72" s="153"/>
      <c r="W72" s="154"/>
    </row>
    <row r="73" spans="2:31">
      <c r="B73" s="135" t="s">
        <v>84</v>
      </c>
      <c r="D73" s="136" t="s">
        <v>12</v>
      </c>
      <c r="E73" s="32">
        <v>3.7</v>
      </c>
      <c r="F73" s="137" t="s">
        <v>11</v>
      </c>
      <c r="I73" s="136" t="s">
        <v>15</v>
      </c>
      <c r="J73" s="138">
        <f>E74*E73</f>
        <v>8510</v>
      </c>
      <c r="K73" s="137" t="s">
        <v>7</v>
      </c>
      <c r="S73" s="151"/>
      <c r="T73" s="152"/>
      <c r="U73" s="152"/>
      <c r="V73" s="153"/>
      <c r="W73" s="154"/>
    </row>
    <row r="74" spans="2:31">
      <c r="B74" s="135" t="s">
        <v>84</v>
      </c>
      <c r="D74" s="136" t="s">
        <v>14</v>
      </c>
      <c r="E74" s="32">
        <v>2300</v>
      </c>
      <c r="F74" s="137" t="s">
        <v>0</v>
      </c>
      <c r="I74" s="136" t="s">
        <v>79</v>
      </c>
      <c r="J74" s="158">
        <f>E76/(365*24)</f>
        <v>0.14840182648401826</v>
      </c>
      <c r="K74" s="137" t="s">
        <v>1</v>
      </c>
      <c r="S74" s="151"/>
      <c r="T74" s="152"/>
      <c r="U74" s="152"/>
      <c r="V74" s="153"/>
      <c r="W74" s="154"/>
    </row>
    <row r="75" spans="2:31">
      <c r="B75" s="135" t="s">
        <v>103</v>
      </c>
      <c r="D75" s="136" t="s">
        <v>104</v>
      </c>
      <c r="E75" s="32">
        <v>1000</v>
      </c>
      <c r="F75" s="137" t="s">
        <v>0</v>
      </c>
      <c r="I75" s="136"/>
      <c r="J75" s="158"/>
      <c r="K75" s="137"/>
      <c r="S75" s="151"/>
      <c r="T75" s="152"/>
      <c r="U75" s="152"/>
      <c r="V75" s="153"/>
      <c r="W75" s="154"/>
    </row>
    <row r="76" spans="2:31">
      <c r="B76" s="135" t="s">
        <v>84</v>
      </c>
      <c r="D76" s="136" t="s">
        <v>41</v>
      </c>
      <c r="E76" s="32">
        <v>1300</v>
      </c>
      <c r="F76" s="137" t="s">
        <v>40</v>
      </c>
      <c r="I76" s="136"/>
      <c r="J76" s="138"/>
      <c r="K76" s="137"/>
      <c r="S76" s="151"/>
      <c r="T76" s="152"/>
      <c r="U76" s="152"/>
      <c r="V76" s="153"/>
      <c r="W76" s="154"/>
    </row>
    <row r="77" spans="2:31" ht="22" thickBot="1">
      <c r="D77" s="139"/>
      <c r="E77" s="140"/>
      <c r="F77" s="141"/>
      <c r="I77" s="139"/>
      <c r="J77" s="140"/>
      <c r="K77" s="141"/>
      <c r="S77" s="151"/>
      <c r="T77" s="152"/>
      <c r="U77" s="152"/>
      <c r="V77" s="153"/>
      <c r="W77" s="154"/>
    </row>
    <row r="78" spans="2:31" ht="22" thickTop="1">
      <c r="S78" s="151"/>
      <c r="T78" s="152"/>
      <c r="U78" s="152"/>
      <c r="V78" s="153"/>
      <c r="W78" s="154"/>
    </row>
    <row r="79" spans="2:31" ht="22" thickBot="1">
      <c r="S79" s="159"/>
      <c r="T79" s="160"/>
      <c r="U79" s="160"/>
      <c r="V79" s="161"/>
      <c r="W79" s="162"/>
    </row>
    <row r="80" spans="2:31" s="163" customFormat="1" ht="28" thickTop="1" thickBot="1">
      <c r="B80" s="117" t="s">
        <v>66</v>
      </c>
      <c r="C80" s="118"/>
      <c r="D80" s="117" t="s">
        <v>73</v>
      </c>
      <c r="E80" s="119"/>
      <c r="F80" s="142"/>
      <c r="G80" s="142"/>
      <c r="H80" s="142"/>
      <c r="I80" s="117" t="s">
        <v>82</v>
      </c>
      <c r="J80" s="142"/>
      <c r="K80" s="142"/>
      <c r="L80" s="142"/>
      <c r="M80" s="142"/>
      <c r="N80" s="142"/>
      <c r="O80" s="142"/>
      <c r="P80" s="92"/>
      <c r="Q80" s="92"/>
      <c r="R80" s="92"/>
      <c r="S80" s="92"/>
      <c r="AA80" s="180"/>
      <c r="AB80" s="164"/>
      <c r="AC80" s="165"/>
      <c r="AD80" s="166"/>
      <c r="AE80" s="166"/>
    </row>
    <row r="81" spans="2:43" ht="28" thickTop="1" thickBot="1">
      <c r="D81" s="128"/>
      <c r="E81" s="167"/>
      <c r="F81" s="130"/>
      <c r="I81" s="128"/>
      <c r="J81" s="167"/>
      <c r="K81" s="130"/>
      <c r="S81" s="117"/>
      <c r="T81" s="117" t="s">
        <v>113</v>
      </c>
    </row>
    <row r="82" spans="2:43" ht="22" thickTop="1">
      <c r="B82" s="135" t="s">
        <v>87</v>
      </c>
      <c r="D82" s="136" t="s">
        <v>23</v>
      </c>
      <c r="E82" s="34">
        <v>50</v>
      </c>
      <c r="F82" s="137" t="s">
        <v>1</v>
      </c>
      <c r="I82" s="136" t="s">
        <v>29</v>
      </c>
      <c r="J82" s="168">
        <f>E86*E90/60</f>
        <v>1</v>
      </c>
      <c r="K82" s="137" t="s">
        <v>5</v>
      </c>
      <c r="S82" s="146"/>
      <c r="T82" s="147"/>
      <c r="U82" s="147"/>
      <c r="V82" s="148"/>
      <c r="W82" s="149"/>
    </row>
    <row r="83" spans="2:43">
      <c r="B83" s="135" t="s">
        <v>87</v>
      </c>
      <c r="D83" s="136" t="s">
        <v>21</v>
      </c>
      <c r="E83" s="34">
        <v>0.25</v>
      </c>
      <c r="F83" s="137" t="s">
        <v>1</v>
      </c>
      <c r="I83" s="136" t="s">
        <v>33</v>
      </c>
      <c r="J83" s="168">
        <f>60-J82</f>
        <v>59</v>
      </c>
      <c r="K83" s="137" t="s">
        <v>5</v>
      </c>
      <c r="S83" s="151"/>
      <c r="T83" s="152"/>
      <c r="U83" s="152"/>
      <c r="V83" s="153"/>
      <c r="W83" s="154"/>
    </row>
    <row r="84" spans="2:43">
      <c r="B84" s="135" t="s">
        <v>87</v>
      </c>
      <c r="D84" s="136" t="s">
        <v>22</v>
      </c>
      <c r="E84" s="34">
        <v>80</v>
      </c>
      <c r="F84" s="137" t="s">
        <v>1</v>
      </c>
      <c r="I84" s="136" t="s">
        <v>30</v>
      </c>
      <c r="J84" s="168">
        <f>E90*E87/60</f>
        <v>0.02</v>
      </c>
      <c r="K84" s="137" t="s">
        <v>5</v>
      </c>
      <c r="S84" s="151"/>
      <c r="T84" s="152"/>
      <c r="U84" s="152"/>
      <c r="V84" s="153"/>
      <c r="W84" s="154"/>
    </row>
    <row r="85" spans="2:43">
      <c r="B85" s="135"/>
      <c r="D85" s="136"/>
      <c r="E85" s="168"/>
      <c r="F85" s="137"/>
      <c r="I85" s="136"/>
      <c r="J85" s="168"/>
      <c r="K85" s="137"/>
      <c r="S85" s="151"/>
      <c r="T85" s="152"/>
      <c r="U85" s="152"/>
      <c r="V85" s="153"/>
      <c r="W85" s="154"/>
    </row>
    <row r="86" spans="2:43">
      <c r="B86" s="135" t="s">
        <v>88</v>
      </c>
      <c r="D86" s="136" t="s">
        <v>24</v>
      </c>
      <c r="E86" s="35">
        <v>3</v>
      </c>
      <c r="F86" s="137" t="s">
        <v>26</v>
      </c>
      <c r="I86" s="136" t="s">
        <v>31</v>
      </c>
      <c r="J86" s="169">
        <f>(E82*J82)/60</f>
        <v>0.83333333333333337</v>
      </c>
      <c r="K86" s="137" t="s">
        <v>0</v>
      </c>
      <c r="S86" s="151"/>
      <c r="T86" s="152"/>
      <c r="U86" s="152"/>
      <c r="V86" s="153"/>
      <c r="W86" s="154"/>
    </row>
    <row r="87" spans="2:43">
      <c r="B87" s="135" t="s">
        <v>87</v>
      </c>
      <c r="D87" s="136" t="s">
        <v>25</v>
      </c>
      <c r="E87" s="35">
        <v>0.06</v>
      </c>
      <c r="F87" s="137" t="s">
        <v>26</v>
      </c>
      <c r="I87" s="136" t="s">
        <v>32</v>
      </c>
      <c r="J87" s="169">
        <f>E83*J83/60</f>
        <v>0.24583333333333332</v>
      </c>
      <c r="K87" s="137" t="s">
        <v>0</v>
      </c>
      <c r="S87" s="151"/>
      <c r="T87" s="152"/>
      <c r="U87" s="152"/>
      <c r="V87" s="153"/>
      <c r="W87" s="154"/>
    </row>
    <row r="88" spans="2:43" s="92" customFormat="1">
      <c r="B88" s="135"/>
      <c r="C88" s="89"/>
      <c r="D88" s="136"/>
      <c r="E88" s="169"/>
      <c r="F88" s="137"/>
      <c r="G88" s="90"/>
      <c r="H88" s="90"/>
      <c r="I88" s="136" t="s">
        <v>34</v>
      </c>
      <c r="J88" s="169">
        <f>E84*J84/60</f>
        <v>2.6666666666666668E-2</v>
      </c>
      <c r="K88" s="137" t="s">
        <v>0</v>
      </c>
      <c r="L88" s="91"/>
      <c r="S88" s="151"/>
      <c r="T88" s="152"/>
      <c r="U88" s="152"/>
      <c r="V88" s="153"/>
      <c r="W88" s="154"/>
      <c r="X88" s="94"/>
      <c r="Y88" s="94"/>
      <c r="AA88" s="176"/>
      <c r="AB88" s="95"/>
      <c r="AC88" s="96"/>
      <c r="AD88" s="97"/>
      <c r="AE88" s="97"/>
      <c r="AQ88" s="90"/>
    </row>
    <row r="89" spans="2:43" s="92" customFormat="1">
      <c r="B89" s="135"/>
      <c r="C89" s="89"/>
      <c r="D89" s="136"/>
      <c r="E89" s="169"/>
      <c r="F89" s="137"/>
      <c r="G89" s="90"/>
      <c r="H89" s="90"/>
      <c r="I89" s="136" t="s">
        <v>42</v>
      </c>
      <c r="J89" s="169">
        <f>E76/365/24</f>
        <v>0.14840182648401826</v>
      </c>
      <c r="K89" s="137" t="s">
        <v>0</v>
      </c>
      <c r="L89" s="91"/>
      <c r="S89" s="151"/>
      <c r="T89" s="152"/>
      <c r="U89" s="152"/>
      <c r="V89" s="153"/>
      <c r="W89" s="154"/>
      <c r="X89" s="94"/>
      <c r="Y89" s="94"/>
      <c r="AA89" s="176"/>
      <c r="AB89" s="95"/>
      <c r="AC89" s="96"/>
      <c r="AD89" s="97"/>
      <c r="AE89" s="97"/>
      <c r="AQ89" s="90"/>
    </row>
    <row r="90" spans="2:43">
      <c r="B90" s="135" t="s">
        <v>88</v>
      </c>
      <c r="D90" s="136" t="s">
        <v>27</v>
      </c>
      <c r="E90" s="34">
        <v>20</v>
      </c>
      <c r="F90" s="137" t="s">
        <v>74</v>
      </c>
      <c r="I90" s="136"/>
      <c r="J90" s="168"/>
      <c r="K90" s="137"/>
      <c r="S90" s="151"/>
      <c r="T90" s="152"/>
      <c r="U90" s="152"/>
      <c r="V90" s="153"/>
      <c r="W90" s="154"/>
    </row>
    <row r="91" spans="2:43" s="92" customFormat="1">
      <c r="B91" s="135"/>
      <c r="C91" s="89"/>
      <c r="D91" s="136"/>
      <c r="E91" s="168"/>
      <c r="F91" s="137"/>
      <c r="G91" s="90"/>
      <c r="H91" s="90"/>
      <c r="I91" s="136" t="s">
        <v>35</v>
      </c>
      <c r="J91" s="168">
        <f>SUM(J86:J89)</f>
        <v>1.2542351598173516</v>
      </c>
      <c r="K91" s="137" t="s">
        <v>0</v>
      </c>
      <c r="N91" s="170"/>
      <c r="S91" s="151"/>
      <c r="T91" s="152"/>
      <c r="U91" s="152"/>
      <c r="V91" s="153"/>
      <c r="W91" s="154"/>
      <c r="X91" s="94"/>
      <c r="Y91" s="94"/>
      <c r="AA91" s="176"/>
      <c r="AB91" s="95"/>
      <c r="AC91" s="96"/>
      <c r="AD91" s="97"/>
      <c r="AE91" s="97"/>
      <c r="AQ91" s="90"/>
    </row>
    <row r="92" spans="2:43">
      <c r="B92" s="135"/>
      <c r="D92" s="136"/>
      <c r="E92" s="168"/>
      <c r="F92" s="137"/>
      <c r="I92" s="136" t="s">
        <v>36</v>
      </c>
      <c r="J92" s="168">
        <f>J91*24</f>
        <v>30.101643835616436</v>
      </c>
      <c r="K92" s="137" t="s">
        <v>0</v>
      </c>
      <c r="N92" s="170"/>
      <c r="S92" s="151"/>
      <c r="T92" s="152"/>
      <c r="U92" s="152"/>
      <c r="V92" s="153"/>
      <c r="W92" s="154"/>
    </row>
    <row r="93" spans="2:43">
      <c r="B93" s="135"/>
      <c r="D93" s="136"/>
      <c r="E93" s="168"/>
      <c r="F93" s="137"/>
      <c r="I93" s="136" t="s">
        <v>37</v>
      </c>
      <c r="J93" s="168">
        <f>J91*24*30</f>
        <v>903.04931506849312</v>
      </c>
      <c r="K93" s="137" t="s">
        <v>0</v>
      </c>
      <c r="N93" s="170"/>
      <c r="S93" s="151"/>
      <c r="T93" s="152"/>
      <c r="U93" s="152"/>
      <c r="V93" s="153"/>
      <c r="W93" s="154"/>
    </row>
    <row r="94" spans="2:43">
      <c r="D94" s="136"/>
      <c r="E94" s="168"/>
      <c r="F94" s="137"/>
      <c r="I94" s="136" t="s">
        <v>38</v>
      </c>
      <c r="J94" s="168">
        <f>J91*24*365.25</f>
        <v>10994.625410958903</v>
      </c>
      <c r="K94" s="137" t="s">
        <v>0</v>
      </c>
      <c r="N94" s="170"/>
      <c r="S94" s="151"/>
      <c r="T94" s="152"/>
      <c r="U94" s="152"/>
      <c r="V94" s="153"/>
      <c r="W94" s="154"/>
    </row>
    <row r="95" spans="2:43">
      <c r="D95" s="136"/>
      <c r="E95" s="168"/>
      <c r="F95" s="137"/>
      <c r="I95" s="136"/>
      <c r="J95" s="168"/>
      <c r="K95" s="137"/>
      <c r="N95" s="170"/>
      <c r="S95" s="151"/>
      <c r="T95" s="152"/>
      <c r="U95" s="152"/>
      <c r="V95" s="153"/>
      <c r="W95" s="154"/>
    </row>
    <row r="96" spans="2:43">
      <c r="D96" s="136"/>
      <c r="E96" s="168"/>
      <c r="F96" s="137"/>
      <c r="I96" s="136" t="s">
        <v>35</v>
      </c>
      <c r="J96" s="168">
        <f>3.7*J91</f>
        <v>4.6406700913242007</v>
      </c>
      <c r="K96" s="137" t="s">
        <v>7</v>
      </c>
      <c r="N96" s="170"/>
      <c r="S96" s="151"/>
      <c r="T96" s="152"/>
      <c r="U96" s="152"/>
      <c r="V96" s="153"/>
      <c r="W96" s="154"/>
    </row>
    <row r="97" spans="2:43">
      <c r="D97" s="136"/>
      <c r="E97" s="168"/>
      <c r="F97" s="137"/>
      <c r="I97" s="136" t="s">
        <v>36</v>
      </c>
      <c r="J97" s="168">
        <f>3.7*J92</f>
        <v>111.37608219178082</v>
      </c>
      <c r="K97" s="137" t="s">
        <v>7</v>
      </c>
      <c r="N97" s="170"/>
      <c r="S97" s="151"/>
      <c r="T97" s="152"/>
      <c r="U97" s="152"/>
      <c r="V97" s="153"/>
      <c r="W97" s="154"/>
      <c r="Z97" s="171"/>
    </row>
    <row r="98" spans="2:43">
      <c r="D98" s="136"/>
      <c r="E98" s="168"/>
      <c r="F98" s="137"/>
      <c r="I98" s="136" t="s">
        <v>37</v>
      </c>
      <c r="J98" s="168">
        <f>3.7*J93</f>
        <v>3341.2824657534247</v>
      </c>
      <c r="K98" s="137" t="s">
        <v>7</v>
      </c>
      <c r="N98" s="170"/>
      <c r="S98" s="151"/>
      <c r="T98" s="152"/>
      <c r="U98" s="152"/>
      <c r="V98" s="153"/>
      <c r="W98" s="154"/>
    </row>
    <row r="99" spans="2:43">
      <c r="D99" s="136"/>
      <c r="E99" s="168"/>
      <c r="F99" s="137"/>
      <c r="I99" s="136" t="s">
        <v>38</v>
      </c>
      <c r="J99" s="168">
        <f>3.7*J94</f>
        <v>40680.114020547939</v>
      </c>
      <c r="K99" s="137" t="s">
        <v>7</v>
      </c>
      <c r="N99" s="170"/>
      <c r="S99" s="151"/>
      <c r="T99" s="152"/>
      <c r="U99" s="152"/>
      <c r="V99" s="153"/>
      <c r="W99" s="154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spans="2:43">
      <c r="D100" s="136"/>
      <c r="E100" s="168"/>
      <c r="F100" s="137"/>
      <c r="I100" s="136"/>
      <c r="J100" s="168"/>
      <c r="K100" s="137"/>
      <c r="S100" s="151"/>
      <c r="T100" s="152"/>
      <c r="U100" s="152"/>
      <c r="V100" s="153"/>
      <c r="W100" s="154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2:43" s="92" customFormat="1">
      <c r="B101" s="53"/>
      <c r="C101" s="89"/>
      <c r="D101" s="136"/>
      <c r="E101" s="168"/>
      <c r="F101" s="137"/>
      <c r="G101" s="90"/>
      <c r="H101" s="90"/>
      <c r="I101" s="136" t="s">
        <v>75</v>
      </c>
      <c r="J101" s="168">
        <f>E74/J91</f>
        <v>1833.7868955411348</v>
      </c>
      <c r="K101" s="137" t="s">
        <v>2</v>
      </c>
      <c r="S101" s="151"/>
      <c r="T101" s="152"/>
      <c r="U101" s="152"/>
      <c r="V101" s="153"/>
      <c r="W101" s="154"/>
      <c r="X101" s="94"/>
      <c r="Y101" s="94"/>
      <c r="Z101" s="94"/>
      <c r="AA101" s="176"/>
      <c r="AB101" s="95"/>
      <c r="AC101" s="96"/>
      <c r="AD101" s="97"/>
      <c r="AE101" s="97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Q101" s="90"/>
    </row>
    <row r="102" spans="2:43">
      <c r="D102" s="136"/>
      <c r="E102" s="168"/>
      <c r="F102" s="137"/>
      <c r="I102" s="136" t="s">
        <v>39</v>
      </c>
      <c r="J102" s="168">
        <f>E74/J92</f>
        <v>76.407787314213948</v>
      </c>
      <c r="K102" s="137" t="s">
        <v>4</v>
      </c>
      <c r="S102" s="151"/>
      <c r="T102" s="152"/>
      <c r="U102" s="152"/>
      <c r="V102" s="153"/>
      <c r="W102" s="154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spans="2:43" s="92" customFormat="1">
      <c r="B103" s="53"/>
      <c r="C103" s="89"/>
      <c r="D103" s="136"/>
      <c r="E103" s="168"/>
      <c r="F103" s="137"/>
      <c r="G103" s="90"/>
      <c r="H103" s="90"/>
      <c r="I103" s="136"/>
      <c r="J103" s="168"/>
      <c r="K103" s="137"/>
      <c r="L103" s="91"/>
      <c r="M103" s="90"/>
      <c r="N103" s="90"/>
      <c r="S103" s="151"/>
      <c r="T103" s="152"/>
      <c r="U103" s="152"/>
      <c r="V103" s="153"/>
      <c r="W103" s="154"/>
      <c r="X103" s="94"/>
      <c r="Y103" s="94"/>
      <c r="Z103" s="94"/>
      <c r="AA103" s="176"/>
      <c r="AB103" s="95"/>
      <c r="AC103" s="96"/>
      <c r="AD103" s="97"/>
      <c r="AE103" s="97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Q103" s="90"/>
    </row>
    <row r="104" spans="2:43" s="92" customFormat="1">
      <c r="B104" s="53"/>
      <c r="C104" s="89"/>
      <c r="D104" s="151"/>
      <c r="E104" s="152"/>
      <c r="F104" s="172"/>
      <c r="G104" s="90"/>
      <c r="H104" s="90"/>
      <c r="I104" s="173" t="s">
        <v>83</v>
      </c>
      <c r="J104" s="152"/>
      <c r="K104" s="172"/>
      <c r="L104" s="91"/>
      <c r="M104" s="90"/>
      <c r="N104" s="90"/>
      <c r="S104" s="151"/>
      <c r="T104" s="152"/>
      <c r="U104" s="152"/>
      <c r="V104" s="153"/>
      <c r="W104" s="154"/>
      <c r="X104" s="94"/>
      <c r="Y104" s="94"/>
      <c r="Z104" s="94"/>
      <c r="AA104" s="176"/>
      <c r="AB104" s="95"/>
      <c r="AC104" s="96"/>
      <c r="AD104" s="97"/>
      <c r="AE104" s="97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Q104" s="90"/>
    </row>
    <row r="105" spans="2:43" s="92" customFormat="1">
      <c r="B105" s="53"/>
      <c r="C105" s="89"/>
      <c r="D105" s="136"/>
      <c r="E105" s="158"/>
      <c r="F105" s="137"/>
      <c r="G105" s="90"/>
      <c r="H105" s="90"/>
      <c r="I105" s="136" t="s">
        <v>45</v>
      </c>
      <c r="J105" s="158">
        <f>E90*E87/36</f>
        <v>3.3333333333333333E-2</v>
      </c>
      <c r="K105" s="137" t="s">
        <v>6</v>
      </c>
      <c r="L105" s="91"/>
      <c r="M105" s="90"/>
      <c r="N105" s="90"/>
      <c r="S105" s="151"/>
      <c r="T105" s="152"/>
      <c r="U105" s="152"/>
      <c r="V105" s="153"/>
      <c r="W105" s="154"/>
      <c r="X105" s="94"/>
      <c r="Y105" s="94"/>
      <c r="Z105" s="94"/>
      <c r="AA105" s="176"/>
      <c r="AB105" s="95"/>
      <c r="AC105" s="96"/>
      <c r="AD105" s="97"/>
      <c r="AE105" s="97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Q105" s="90"/>
    </row>
    <row r="106" spans="2:43">
      <c r="D106" s="136"/>
      <c r="E106" s="158"/>
      <c r="F106" s="137"/>
      <c r="I106" s="136" t="s">
        <v>46</v>
      </c>
      <c r="J106" s="158">
        <f>E90*E87*24</f>
        <v>28.799999999999997</v>
      </c>
      <c r="K106" s="137" t="s">
        <v>3</v>
      </c>
      <c r="S106" s="151"/>
      <c r="T106" s="152"/>
      <c r="U106" s="152"/>
      <c r="V106" s="153"/>
      <c r="W106" s="154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spans="2:43" s="92" customFormat="1" ht="22" thickBot="1">
      <c r="B107" s="53"/>
      <c r="C107" s="89"/>
      <c r="D107" s="159"/>
      <c r="E107" s="160"/>
      <c r="F107" s="174"/>
      <c r="G107" s="90"/>
      <c r="H107" s="90"/>
      <c r="I107" s="159"/>
      <c r="J107" s="160"/>
      <c r="K107" s="174"/>
      <c r="M107" s="90"/>
      <c r="N107" s="90"/>
      <c r="S107" s="159"/>
      <c r="T107" s="160"/>
      <c r="U107" s="160"/>
      <c r="V107" s="161"/>
      <c r="W107" s="162"/>
      <c r="X107" s="94"/>
      <c r="Y107" s="94"/>
      <c r="Z107" s="94"/>
      <c r="AA107" s="176"/>
      <c r="AB107" s="95"/>
      <c r="AC107" s="96"/>
      <c r="AD107" s="97"/>
      <c r="AE107" s="97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Q107" s="90"/>
    </row>
    <row r="108" spans="2:43" ht="22" thickTop="1"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2:43">
      <c r="X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2:43" ht="27" thickBot="1">
      <c r="B110" s="117" t="s">
        <v>146</v>
      </c>
      <c r="C110" s="118"/>
      <c r="D110" s="117" t="s">
        <v>148</v>
      </c>
      <c r="E110" s="119"/>
      <c r="F110" s="120"/>
      <c r="G110" s="120"/>
      <c r="H110" s="120"/>
      <c r="I110" s="117" t="s">
        <v>149</v>
      </c>
      <c r="J110" s="121"/>
      <c r="K110" s="120"/>
      <c r="L110" s="121"/>
      <c r="X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2:43" ht="22" thickTop="1">
      <c r="D111" s="128"/>
      <c r="E111" s="129"/>
      <c r="F111" s="130"/>
      <c r="I111" s="128"/>
      <c r="J111" s="129"/>
      <c r="K111" s="130"/>
      <c r="X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2:43">
      <c r="B112" s="135" t="s">
        <v>147</v>
      </c>
      <c r="D112" s="136" t="s">
        <v>152</v>
      </c>
      <c r="E112" s="32">
        <v>0</v>
      </c>
      <c r="F112" s="137" t="s">
        <v>0</v>
      </c>
      <c r="I112" s="136" t="s">
        <v>150</v>
      </c>
      <c r="J112" s="175">
        <f>E112/J92</f>
        <v>0</v>
      </c>
      <c r="K112" s="137" t="s">
        <v>151</v>
      </c>
      <c r="X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spans="2:41">
      <c r="B113" s="135" t="s">
        <v>154</v>
      </c>
      <c r="D113" s="136" t="s">
        <v>153</v>
      </c>
      <c r="E113" s="32">
        <v>30</v>
      </c>
      <c r="F113" s="137" t="s">
        <v>6</v>
      </c>
      <c r="I113" s="136"/>
      <c r="J113" s="175"/>
      <c r="K113" s="137"/>
      <c r="X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spans="2:41">
      <c r="B114" s="135"/>
      <c r="D114" s="136"/>
      <c r="E114" s="32"/>
      <c r="F114" s="137"/>
      <c r="I114" s="136"/>
      <c r="J114" s="138"/>
      <c r="K114" s="137"/>
      <c r="X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spans="2:41" ht="22" thickBot="1">
      <c r="D115" s="139"/>
      <c r="E115" s="140"/>
      <c r="F115" s="141"/>
      <c r="I115" s="139"/>
      <c r="J115" s="140"/>
      <c r="K115" s="141"/>
      <c r="X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spans="2:41" ht="22" thickTop="1">
      <c r="X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spans="2:41">
      <c r="X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2:41">
      <c r="X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2:41">
      <c r="X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</sheetData>
  <sheetProtection sheet="1" objects="1" scenarios="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Cover</vt:lpstr>
      <vt:lpstr>1 Pan - Best Case</vt:lpstr>
      <vt:lpstr>2 Pan - Worst Case</vt:lpstr>
      <vt:lpstr>2 Pan - Av Case - 44% Var</vt:lpstr>
      <vt:lpstr>1 Pan - 2021 Data</vt:lpstr>
      <vt:lpstr>2 Pan - 2021 Data</vt:lpstr>
      <vt:lpstr>2 Pan - 30% Unc - 2021 Dat</vt:lpstr>
      <vt:lpstr>2 Bat - 2 Pan - 30% Unc - 2021</vt:lpstr>
      <vt:lpstr>1 Pan - 2021 Data Low Power</vt:lpstr>
      <vt:lpstr>2011-2020 Germany Solar Harvest</vt:lpstr>
      <vt:lpstr>2021 Michaels Data</vt:lpstr>
      <vt:lpstr>2021 SFV Data Stuttgart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KS</dc:creator>
  <cp:keywords/>
  <dc:description/>
  <cp:lastModifiedBy>Microsoft Office User</cp:lastModifiedBy>
  <dcterms:created xsi:type="dcterms:W3CDTF">2021-02-18T10:18:52Z</dcterms:created>
  <dcterms:modified xsi:type="dcterms:W3CDTF">2022-05-16T12:22:54Z</dcterms:modified>
  <cp:category/>
</cp:coreProperties>
</file>