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2022 Video Projekte/11 hochgeladene Videos/EP31 Impedance Transformation/10 Material Sammlung/"/>
    </mc:Choice>
  </mc:AlternateContent>
  <xr:revisionPtr revIDLastSave="0" documentId="13_ncr:1_{2737218C-37BA-D740-B18C-D2B7A97473EA}" xr6:coauthVersionLast="47" xr6:coauthVersionMax="47" xr10:uidLastSave="{00000000-0000-0000-0000-000000000000}"/>
  <bookViews>
    <workbookView xWindow="0" yWindow="500" windowWidth="40960" windowHeight="20720" activeTab="2" xr2:uid="{7BC29DB7-F5C1-774A-8671-8BC63D78F511}"/>
  </bookViews>
  <sheets>
    <sheet name="Cover" sheetId="1" r:id="rId1"/>
    <sheet name="Impedance Transformation" sheetId="9" r:id="rId2"/>
    <sheet name="Waveguides" sheetId="4" r:id="rId3"/>
    <sheet name="Complex Impedance Transform." sheetId="10" r:id="rId4"/>
  </sheets>
  <definedNames>
    <definedName name="solver_adj" localSheetId="3" hidden="1">'Complex Impedance Transform.'!$H$12,'Complex Impedance Transform.'!$H$8</definedName>
    <definedName name="solver_cvg" localSheetId="3" hidden="1">0.00001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opt" localSheetId="3" hidden="1">'Complex Impedance Transform.'!$H$47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5" i="10" l="1"/>
  <c r="AP16" i="10"/>
  <c r="AO16" i="10" s="1"/>
  <c r="AN16" i="10" s="1"/>
  <c r="AM16" i="10" s="1"/>
  <c r="AL16" i="10" s="1"/>
  <c r="AK16" i="10" s="1"/>
  <c r="AJ16" i="10" s="1"/>
  <c r="AI16" i="10" s="1"/>
  <c r="AH16" i="10" s="1"/>
  <c r="AG16" i="10" s="1"/>
  <c r="AR16" i="10"/>
  <c r="AS16" i="10" s="1"/>
  <c r="AT16" i="10" s="1"/>
  <c r="AU16" i="10" s="1"/>
  <c r="AV16" i="10" s="1"/>
  <c r="AW16" i="10" s="1"/>
  <c r="AX16" i="10" s="1"/>
  <c r="AY16" i="10" s="1"/>
  <c r="AQ17" i="10"/>
  <c r="AQ25" i="10" s="1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H16" i="10"/>
  <c r="H26" i="10"/>
  <c r="AG21" i="10"/>
  <c r="AJ18" i="10"/>
  <c r="H27" i="9"/>
  <c r="H14" i="9"/>
  <c r="H13" i="9" s="1"/>
  <c r="M13" i="9" s="1"/>
  <c r="E20" i="4"/>
  <c r="H25" i="4"/>
  <c r="H12" i="4"/>
  <c r="AZ21" i="10" l="1"/>
  <c r="AJ21" i="10"/>
  <c r="AR21" i="10"/>
  <c r="AV21" i="10"/>
  <c r="AN21" i="10"/>
  <c r="AY21" i="10"/>
  <c r="AU21" i="10"/>
  <c r="AQ21" i="10"/>
  <c r="AM21" i="10"/>
  <c r="AI21" i="10"/>
  <c r="AX21" i="10"/>
  <c r="AT21" i="10"/>
  <c r="AP21" i="10"/>
  <c r="AL21" i="10"/>
  <c r="AH21" i="10"/>
  <c r="BA21" i="10"/>
  <c r="AW21" i="10"/>
  <c r="AS21" i="10"/>
  <c r="AO21" i="10"/>
  <c r="AK21" i="10"/>
  <c r="AK18" i="10"/>
  <c r="AU18" i="10"/>
  <c r="AQ18" i="10"/>
  <c r="AG18" i="10"/>
  <c r="BA18" i="10"/>
  <c r="AP18" i="10"/>
  <c r="AW18" i="10"/>
  <c r="AL18" i="10"/>
  <c r="AM22" i="10"/>
  <c r="AM36" i="10" s="1"/>
  <c r="AY22" i="10"/>
  <c r="AY36" i="10" s="1"/>
  <c r="AI22" i="10"/>
  <c r="AI36" i="10" s="1"/>
  <c r="AU22" i="10"/>
  <c r="AU36" i="10" s="1"/>
  <c r="AY18" i="10"/>
  <c r="AT18" i="10"/>
  <c r="AO18" i="10"/>
  <c r="AI18" i="10"/>
  <c r="AQ22" i="10"/>
  <c r="AQ36" i="10" s="1"/>
  <c r="AQ37" i="10" s="1"/>
  <c r="AQ10" i="10" s="1"/>
  <c r="AX18" i="10"/>
  <c r="AS18" i="10"/>
  <c r="AM18" i="10"/>
  <c r="AH18" i="10"/>
  <c r="AP22" i="10"/>
  <c r="AT22" i="10"/>
  <c r="AH22" i="10"/>
  <c r="AW22" i="10"/>
  <c r="AS22" i="10"/>
  <c r="AO22" i="10"/>
  <c r="AK22" i="10"/>
  <c r="AG22" i="10"/>
  <c r="AX22" i="10"/>
  <c r="AL22" i="10"/>
  <c r="BA22" i="10"/>
  <c r="AZ22" i="10"/>
  <c r="AV22" i="10"/>
  <c r="AR22" i="10"/>
  <c r="AN22" i="10"/>
  <c r="AJ22" i="10"/>
  <c r="AZ18" i="10"/>
  <c r="AV18" i="10"/>
  <c r="AR18" i="10"/>
  <c r="AN18" i="10"/>
  <c r="AY17" i="10"/>
  <c r="AY25" i="10" s="1"/>
  <c r="AZ16" i="10"/>
  <c r="BA16" i="10" s="1"/>
  <c r="BA17" i="10" s="1"/>
  <c r="BA25" i="10" s="1"/>
  <c r="AJ17" i="10"/>
  <c r="AJ25" i="10" s="1"/>
  <c r="AI17" i="10"/>
  <c r="AI25" i="10" s="1"/>
  <c r="AX17" i="10"/>
  <c r="AX25" i="10" s="1"/>
  <c r="AT17" i="10"/>
  <c r="AT25" i="10" s="1"/>
  <c r="AP17" i="10"/>
  <c r="AP25" i="10" s="1"/>
  <c r="AL17" i="10"/>
  <c r="AL25" i="10" s="1"/>
  <c r="AH17" i="10"/>
  <c r="AH25" i="10" s="1"/>
  <c r="AU17" i="10"/>
  <c r="AU25" i="10" s="1"/>
  <c r="AM17" i="10"/>
  <c r="AM25" i="10" s="1"/>
  <c r="AW17" i="10"/>
  <c r="AW25" i="10" s="1"/>
  <c r="AS17" i="10"/>
  <c r="AS25" i="10" s="1"/>
  <c r="AO17" i="10"/>
  <c r="AO25" i="10" s="1"/>
  <c r="AK17" i="10"/>
  <c r="AK25" i="10" s="1"/>
  <c r="AG17" i="10"/>
  <c r="AG25" i="10" s="1"/>
  <c r="AV17" i="10"/>
  <c r="AV25" i="10" s="1"/>
  <c r="AR17" i="10"/>
  <c r="AR25" i="10" s="1"/>
  <c r="AN17" i="10"/>
  <c r="AN25" i="10" s="1"/>
  <c r="H27" i="10"/>
  <c r="M17" i="10" s="1"/>
  <c r="H29" i="10" s="1"/>
  <c r="H20" i="10"/>
  <c r="H21" i="10" s="1"/>
  <c r="H16" i="9"/>
  <c r="H15" i="9"/>
  <c r="AZ38" i="10" l="1"/>
  <c r="AX38" i="10"/>
  <c r="AY38" i="10"/>
  <c r="BA38" i="10"/>
  <c r="AY29" i="10"/>
  <c r="AY30" i="10" s="1"/>
  <c r="AU38" i="10" s="1"/>
  <c r="AQ39" i="10"/>
  <c r="AM37" i="10"/>
  <c r="AM10" i="10" s="1"/>
  <c r="AM39" i="10" s="1"/>
  <c r="AQ29" i="10"/>
  <c r="AQ30" i="10" s="1"/>
  <c r="AQ9" i="10" s="1"/>
  <c r="AI29" i="10"/>
  <c r="AI30" i="10" s="1"/>
  <c r="AM29" i="10"/>
  <c r="AM30" i="10" s="1"/>
  <c r="AI37" i="10"/>
  <c r="AI10" i="10" s="1"/>
  <c r="AI39" i="10" s="1"/>
  <c r="AU29" i="10"/>
  <c r="AU30" i="10" s="1"/>
  <c r="AV29" i="10"/>
  <c r="AV30" i="10" s="1"/>
  <c r="AV36" i="10"/>
  <c r="AV37" i="10" s="1"/>
  <c r="AV10" i="10" s="1"/>
  <c r="AV39" i="10" s="1"/>
  <c r="AX36" i="10"/>
  <c r="AX37" i="10" s="1"/>
  <c r="AX10" i="10" s="1"/>
  <c r="AX39" i="10" s="1"/>
  <c r="AX29" i="10"/>
  <c r="AX30" i="10" s="1"/>
  <c r="AO36" i="10"/>
  <c r="AO29" i="10"/>
  <c r="AO30" i="10" s="1"/>
  <c r="AK38" i="10" s="1"/>
  <c r="AT29" i="10"/>
  <c r="AT30" i="10" s="1"/>
  <c r="AP38" i="10" s="1"/>
  <c r="AT36" i="10"/>
  <c r="AT37" i="10" s="1"/>
  <c r="AT10" i="10" s="1"/>
  <c r="AT39" i="10" s="1"/>
  <c r="AJ29" i="10"/>
  <c r="AJ30" i="10" s="1"/>
  <c r="AJ36" i="10"/>
  <c r="AJ37" i="10" s="1"/>
  <c r="AJ10" i="10" s="1"/>
  <c r="AZ29" i="10"/>
  <c r="AZ36" i="10"/>
  <c r="AS29" i="10"/>
  <c r="AS30" i="10" s="1"/>
  <c r="AS36" i="10"/>
  <c r="AS37" i="10" s="1"/>
  <c r="AP36" i="10"/>
  <c r="AP37" i="10" s="1"/>
  <c r="AP10" i="10" s="1"/>
  <c r="AP39" i="10" s="1"/>
  <c r="AP29" i="10"/>
  <c r="AP30" i="10" s="1"/>
  <c r="AN29" i="10"/>
  <c r="AN30" i="10" s="1"/>
  <c r="AN36" i="10"/>
  <c r="AN37" i="10" s="1"/>
  <c r="BA36" i="10"/>
  <c r="BA37" i="10" s="1"/>
  <c r="BA29" i="10"/>
  <c r="BA30" i="10" s="1"/>
  <c r="AG36" i="10"/>
  <c r="AG37" i="10" s="1"/>
  <c r="AG10" i="10" s="1"/>
  <c r="AG39" i="10" s="1"/>
  <c r="AG29" i="10"/>
  <c r="AG30" i="10" s="1"/>
  <c r="AW36" i="10"/>
  <c r="AW37" i="10" s="1"/>
  <c r="AW29" i="10"/>
  <c r="AW30" i="10" s="1"/>
  <c r="AO37" i="10"/>
  <c r="AO10" i="10" s="1"/>
  <c r="AO39" i="10" s="1"/>
  <c r="AR29" i="10"/>
  <c r="AR30" i="10" s="1"/>
  <c r="AR36" i="10"/>
  <c r="AR37" i="10" s="1"/>
  <c r="AL36" i="10"/>
  <c r="AL37" i="10" s="1"/>
  <c r="AL10" i="10" s="1"/>
  <c r="AL39" i="10" s="1"/>
  <c r="AL29" i="10"/>
  <c r="AL30" i="10" s="1"/>
  <c r="AH38" i="10" s="1"/>
  <c r="AK29" i="10"/>
  <c r="AK30" i="10" s="1"/>
  <c r="AK36" i="10"/>
  <c r="AK37" i="10" s="1"/>
  <c r="AK10" i="10" s="1"/>
  <c r="AK39" i="10" s="1"/>
  <c r="AH29" i="10"/>
  <c r="AH30" i="10" s="1"/>
  <c r="AH36" i="10"/>
  <c r="AH37" i="10" s="1"/>
  <c r="AH10" i="10" s="1"/>
  <c r="AH39" i="10" s="1"/>
  <c r="AZ17" i="10"/>
  <c r="AZ25" i="10" s="1"/>
  <c r="AY37" i="10"/>
  <c r="AU37" i="10"/>
  <c r="M16" i="10"/>
  <c r="H23" i="10" s="1"/>
  <c r="M19" i="10" s="1"/>
  <c r="H17" i="10"/>
  <c r="AJ39" i="10" l="1"/>
  <c r="AY26" i="10"/>
  <c r="AY9" i="10"/>
  <c r="AY32" i="10" s="1"/>
  <c r="AY12" i="10" s="1"/>
  <c r="AQ26" i="10"/>
  <c r="AI26" i="10"/>
  <c r="AM38" i="10"/>
  <c r="AI9" i="10"/>
  <c r="AI32" i="10" s="1"/>
  <c r="AI12" i="10" s="1"/>
  <c r="AI38" i="10"/>
  <c r="AM9" i="10"/>
  <c r="AM32" i="10" s="1"/>
  <c r="AM12" i="10" s="1"/>
  <c r="AQ38" i="10"/>
  <c r="AU9" i="10"/>
  <c r="AU32" i="10" s="1"/>
  <c r="AU12" i="10" s="1"/>
  <c r="AZ30" i="10"/>
  <c r="AV38" i="10" s="1"/>
  <c r="AY10" i="10"/>
  <c r="AS38" i="10"/>
  <c r="AW9" i="10"/>
  <c r="AW32" i="10" s="1"/>
  <c r="AW12" i="10" s="1"/>
  <c r="AW38" i="10"/>
  <c r="BA9" i="10"/>
  <c r="BA32" i="10" s="1"/>
  <c r="BA12" i="10" s="1"/>
  <c r="AG38" i="10"/>
  <c r="AK9" i="10"/>
  <c r="AK31" i="10" s="1"/>
  <c r="AK11" i="10" s="1"/>
  <c r="AN38" i="10"/>
  <c r="AR9" i="10"/>
  <c r="AR31" i="10" s="1"/>
  <c r="AR11" i="10" s="1"/>
  <c r="AO38" i="10"/>
  <c r="AS9" i="10"/>
  <c r="AS32" i="10" s="1"/>
  <c r="AS12" i="10" s="1"/>
  <c r="AJ26" i="10"/>
  <c r="AJ9" i="10"/>
  <c r="AJ32" i="10" s="1"/>
  <c r="AJ12" i="10" s="1"/>
  <c r="AL38" i="10"/>
  <c r="AP9" i="10"/>
  <c r="AP32" i="10" s="1"/>
  <c r="AP12" i="10" s="1"/>
  <c r="AR38" i="10"/>
  <c r="AV26" i="10"/>
  <c r="AV9" i="10"/>
  <c r="AV31" i="10" s="1"/>
  <c r="AV11" i="10" s="1"/>
  <c r="AJ38" i="10"/>
  <c r="AN9" i="10"/>
  <c r="AN31" i="10" s="1"/>
  <c r="AN11" i="10" s="1"/>
  <c r="AT38" i="10"/>
  <c r="AX9" i="10"/>
  <c r="AX32" i="10" s="1"/>
  <c r="AX12" i="10" s="1"/>
  <c r="AG26" i="10"/>
  <c r="AX26" i="10"/>
  <c r="AH26" i="10"/>
  <c r="AK26" i="10"/>
  <c r="AO9" i="10"/>
  <c r="AO31" i="10" s="1"/>
  <c r="AO11" i="10" s="1"/>
  <c r="AL26" i="10"/>
  <c r="AZ37" i="10"/>
  <c r="AZ10" i="10" s="1"/>
  <c r="AL9" i="10"/>
  <c r="AL32" i="10" s="1"/>
  <c r="AL12" i="10" s="1"/>
  <c r="AO26" i="10"/>
  <c r="AP26" i="10"/>
  <c r="AG9" i="10"/>
  <c r="AG32" i="10" s="1"/>
  <c r="AG12" i="10" s="1"/>
  <c r="AM26" i="10"/>
  <c r="AT9" i="10"/>
  <c r="AT31" i="10" s="1"/>
  <c r="AT11" i="10" s="1"/>
  <c r="AU26" i="10"/>
  <c r="AU10" i="10"/>
  <c r="AT26" i="10"/>
  <c r="AN10" i="10"/>
  <c r="AN26" i="10"/>
  <c r="AS10" i="10"/>
  <c r="AS26" i="10"/>
  <c r="BA10" i="10"/>
  <c r="BA26" i="10"/>
  <c r="AH9" i="10"/>
  <c r="AH32" i="10" s="1"/>
  <c r="AH12" i="10" s="1"/>
  <c r="AW10" i="10"/>
  <c r="AW26" i="10"/>
  <c r="AR10" i="10"/>
  <c r="AR26" i="10"/>
  <c r="AQ32" i="10"/>
  <c r="AQ12" i="10" s="1"/>
  <c r="AQ31" i="10"/>
  <c r="AQ11" i="10" s="1"/>
  <c r="H22" i="10"/>
  <c r="M18" i="10" s="1"/>
  <c r="H32" i="10" l="1"/>
  <c r="N12" i="10" s="1"/>
  <c r="H33" i="10"/>
  <c r="AQ43" i="10"/>
  <c r="BA39" i="10"/>
  <c r="AR39" i="10"/>
  <c r="AN39" i="10"/>
  <c r="AW39" i="10"/>
  <c r="AS39" i="10"/>
  <c r="AU39" i="10"/>
  <c r="AZ39" i="10"/>
  <c r="AY39" i="10"/>
  <c r="AY31" i="10"/>
  <c r="AY11" i="10" s="1"/>
  <c r="AY43" i="10" s="1"/>
  <c r="AI31" i="10"/>
  <c r="AI11" i="10" s="1"/>
  <c r="AI43" i="10" s="1"/>
  <c r="AT32" i="10"/>
  <c r="AT12" i="10" s="1"/>
  <c r="AT43" i="10" s="1"/>
  <c r="AU31" i="10"/>
  <c r="AU11" i="10" s="1"/>
  <c r="AU44" i="10" s="1"/>
  <c r="AG31" i="10"/>
  <c r="AG11" i="10" s="1"/>
  <c r="AG43" i="10" s="1"/>
  <c r="AM31" i="10"/>
  <c r="AM11" i="10" s="1"/>
  <c r="AM43" i="10" s="1"/>
  <c r="AN32" i="10"/>
  <c r="AN12" i="10" s="1"/>
  <c r="AN44" i="10" s="1"/>
  <c r="AV32" i="10"/>
  <c r="AV12" i="10" s="1"/>
  <c r="AJ31" i="10"/>
  <c r="AJ11" i="10" s="1"/>
  <c r="AX31" i="10"/>
  <c r="AX11" i="10" s="1"/>
  <c r="AX43" i="10" s="1"/>
  <c r="AW31" i="10"/>
  <c r="AW11" i="10" s="1"/>
  <c r="AW44" i="10" s="1"/>
  <c r="AO32" i="10"/>
  <c r="AO12" i="10" s="1"/>
  <c r="AO44" i="10" s="1"/>
  <c r="AK32" i="10"/>
  <c r="AK12" i="10" s="1"/>
  <c r="AK44" i="10" s="1"/>
  <c r="AZ9" i="10"/>
  <c r="AZ31" i="10" s="1"/>
  <c r="AZ11" i="10" s="1"/>
  <c r="AS31" i="10"/>
  <c r="AS11" i="10" s="1"/>
  <c r="AS44" i="10" s="1"/>
  <c r="AP31" i="10"/>
  <c r="AP11" i="10" s="1"/>
  <c r="AP43" i="10" s="1"/>
  <c r="AL31" i="10"/>
  <c r="AL11" i="10" s="1"/>
  <c r="AR32" i="10"/>
  <c r="AR12" i="10" s="1"/>
  <c r="AR43" i="10" s="1"/>
  <c r="BA31" i="10"/>
  <c r="BA11" i="10" s="1"/>
  <c r="BA43" i="10" s="1"/>
  <c r="AZ26" i="10"/>
  <c r="AH31" i="10"/>
  <c r="AH11" i="10" s="1"/>
  <c r="AQ44" i="10"/>
  <c r="AW43" i="10" l="1"/>
  <c r="AN43" i="10"/>
  <c r="AH44" i="10"/>
  <c r="AH43" i="10"/>
  <c r="AL44" i="10"/>
  <c r="AL43" i="10"/>
  <c r="AJ44" i="10"/>
  <c r="AJ43" i="10"/>
  <c r="AO43" i="10"/>
  <c r="AV44" i="10"/>
  <c r="AV43" i="10"/>
  <c r="AU43" i="10"/>
  <c r="AS43" i="10"/>
  <c r="AK43" i="10"/>
  <c r="H45" i="10"/>
  <c r="P12" i="10"/>
  <c r="AY44" i="10"/>
  <c r="AI44" i="10"/>
  <c r="AT44" i="10"/>
  <c r="AG44" i="10"/>
  <c r="AX44" i="10"/>
  <c r="AM44" i="10"/>
  <c r="AR44" i="10"/>
  <c r="AZ32" i="10"/>
  <c r="AZ12" i="10" s="1"/>
  <c r="AZ44" i="10" s="1"/>
  <c r="BA44" i="10"/>
  <c r="AP44" i="10"/>
  <c r="H44" i="10"/>
  <c r="H35" i="10"/>
  <c r="H47" i="10" l="1"/>
  <c r="AZ43" i="10"/>
</calcChain>
</file>

<file path=xl/sharedStrings.xml><?xml version="1.0" encoding="utf-8"?>
<sst xmlns="http://schemas.openxmlformats.org/spreadsheetml/2006/main" count="157" uniqueCount="86">
  <si>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</si>
  <si>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</si>
  <si>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</si>
  <si>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</si>
  <si>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</si>
  <si>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Version 16.10.2022</t>
  </si>
  <si>
    <t>Impedance Transformation</t>
  </si>
  <si>
    <t>Waveguide impedance</t>
  </si>
  <si>
    <t>Terminating impedance</t>
  </si>
  <si>
    <t>Waveguide length</t>
  </si>
  <si>
    <t>Frequency</t>
  </si>
  <si>
    <t>Wavelength</t>
  </si>
  <si>
    <t>Transformed impedance</t>
  </si>
  <si>
    <t xml:space="preserve">f = </t>
  </si>
  <si>
    <t>MHz</t>
  </si>
  <si>
    <t>m</t>
  </si>
  <si>
    <t>Ohm</t>
  </si>
  <si>
    <t xml:space="preserve">𝛌 = </t>
  </si>
  <si>
    <t xml:space="preserve">a = </t>
  </si>
  <si>
    <t xml:space="preserve">b = </t>
  </si>
  <si>
    <t>𝛌</t>
  </si>
  <si>
    <t>Relative waveguide length</t>
  </si>
  <si>
    <t xml:space="preserve">c = </t>
  </si>
  <si>
    <t xml:space="preserve">d = </t>
  </si>
  <si>
    <t>Feedpoint to Short</t>
  </si>
  <si>
    <t>Total waveguide length</t>
  </si>
  <si>
    <t xml:space="preserve">L = </t>
  </si>
  <si>
    <t>Relative wavelength</t>
  </si>
  <si>
    <t>Short impedance</t>
  </si>
  <si>
    <t>Wire distance</t>
  </si>
  <si>
    <t>Wire diameter</t>
  </si>
  <si>
    <t>mm</t>
  </si>
  <si>
    <t>Frequ var</t>
  </si>
  <si>
    <t>%</t>
  </si>
  <si>
    <t xml:space="preserve">Abs = </t>
  </si>
  <si>
    <t>Deviation</t>
  </si>
  <si>
    <t>to be: Re Z</t>
  </si>
  <si>
    <t>to be: Im Z</t>
  </si>
  <si>
    <t xml:space="preserve"> Re(Z) / Ohm</t>
  </si>
  <si>
    <t xml:space="preserve"> Im(Z) / Ohm</t>
  </si>
  <si>
    <t>Quarter Wavelength Transformer</t>
  </si>
  <si>
    <t>Complex Impedance Transformation</t>
  </si>
  <si>
    <t>Waveguide Impedance Transformation</t>
  </si>
  <si>
    <t xml:space="preserve">s = </t>
  </si>
  <si>
    <t xml:space="preserve">s/d = </t>
  </si>
  <si>
    <t>Relative effective permitivity</t>
  </si>
  <si>
    <t>(s/d min = 0,173)</t>
  </si>
  <si>
    <t>Parallel Wires Waveguide</t>
  </si>
  <si>
    <t>Two Bands Waveguide</t>
  </si>
  <si>
    <t>Waveguides: Parallel Wires, Planar Two Band</t>
  </si>
  <si>
    <t>Terminating Impedance</t>
  </si>
  <si>
    <t>𝛌/4  Waveguide Impedance Transformation</t>
  </si>
  <si>
    <t>input</t>
  </si>
  <si>
    <t>output</t>
  </si>
  <si>
    <t>towards antenna</t>
  </si>
  <si>
    <t>towards short</t>
  </si>
  <si>
    <t>Solver Application</t>
  </si>
  <si>
    <t>Cost function for solver</t>
  </si>
  <si>
    <t>Squared Deviation</t>
  </si>
  <si>
    <t>Transformed impedance Z</t>
  </si>
  <si>
    <t>ok</t>
  </si>
  <si>
    <t>Frequency deviation step for graphic</t>
  </si>
  <si>
    <t>These fields are dedicated to work with EXCEL Solver.</t>
  </si>
  <si>
    <r>
      <t>Z</t>
    </r>
    <r>
      <rPr>
        <b/>
        <i/>
        <vertAlign val="subscript"/>
        <sz val="18"/>
        <color theme="1"/>
        <rFont val="Times New Roman"/>
        <family val="1"/>
      </rPr>
      <t>L</t>
    </r>
    <r>
      <rPr>
        <b/>
        <i/>
        <sz val="18"/>
        <color theme="1"/>
        <rFont val="Times New Roman"/>
        <family val="1"/>
      </rPr>
      <t xml:space="preserve"> = 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</si>
  <si>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L</t>
    </r>
    <r>
      <rPr>
        <b/>
        <i/>
        <sz val="18"/>
        <color theme="1"/>
        <rFont val="Times New Roman"/>
        <family val="1"/>
      </rPr>
      <t xml:space="preserve">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</si>
  <si>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2</t>
    </r>
    <r>
      <rPr>
        <b/>
        <i/>
        <sz val="18"/>
        <color theme="1"/>
        <rFont val="Times New Roman"/>
        <family val="1"/>
      </rPr>
      <t xml:space="preserve">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</si>
  <si>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 xml:space="preserve"> = </t>
    </r>
  </si>
  <si>
    <r>
      <t>ℇ</t>
    </r>
    <r>
      <rPr>
        <b/>
        <i/>
        <vertAlign val="subscript"/>
        <sz val="18"/>
        <color theme="1"/>
        <rFont val="Times New Roman"/>
        <family val="1"/>
      </rPr>
      <t>r</t>
    </r>
    <r>
      <rPr>
        <b/>
        <i/>
        <sz val="18"/>
        <color theme="1"/>
        <rFont val="Times New Roman"/>
        <family val="1"/>
      </rPr>
      <t xml:space="preserve"> = </t>
    </r>
  </si>
  <si>
    <r>
      <t>L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= </t>
    </r>
  </si>
  <si>
    <r>
      <t>L</t>
    </r>
    <r>
      <rPr>
        <b/>
        <i/>
        <vertAlign val="subscript"/>
        <sz val="18"/>
        <color theme="1"/>
        <rFont val="Times New Roman"/>
        <family val="1"/>
      </rPr>
      <t>A</t>
    </r>
    <r>
      <rPr>
        <b/>
        <i/>
        <sz val="18"/>
        <color theme="1"/>
        <rFont val="Times New Roman"/>
        <family val="1"/>
      </rPr>
      <t xml:space="preserve"> = </t>
    </r>
  </si>
  <si>
    <t>+ j</t>
  </si>
  <si>
    <r>
      <t>Re (Z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>) = </t>
    </r>
  </si>
  <si>
    <r>
      <t>j Im (Z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>) = 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</si>
  <si>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2</t>
    </r>
    <r>
      <rPr>
        <b/>
        <i/>
        <sz val="18"/>
        <color theme="1"/>
        <rFont val="Times New Roman"/>
        <family val="1"/>
      </rPr>
      <t>)  = 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</si>
  <si>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1A</t>
    </r>
    <r>
      <rPr>
        <b/>
        <i/>
        <sz val="18"/>
        <color theme="1"/>
        <rFont val="Times New Roman"/>
        <family val="1"/>
      </rPr>
      <t xml:space="preserve">)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</si>
  <si>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A</t>
    </r>
    <r>
      <rPr>
        <b/>
        <i/>
        <sz val="18"/>
        <color theme="1"/>
        <rFont val="Times New Roman"/>
        <family val="1"/>
      </rPr>
      <t xml:space="preserve">  = </t>
    </r>
  </si>
  <si>
    <r>
      <t xml:space="preserve"> Z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 = </t>
    </r>
  </si>
  <si>
    <t>L = </t>
  </si>
  <si>
    <r>
      <t>L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= </t>
    </r>
  </si>
  <si>
    <t xml:space="preserve">f  = </t>
  </si>
  <si>
    <r>
      <t>j Im (Z</t>
    </r>
    <r>
      <rPr>
        <b/>
        <i/>
        <vertAlign val="subscript"/>
        <sz val="18"/>
        <color theme="1"/>
        <rFont val="Times New Roman"/>
        <family val="1"/>
      </rPr>
      <t>1A</t>
    </r>
    <r>
      <rPr>
        <b/>
        <i/>
        <sz val="18"/>
        <color theme="1"/>
        <rFont val="Times New Roman"/>
        <family val="1"/>
      </rPr>
      <t xml:space="preserve">) = 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</si>
  <si>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1S</t>
    </r>
    <r>
      <rPr>
        <b/>
        <i/>
        <sz val="18"/>
        <color theme="1"/>
        <rFont val="Times New Roman"/>
        <family val="1"/>
      </rPr>
      <t xml:space="preserve">) = </t>
    </r>
  </si>
  <si>
    <r>
      <t>j Im (Z</t>
    </r>
    <r>
      <rPr>
        <b/>
        <i/>
        <vertAlign val="subscript"/>
        <sz val="18"/>
        <color theme="1"/>
        <rFont val="Times New Roman"/>
        <family val="1"/>
      </rPr>
      <t>1S</t>
    </r>
    <r>
      <rPr>
        <b/>
        <i/>
        <sz val="18"/>
        <color theme="1"/>
        <rFont val="Times New Roman"/>
        <family val="1"/>
      </rPr>
      <t xml:space="preserve">) = </t>
    </r>
  </si>
  <si>
    <t xml:space="preserve">Re (Z) = </t>
  </si>
  <si>
    <t xml:space="preserve">j Im (Z) = </t>
  </si>
  <si>
    <t>Use CRG method, set goal to minimize the cost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</si>
</sst>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"/>
    <numFmt numFmtId="167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2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8"/>
      <color theme="1"/>
      <name val="Times New Roman"/>
      <family val="1"/>
    </font>
    <font>
      <i/>
      <sz val="18"/>
      <color theme="1"/>
      <name val="Times New Roman"/>
      <family val="1"/>
    </font>
    <font>
      <b/>
      <sz val="18"/>
      <color theme="0"/>
      <name val="Times New Roman"/>
      <family val="1"/>
    </font>
    <font>
      <b/>
      <sz val="18"/>
      <color rgb="FF0070C0"/>
      <name val="Times New Roman"/>
      <family val="1"/>
    </font>
    <font>
      <b/>
      <sz val="18"/>
      <color theme="5" tint="-0.249977111117893"/>
      <name val="Times New Roman"/>
      <family val="1"/>
    </font>
    <font>
      <b/>
      <i/>
      <vertAlign val="subscript"/>
      <sz val="18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4"/>
      <color theme="5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10" fillId="2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2" fillId="5" borderId="0" xfId="0" applyFont="1" applyFill="1" applyProtection="1">
      <protection hidden="1"/>
    </xf>
    <xf numFmtId="0" fontId="3" fillId="5" borderId="0" xfId="0" applyFont="1" applyFill="1" applyProtection="1">
      <protection hidden="1"/>
    </xf>
    <xf numFmtId="0" fontId="4" fillId="5" borderId="0" xfId="0" applyFont="1" applyFill="1"/>
    <xf numFmtId="0" fontId="5" fillId="5" borderId="0" xfId="0" applyFont="1" applyFill="1" applyProtection="1">
      <protection hidden="1"/>
    </xf>
    <xf numFmtId="0" fontId="6" fillId="5" borderId="0" xfId="0" applyFont="1" applyFill="1"/>
    <xf numFmtId="0" fontId="7" fillId="5" borderId="0" xfId="0" applyFont="1" applyFill="1" applyAlignment="1">
      <alignment horizontal="left"/>
    </xf>
    <xf numFmtId="14" fontId="1" fillId="5" borderId="0" xfId="0" applyNumberFormat="1" applyFont="1" applyFill="1" applyAlignment="1">
      <alignment horizontal="left"/>
    </xf>
    <xf numFmtId="0" fontId="8" fillId="5" borderId="0" xfId="0" applyFont="1" applyFill="1" applyProtection="1">
      <protection hidden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0" fillId="2" borderId="0" xfId="0" applyFont="1" applyFill="1" applyAlignment="1">
      <alignment horizontal="right" vertical="center"/>
    </xf>
    <xf numFmtId="0" fontId="10" fillId="4" borderId="1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49" fontId="10" fillId="4" borderId="2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49" fontId="9" fillId="2" borderId="0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4" borderId="0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49" fontId="10" fillId="4" borderId="0" xfId="0" applyNumberFormat="1" applyFont="1" applyFill="1" applyBorder="1" applyAlignment="1">
      <alignment horizontal="right" vertical="center"/>
    </xf>
    <xf numFmtId="0" fontId="10" fillId="4" borderId="5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49" fontId="10" fillId="5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49" fontId="10" fillId="4" borderId="7" xfId="0" applyNumberFormat="1" applyFont="1" applyFill="1" applyBorder="1" applyAlignment="1">
      <alignment horizontal="right" vertical="center"/>
    </xf>
    <xf numFmtId="0" fontId="10" fillId="4" borderId="8" xfId="0" applyFont="1" applyFill="1" applyBorder="1" applyAlignment="1">
      <alignment vertical="center"/>
    </xf>
    <xf numFmtId="2" fontId="10" fillId="2" borderId="0" xfId="0" applyNumberFormat="1" applyFont="1" applyFill="1" applyAlignment="1">
      <alignment vertical="center"/>
    </xf>
    <xf numFmtId="0" fontId="12" fillId="4" borderId="0" xfId="0" applyFont="1" applyFill="1" applyBorder="1" applyAlignment="1">
      <alignment vertical="center"/>
    </xf>
    <xf numFmtId="49" fontId="12" fillId="4" borderId="0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49" fontId="13" fillId="4" borderId="0" xfId="0" applyNumberFormat="1" applyFont="1" applyFill="1" applyBorder="1" applyAlignment="1">
      <alignment horizontal="right" vertical="center"/>
    </xf>
    <xf numFmtId="0" fontId="13" fillId="4" borderId="5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2" fontId="10" fillId="4" borderId="2" xfId="0" applyNumberFormat="1" applyFont="1" applyFill="1" applyBorder="1" applyAlignment="1">
      <alignment vertical="center"/>
    </xf>
    <xf numFmtId="0" fontId="10" fillId="4" borderId="2" xfId="0" applyFon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right" vertical="center"/>
    </xf>
    <xf numFmtId="2" fontId="10" fillId="4" borderId="0" xfId="0" applyNumberFormat="1" applyFont="1" applyFill="1" applyBorder="1" applyAlignment="1">
      <alignment vertical="center"/>
    </xf>
    <xf numFmtId="0" fontId="10" fillId="4" borderId="0" xfId="0" applyFont="1" applyFill="1" applyBorder="1" applyAlignment="1">
      <alignment horizontal="right" vertical="center"/>
    </xf>
    <xf numFmtId="2" fontId="10" fillId="5" borderId="0" xfId="0" applyNumberFormat="1" applyFont="1" applyFill="1" applyBorder="1" applyAlignment="1">
      <alignment vertical="center"/>
    </xf>
    <xf numFmtId="0" fontId="10" fillId="3" borderId="0" xfId="0" applyFont="1" applyFill="1" applyBorder="1" applyAlignment="1">
      <alignment horizontal="right" vertical="center"/>
    </xf>
    <xf numFmtId="167" fontId="10" fillId="5" borderId="0" xfId="0" applyNumberFormat="1" applyFont="1" applyFill="1" applyBorder="1" applyAlignment="1">
      <alignment vertical="center"/>
    </xf>
    <xf numFmtId="0" fontId="10" fillId="5" borderId="0" xfId="0" applyFont="1" applyFill="1" applyBorder="1" applyAlignment="1">
      <alignment horizontal="right" vertical="center"/>
    </xf>
    <xf numFmtId="2" fontId="10" fillId="4" borderId="7" xfId="0" applyNumberFormat="1" applyFont="1" applyFill="1" applyBorder="1" applyAlignment="1">
      <alignment vertical="center"/>
    </xf>
    <xf numFmtId="0" fontId="10" fillId="4" borderId="7" xfId="0" applyFont="1" applyFill="1" applyBorder="1" applyAlignment="1">
      <alignment horizontal="right" vertical="center"/>
    </xf>
    <xf numFmtId="166" fontId="10" fillId="5" borderId="0" xfId="0" applyNumberFormat="1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2" fontId="15" fillId="5" borderId="0" xfId="0" applyNumberFormat="1" applyFont="1" applyFill="1" applyBorder="1" applyAlignment="1">
      <alignment vertical="center"/>
    </xf>
    <xf numFmtId="2" fontId="16" fillId="5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 applyProtection="1">
      <alignment vertical="center"/>
      <protection locked="0"/>
    </xf>
    <xf numFmtId="166" fontId="10" fillId="2" borderId="0" xfId="0" applyNumberFormat="1" applyFont="1" applyFill="1" applyBorder="1" applyAlignment="1" applyProtection="1">
      <alignment vertical="center"/>
      <protection locked="0"/>
    </xf>
    <xf numFmtId="164" fontId="10" fillId="2" borderId="0" xfId="0" applyNumberFormat="1" applyFont="1" applyFill="1" applyBorder="1" applyAlignment="1" applyProtection="1">
      <alignment vertical="center"/>
      <protection locked="0"/>
    </xf>
    <xf numFmtId="165" fontId="10" fillId="2" borderId="0" xfId="0" applyNumberFormat="1" applyFont="1" applyFill="1" applyBorder="1" applyAlignment="1" applyProtection="1">
      <alignment vertical="center"/>
      <protection locked="0"/>
    </xf>
    <xf numFmtId="167" fontId="10" fillId="2" borderId="0" xfId="0" applyNumberFormat="1" applyFont="1" applyFill="1" applyBorder="1" applyAlignment="1" applyProtection="1">
      <alignment vertical="center"/>
      <protection locked="0"/>
    </xf>
    <xf numFmtId="2" fontId="10" fillId="2" borderId="0" xfId="0" applyNumberFormat="1" applyFont="1" applyFill="1" applyBorder="1" applyAlignment="1" applyProtection="1">
      <alignment vertical="center"/>
      <protection locked="0"/>
    </xf>
    <xf numFmtId="49" fontId="12" fillId="5" borderId="0" xfId="0" applyNumberFormat="1" applyFont="1" applyFill="1" applyBorder="1" applyAlignment="1">
      <alignment horizontal="right" vertical="center"/>
    </xf>
    <xf numFmtId="49" fontId="18" fillId="2" borderId="0" xfId="0" applyNumberFormat="1" applyFont="1" applyFill="1" applyBorder="1" applyAlignment="1">
      <alignment horizontal="right" vertical="center"/>
    </xf>
    <xf numFmtId="0" fontId="12" fillId="4" borderId="2" xfId="0" applyFont="1" applyFill="1" applyBorder="1" applyAlignment="1">
      <alignment vertical="center"/>
    </xf>
    <xf numFmtId="0" fontId="18" fillId="2" borderId="0" xfId="0" applyFont="1" applyFill="1" applyBorder="1" applyAlignment="1">
      <alignment horizontal="right" vertical="center"/>
    </xf>
    <xf numFmtId="0" fontId="12" fillId="5" borderId="0" xfId="0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49" fontId="12" fillId="2" borderId="0" xfId="0" applyNumberFormat="1" applyFont="1" applyFill="1" applyAlignment="1">
      <alignment horizontal="right" vertical="center"/>
    </xf>
    <xf numFmtId="49" fontId="12" fillId="4" borderId="2" xfId="0" applyNumberFormat="1" applyFont="1" applyFill="1" applyBorder="1" applyAlignment="1">
      <alignment horizontal="right" vertical="center"/>
    </xf>
    <xf numFmtId="49" fontId="12" fillId="5" borderId="0" xfId="0" quotePrefix="1" applyNumberFormat="1" applyFont="1" applyFill="1" applyBorder="1" applyAlignment="1">
      <alignment horizontal="right" vertical="center"/>
    </xf>
    <xf numFmtId="49" fontId="12" fillId="4" borderId="7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2" fontId="19" fillId="5" borderId="0" xfId="0" applyNumberFormat="1" applyFont="1" applyFill="1" applyBorder="1" applyAlignment="1">
      <alignment vertical="center"/>
    </xf>
    <xf numFmtId="0" fontId="20" fillId="5" borderId="0" xfId="0" quotePrefix="1" applyFont="1" applyFill="1" applyBorder="1" applyAlignment="1">
      <alignment horizontal="right" vertical="center"/>
    </xf>
    <xf numFmtId="2" fontId="20" fillId="5" borderId="0" xfId="0" applyNumberFormat="1" applyFont="1" applyFill="1" applyBorder="1" applyAlignment="1">
      <alignment vertical="center"/>
    </xf>
    <xf numFmtId="11" fontId="11" fillId="5" borderId="0" xfId="0" applyNumberFormat="1" applyFont="1" applyFill="1" applyBorder="1" applyAlignment="1">
      <alignment vertical="center"/>
    </xf>
    <xf numFmtId="11" fontId="11" fillId="2" borderId="0" xfId="0" applyNumberFormat="1" applyFont="1" applyFill="1" applyBorder="1" applyAlignment="1" applyProtection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502723941552"/>
          <c:y val="0.7673352570642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Impedance Transform.'!$AF$43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'Complex Impedance Transform.'!$AG$16:$BA$16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'Complex Impedance Transform.'!$AG$43:$BA$43</c:f>
              <c:numCache>
                <c:formatCode>General</c:formatCode>
                <c:ptCount val="21"/>
                <c:pt idx="0">
                  <c:v>4.3016970261247023</c:v>
                </c:pt>
                <c:pt idx="1">
                  <c:v>5.4826307484759811</c:v>
                </c:pt>
                <c:pt idx="2">
                  <c:v>7.0604464663076394</c:v>
                </c:pt>
                <c:pt idx="3">
                  <c:v>9.1945377342158974</c:v>
                </c:pt>
                <c:pt idx="4">
                  <c:v>12.108267635127362</c:v>
                </c:pt>
                <c:pt idx="5">
                  <c:v>16.096467211649795</c:v>
                </c:pt>
                <c:pt idx="6">
                  <c:v>21.490078604535704</c:v>
                </c:pt>
                <c:pt idx="7">
                  <c:v>28.492634298748651</c:v>
                </c:pt>
                <c:pt idx="8">
                  <c:v>36.759728342346655</c:v>
                </c:pt>
                <c:pt idx="9">
                  <c:v>44.793535823201921</c:v>
                </c:pt>
                <c:pt idx="10">
                  <c:v>49.999779458140218</c:v>
                </c:pt>
                <c:pt idx="11">
                  <c:v>50.432064658371317</c:v>
                </c:pt>
                <c:pt idx="12">
                  <c:v>46.602164122101499</c:v>
                </c:pt>
                <c:pt idx="13">
                  <c:v>40.685738157976786</c:v>
                </c:pt>
                <c:pt idx="14">
                  <c:v>34.58326382627245</c:v>
                </c:pt>
                <c:pt idx="15">
                  <c:v>29.217103171872541</c:v>
                </c:pt>
                <c:pt idx="16">
                  <c:v>24.816764605183675</c:v>
                </c:pt>
                <c:pt idx="17">
                  <c:v>21.308147939128336</c:v>
                </c:pt>
                <c:pt idx="18">
                  <c:v>18.531833597338036</c:v>
                </c:pt>
                <c:pt idx="19">
                  <c:v>16.330215408043227</c:v>
                </c:pt>
                <c:pt idx="20">
                  <c:v>14.572833483598547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A34C-9B55-192B27C52D2A}"/>
            </c:ext>
          </c:extLst>
        </c:ser>
        <c:ser>
          <c:idx val="1"/>
          <c:order val="1"/>
          <c:tx>
            <c:strRef>
              <c:f>'Complex Impedance Transform.'!$AF$44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'Complex Impedance Transform.'!$AG$16:$BA$16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'Complex Impedance Transform.'!$AG$44:$BA$44</c:f>
              <c:numCache>
                <c:formatCode>General</c:formatCode>
                <c:ptCount val="21"/>
                <c:pt idx="0">
                  <c:v>-0.97381366349686893</c:v>
                </c:pt>
                <c:pt idx="1">
                  <c:v>-1.8573779718166963</c:v>
                </c:pt>
                <c:pt idx="2">
                  <c:v>-2.8991969162461126</c:v>
                </c:pt>
                <c:pt idx="3">
                  <c:v>-4.1096446768112216</c:v>
                </c:pt>
                <c:pt idx="4">
                  <c:v>-5.4731531956604158</c:v>
                </c:pt>
                <c:pt idx="5">
                  <c:v>-6.9116082680561801</c:v>
                </c:pt>
                <c:pt idx="6">
                  <c:v>-8.2137528372041846</c:v>
                </c:pt>
                <c:pt idx="7">
                  <c:v>-8.9260437418980505</c:v>
                </c:pt>
                <c:pt idx="8">
                  <c:v>-8.2742285702998135</c:v>
                </c:pt>
                <c:pt idx="9">
                  <c:v>-5.3731204807745883</c:v>
                </c:pt>
                <c:pt idx="10">
                  <c:v>-4.636531283307642E-5</c:v>
                </c:pt>
                <c:pt idx="11">
                  <c:v>6.6954938135153084</c:v>
                </c:pt>
                <c:pt idx="12">
                  <c:v>12.882662804295864</c:v>
                </c:pt>
                <c:pt idx="13">
                  <c:v>17.463051439622348</c:v>
                </c:pt>
                <c:pt idx="14">
                  <c:v>20.382138270899727</c:v>
                </c:pt>
                <c:pt idx="15">
                  <c:v>22.065065950893917</c:v>
                </c:pt>
                <c:pt idx="16">
                  <c:v>22.959312727452861</c:v>
                </c:pt>
                <c:pt idx="17">
                  <c:v>23.388897385421853</c:v>
                </c:pt>
                <c:pt idx="18">
                  <c:v>23.558076760497062</c:v>
                </c:pt>
                <c:pt idx="19">
                  <c:v>23.588236940189518</c:v>
                </c:pt>
                <c:pt idx="20">
                  <c:v>23.549673360718991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A34C-9B55-192B27C5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emf"/><Relationship Id="rId1" Type="http://schemas.openxmlformats.org/officeDocument/2006/relationships/image" Target="../media/image7.png"/><Relationship Id="rId6" Type="http://schemas.openxmlformats.org/officeDocument/2006/relationships/image" Target="../media/image1.png"/><Relationship Id="rId5" Type="http://schemas.openxmlformats.org/officeDocument/2006/relationships/hyperlink" Target="https://www.youtube.com/channel/UClPnzFiUQ_J0KyaXQarIFhQ/featured" TargetMode="External"/><Relationship Id="rId4" Type="http://schemas.openxmlformats.org/officeDocument/2006/relationships/image" Target="../media/image10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1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18143</xdr:colOff>
      <xdr:row>9</xdr:row>
      <xdr:rowOff>189024</xdr:rowOff>
    </xdr:from>
    <xdr:to>
      <xdr:col>5</xdr:col>
      <xdr:colOff>308428</xdr:colOff>
      <xdr:row>21</xdr:row>
      <xdr:rowOff>112484</xdr:rowOff>
    </xdr:to>
    <xdr:pic>
      <xdr:nvPicPr>
        <xdr:cNvPr id="4" name="Grafik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C69E48-04EB-C1C6-C501-D259CF576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1214" y="2112167"/>
          <a:ext cx="2367643" cy="2318317"/>
        </a:xfrm>
        <a:prstGeom prst="rect">
          <a:avLst/>
        </a:prstGeom>
      </xdr:spPr>
    </xdr:pic>
    <xdr:clientData/>
  </xdr:twoCellAnchor>
  <xdr:twoCellAnchor editAs="oneCell">
    <xdr:from>
      <xdr:col>5</xdr:col>
      <xdr:colOff>2074334</xdr:colOff>
      <xdr:row>2</xdr:row>
      <xdr:rowOff>194733</xdr:rowOff>
    </xdr:from>
    <xdr:to>
      <xdr:col>12</xdr:col>
      <xdr:colOff>169334</xdr:colOff>
      <xdr:row>24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2B58188-4C91-9031-5134-2C3C356C4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28067" y="635000"/>
          <a:ext cx="5003800" cy="4546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54429</xdr:rowOff>
    </xdr:to>
    <xdr:pic>
      <xdr:nvPicPr>
        <xdr:cNvPr id="6" name="Grafik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99B46-77F0-E04D-9B6B-6AEAAA6D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07872" y="0"/>
          <a:ext cx="2596520" cy="2476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45357</xdr:colOff>
      <xdr:row>5</xdr:row>
      <xdr:rowOff>33891</xdr:rowOff>
    </xdr:from>
    <xdr:to>
      <xdr:col>16</xdr:col>
      <xdr:colOff>517072</xdr:colOff>
      <xdr:row>8</xdr:row>
      <xdr:rowOff>130628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F66AE037-23E8-1690-127F-CF42DE17A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58214" y="1449034"/>
          <a:ext cx="4445000" cy="1076451"/>
        </a:xfrm>
        <a:prstGeom prst="rect">
          <a:avLst/>
        </a:prstGeom>
      </xdr:spPr>
    </xdr:pic>
    <xdr:clientData/>
  </xdr:twoCellAnchor>
  <xdr:twoCellAnchor editAs="oneCell">
    <xdr:from>
      <xdr:col>18</xdr:col>
      <xdr:colOff>81643</xdr:colOff>
      <xdr:row>5</xdr:row>
      <xdr:rowOff>18143</xdr:rowOff>
    </xdr:from>
    <xdr:to>
      <xdr:col>22</xdr:col>
      <xdr:colOff>348343</xdr:colOff>
      <xdr:row>8</xdr:row>
      <xdr:rowOff>117929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2F6259FB-DB0D-D20F-C5BF-12D27F3E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64786" y="1433286"/>
          <a:ext cx="3060700" cy="1079500"/>
        </a:xfrm>
        <a:prstGeom prst="rect">
          <a:avLst/>
        </a:prstGeom>
      </xdr:spPr>
    </xdr:pic>
    <xdr:clientData/>
  </xdr:twoCellAnchor>
  <xdr:twoCellAnchor editAs="oneCell">
    <xdr:from>
      <xdr:col>17</xdr:col>
      <xdr:colOff>480786</xdr:colOff>
      <xdr:row>20</xdr:row>
      <xdr:rowOff>272143</xdr:rowOff>
    </xdr:from>
    <xdr:to>
      <xdr:col>22</xdr:col>
      <xdr:colOff>582386</xdr:colOff>
      <xdr:row>24</xdr:row>
      <xdr:rowOff>94343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8465D4C9-366B-ECEF-4258-35F05116A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74500" y="6105072"/>
          <a:ext cx="3594100" cy="1092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163287</xdr:colOff>
      <xdr:row>21</xdr:row>
      <xdr:rowOff>27215</xdr:rowOff>
    </xdr:from>
    <xdr:to>
      <xdr:col>16</xdr:col>
      <xdr:colOff>635002</xdr:colOff>
      <xdr:row>24</xdr:row>
      <xdr:rowOff>123951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3175098-7CB9-3B45-AF15-2D402A2E9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5216" y="6150429"/>
          <a:ext cx="4445000" cy="1076451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317500</xdr:colOff>
      <xdr:row>11</xdr:row>
      <xdr:rowOff>154215</xdr:rowOff>
    </xdr:from>
    <xdr:to>
      <xdr:col>20</xdr:col>
      <xdr:colOff>639243</xdr:colOff>
      <xdr:row>13</xdr:row>
      <xdr:rowOff>163285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FB3D736C-6CFD-1066-CE6F-765A5F716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09714" y="3419929"/>
          <a:ext cx="1718743" cy="589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468923</xdr:colOff>
      <xdr:row>6</xdr:row>
      <xdr:rowOff>39076</xdr:rowOff>
    </xdr:from>
    <xdr:to>
      <xdr:col>14</xdr:col>
      <xdr:colOff>677984</xdr:colOff>
      <xdr:row>11</xdr:row>
      <xdr:rowOff>137745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BA57075E-6DB4-6BB5-0AF5-54B7B0C1A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3538" y="1758461"/>
          <a:ext cx="3022600" cy="16129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90714</xdr:colOff>
      <xdr:row>7</xdr:row>
      <xdr:rowOff>165699</xdr:rowOff>
    </xdr:from>
    <xdr:to>
      <xdr:col>21</xdr:col>
      <xdr:colOff>453571</xdr:colOff>
      <xdr:row>10</xdr:row>
      <xdr:rowOff>141067</xdr:rowOff>
    </xdr:to>
    <xdr:pic>
      <xdr:nvPicPr>
        <xdr:cNvPr id="23" name="Picture 3" descr="equation_1.pdf">
          <a:extLst>
            <a:ext uri="{FF2B5EF4-FFF2-40B4-BE49-F238E27FC236}">
              <a16:creationId xmlns:a16="http://schemas.microsoft.com/office/drawing/2014/main" id="{CD6E5FB4-D5C1-C54C-6EB9-D11951AED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804071" y="2161413"/>
          <a:ext cx="3855357" cy="900654"/>
        </a:xfrm>
        <a:prstGeom prst="rect">
          <a:avLst/>
        </a:prstGeom>
        <a:noFill/>
        <a:effectLst>
          <a:outerShdw blurRad="50800" dist="101600" dir="18900000" algn="bl" rotWithShape="0">
            <a:prstClr val="black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283308</xdr:colOff>
      <xdr:row>18</xdr:row>
      <xdr:rowOff>29308</xdr:rowOff>
    </xdr:from>
    <xdr:to>
      <xdr:col>17</xdr:col>
      <xdr:colOff>169985</xdr:colOff>
      <xdr:row>24</xdr:row>
      <xdr:rowOff>139700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16BCFD9F-51E2-5EE2-7040-DC067BB0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37923" y="5715000"/>
          <a:ext cx="4800600" cy="19177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226787</xdr:colOff>
      <xdr:row>19</xdr:row>
      <xdr:rowOff>62365</xdr:rowOff>
    </xdr:from>
    <xdr:to>
      <xdr:col>25</xdr:col>
      <xdr:colOff>163287</xdr:colOff>
      <xdr:row>22</xdr:row>
      <xdr:rowOff>117928</xdr:rowOff>
    </xdr:to>
    <xdr:pic>
      <xdr:nvPicPr>
        <xdr:cNvPr id="26" name="Picture 2" descr="equation.pdf">
          <a:extLst>
            <a:ext uri="{FF2B5EF4-FFF2-40B4-BE49-F238E27FC236}">
              <a16:creationId xmlns:a16="http://schemas.microsoft.com/office/drawing/2014/main" id="{0E064A2E-0283-B218-4570-3E03F231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40144" y="5713865"/>
          <a:ext cx="6223000" cy="980849"/>
        </a:xfrm>
        <a:prstGeom prst="rect">
          <a:avLst/>
        </a:prstGeom>
        <a:noFill/>
        <a:effectLst>
          <a:outerShdw blurRad="50800" dist="101600" dir="18900000" algn="bl" rotWithShape="0">
            <a:prstClr val="black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421192</xdr:colOff>
      <xdr:row>8</xdr:row>
      <xdr:rowOff>108858</xdr:rowOff>
    </xdr:to>
    <xdr:pic>
      <xdr:nvPicPr>
        <xdr:cNvPr id="27" name="Grafik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789B14-E84A-F348-B438-8A5B9A96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02429" y="0"/>
          <a:ext cx="2598334" cy="2467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4</xdr:row>
      <xdr:rowOff>176590</xdr:rowOff>
    </xdr:from>
    <xdr:to>
      <xdr:col>25</xdr:col>
      <xdr:colOff>297542</xdr:colOff>
      <xdr:row>12</xdr:row>
      <xdr:rowOff>105153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D5C7919-D67E-115E-8330-6FD3E5FC4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108858</xdr:rowOff>
    </xdr:to>
    <xdr:pic>
      <xdr:nvPicPr>
        <xdr:cNvPr id="2" name="Grafik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59AA32-D992-4C42-95AD-7ADB5A27A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95172" y="0"/>
          <a:ext cx="2596519" cy="2472872"/>
        </a:xfrm>
        <a:prstGeom prst="rect">
          <a:avLst/>
        </a:prstGeom>
      </xdr:spPr>
    </xdr:pic>
    <xdr:clientData/>
  </xdr:twoCellAnchor>
  <xdr:twoCellAnchor editAs="oneCell">
    <xdr:from>
      <xdr:col>9</xdr:col>
      <xdr:colOff>352780</xdr:colOff>
      <xdr:row>3</xdr:row>
      <xdr:rowOff>206937</xdr:rowOff>
    </xdr:from>
    <xdr:to>
      <xdr:col>17</xdr:col>
      <xdr:colOff>827517</xdr:colOff>
      <xdr:row>11</xdr:row>
      <xdr:rowOff>107784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BA5CCE1-F013-5271-1E2F-8662A726F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75137" y="1059651"/>
          <a:ext cx="5083023" cy="2386419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14</xdr:row>
      <xdr:rowOff>235857</xdr:rowOff>
    </xdr:from>
    <xdr:to>
      <xdr:col>21</xdr:col>
      <xdr:colOff>186873</xdr:colOff>
      <xdr:row>18</xdr:row>
      <xdr:rowOff>154214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30A0F8A9-1CA4-B8B5-E9F0-865D481F7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7287" y="4499428"/>
          <a:ext cx="5067300" cy="1079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18</xdr:row>
      <xdr:rowOff>235858</xdr:rowOff>
    </xdr:from>
    <xdr:to>
      <xdr:col>18</xdr:col>
      <xdr:colOff>593272</xdr:colOff>
      <xdr:row>21</xdr:row>
      <xdr:rowOff>47172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32FDF7C-9867-01EC-2F7C-704ACFB65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4286" y="5424715"/>
          <a:ext cx="3251200" cy="736600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19</xdr:row>
      <xdr:rowOff>217714</xdr:rowOff>
    </xdr:from>
    <xdr:to>
      <xdr:col>25</xdr:col>
      <xdr:colOff>405301</xdr:colOff>
      <xdr:row>23</xdr:row>
      <xdr:rowOff>253999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B2685F9-87C8-DEAC-D567-A1CD55C5D6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45179" y="5696857"/>
          <a:ext cx="4269051" cy="1360714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22</xdr:row>
      <xdr:rowOff>208643</xdr:rowOff>
    </xdr:from>
    <xdr:to>
      <xdr:col>25</xdr:col>
      <xdr:colOff>381000</xdr:colOff>
      <xdr:row>35</xdr:row>
      <xdr:rowOff>268133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A07C59BA-2CE6-D5C1-4A7F-D9E7A793A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0115" y="6558643"/>
          <a:ext cx="10102599" cy="4050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C8F2-C30C-5A4A-8EC4-D52F58782D34}">
  <dimension ref="B1:L40"/>
  <sheetViews>
    <sheetView zoomScale="140" zoomScaleNormal="140" workbookViewId="0">
      <pane xSplit="25" topLeftCell="Z1" activePane="topRight" state="frozen"/>
      <selection pane="topRight" activeCell="R12" sqref="R12"/>
    </sheetView>
  </sheetViews>
  <sheetFormatPr baseColWidth="10" defaultRowHeight="16" x14ac:dyDescent="0.2"/>
  <cols>
    <col min="1" max="1" width="3.5" style="1" customWidth="1"/>
    <col min="2" max="2" width="4.1640625" style="1" customWidth="1"/>
    <col min="3" max="3" width="12.5" style="1" customWidth="1"/>
    <col min="4" max="4" width="5.6640625" style="1" customWidth="1"/>
    <col min="5" max="5" width="4.83203125" style="1" customWidth="1"/>
    <col min="6" max="6" width="31.83203125" style="1" customWidth="1"/>
    <col min="7" max="11" width="10.83203125" style="1"/>
    <col min="12" max="12" width="4.33203125" style="1" customWidth="1"/>
    <col min="13" max="16384" width="10.83203125" style="1"/>
  </cols>
  <sheetData>
    <row r="1" spans="2:12" ht="17" thickBot="1" x14ac:dyDescent="0.25"/>
    <row r="2" spans="2:12" ht="17" thickTop="1" x14ac:dyDescent="0.2">
      <c r="B2" s="6"/>
      <c r="C2" s="7"/>
      <c r="D2" s="7"/>
      <c r="E2" s="7"/>
      <c r="F2" s="7"/>
      <c r="G2" s="7"/>
      <c r="H2" s="7"/>
      <c r="I2" s="7"/>
      <c r="J2" s="7"/>
      <c r="K2" s="7"/>
      <c r="L2" s="8"/>
    </row>
    <row r="3" spans="2:12" x14ac:dyDescent="0.2"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2:12" ht="23" x14ac:dyDescent="0.25">
      <c r="B4" s="9"/>
      <c r="C4" s="12"/>
      <c r="D4" s="10"/>
      <c r="E4" s="10"/>
      <c r="F4" s="10"/>
      <c r="G4" s="10"/>
      <c r="H4" s="10"/>
      <c r="I4" s="10"/>
      <c r="J4" s="10"/>
      <c r="K4" s="10"/>
      <c r="L4" s="11"/>
    </row>
    <row r="5" spans="2:12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1"/>
    </row>
    <row r="6" spans="2:12" x14ac:dyDescent="0.2">
      <c r="B6" s="9"/>
      <c r="C6" s="13" t="s">
        <v>0</v>
      </c>
      <c r="D6" s="10"/>
      <c r="E6" s="10"/>
      <c r="F6" s="10"/>
      <c r="G6" s="10"/>
      <c r="H6" s="10"/>
      <c r="I6" s="10"/>
      <c r="J6" s="10"/>
      <c r="K6" s="10"/>
      <c r="L6" s="11"/>
    </row>
    <row r="7" spans="2:12" x14ac:dyDescent="0.2">
      <c r="B7" s="9"/>
      <c r="C7" s="13" t="s">
        <v>1</v>
      </c>
      <c r="D7" s="10"/>
      <c r="E7" s="10"/>
      <c r="F7" s="10"/>
      <c r="G7" s="10"/>
      <c r="H7" s="10"/>
      <c r="I7" s="10"/>
      <c r="J7" s="10"/>
      <c r="K7" s="10"/>
      <c r="L7" s="11"/>
    </row>
    <row r="8" spans="2:12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1"/>
    </row>
    <row r="9" spans="2:12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2:12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2:12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2:12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2:12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2:12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2:12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2:12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2:12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2:12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2:12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2:12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1"/>
    </row>
    <row r="21" spans="2:12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spans="2:12" ht="18" x14ac:dyDescent="0.2">
      <c r="B22" s="9"/>
      <c r="C22" s="14" t="s">
        <v>2</v>
      </c>
      <c r="D22" s="10"/>
      <c r="E22" s="10"/>
      <c r="F22" s="10"/>
      <c r="G22" s="10"/>
      <c r="H22" s="10"/>
      <c r="I22" s="10"/>
      <c r="J22" s="10"/>
      <c r="K22" s="10"/>
      <c r="L22" s="11"/>
    </row>
    <row r="23" spans="2:12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1"/>
    </row>
    <row r="24" spans="2:12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1"/>
    </row>
    <row r="25" spans="2:12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1"/>
    </row>
    <row r="26" spans="2:12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2:12" ht="33" x14ac:dyDescent="0.35">
      <c r="B27" s="9"/>
      <c r="C27" s="12" t="s">
        <v>3</v>
      </c>
      <c r="D27" s="10"/>
      <c r="E27" s="15" t="s">
        <v>42</v>
      </c>
      <c r="F27" s="16"/>
      <c r="G27" s="10"/>
      <c r="H27" s="10"/>
      <c r="I27" s="10"/>
      <c r="J27" s="10"/>
      <c r="K27" s="10"/>
      <c r="L27" s="11"/>
    </row>
    <row r="28" spans="2:12" ht="10" customHeight="1" x14ac:dyDescent="0.25">
      <c r="B28" s="9"/>
      <c r="C28" s="10"/>
      <c r="D28" s="10"/>
      <c r="E28" s="16"/>
      <c r="F28" s="16"/>
      <c r="G28" s="10"/>
      <c r="H28" s="10"/>
      <c r="I28" s="10"/>
      <c r="J28" s="10"/>
      <c r="K28" s="10"/>
      <c r="L28" s="11"/>
    </row>
    <row r="29" spans="2:12" ht="19" customHeight="1" x14ac:dyDescent="0.2">
      <c r="B29" s="9"/>
      <c r="C29" s="10"/>
      <c r="D29" s="10"/>
      <c r="E29" s="10"/>
      <c r="F29" s="17" t="s">
        <v>49</v>
      </c>
      <c r="G29" s="10"/>
      <c r="H29" s="10"/>
      <c r="I29" s="10"/>
      <c r="J29" s="10"/>
      <c r="K29" s="10"/>
      <c r="L29" s="11"/>
    </row>
    <row r="30" spans="2:12" ht="19" customHeight="1" x14ac:dyDescent="0.2">
      <c r="B30" s="9"/>
      <c r="C30" s="10"/>
      <c r="D30" s="10"/>
      <c r="E30" s="10"/>
      <c r="F30" s="17" t="s">
        <v>40</v>
      </c>
      <c r="G30" s="10"/>
      <c r="H30" s="10"/>
      <c r="I30" s="10"/>
      <c r="J30" s="10"/>
      <c r="K30" s="10"/>
      <c r="L30" s="11"/>
    </row>
    <row r="31" spans="2:12" ht="19" customHeight="1" x14ac:dyDescent="0.2">
      <c r="B31" s="9"/>
      <c r="C31" s="10"/>
      <c r="D31" s="10"/>
      <c r="E31" s="10"/>
      <c r="F31" s="17" t="s">
        <v>6</v>
      </c>
      <c r="G31" s="10"/>
      <c r="H31" s="10"/>
      <c r="I31" s="10"/>
      <c r="J31" s="10"/>
      <c r="K31" s="10"/>
      <c r="L31" s="11"/>
    </row>
    <row r="32" spans="2:12" ht="19" customHeight="1" x14ac:dyDescent="0.2">
      <c r="B32" s="9"/>
      <c r="C32" s="10"/>
      <c r="D32" s="10"/>
      <c r="E32" s="10"/>
      <c r="F32" s="17" t="s">
        <v>41</v>
      </c>
      <c r="G32" s="10"/>
      <c r="H32" s="10"/>
      <c r="I32" s="10"/>
      <c r="J32" s="10"/>
      <c r="K32" s="10"/>
      <c r="L32" s="11"/>
    </row>
    <row r="33" spans="2:12" ht="19" customHeight="1" x14ac:dyDescent="0.2">
      <c r="B33" s="9"/>
      <c r="C33" s="10"/>
      <c r="D33" s="10"/>
      <c r="E33" s="10"/>
      <c r="F33" s="17"/>
      <c r="G33" s="10"/>
      <c r="H33" s="10"/>
      <c r="I33" s="10"/>
      <c r="J33" s="10"/>
      <c r="K33" s="10"/>
      <c r="L33" s="11"/>
    </row>
    <row r="34" spans="2:12" ht="19" customHeight="1" x14ac:dyDescent="0.2">
      <c r="B34" s="9"/>
      <c r="C34" s="10"/>
      <c r="D34" s="10"/>
      <c r="E34" s="10"/>
      <c r="F34" s="17"/>
      <c r="G34" s="10"/>
      <c r="H34" s="10"/>
      <c r="I34" s="10"/>
      <c r="J34" s="10"/>
      <c r="K34" s="10"/>
      <c r="L34" s="11"/>
    </row>
    <row r="35" spans="2:12" ht="18" customHeight="1" x14ac:dyDescent="0.2">
      <c r="B35" s="9"/>
      <c r="C35" s="10" t="s">
        <v>5</v>
      </c>
      <c r="D35" s="10"/>
      <c r="E35" s="10"/>
      <c r="F35" s="17"/>
      <c r="G35" s="10"/>
      <c r="H35" s="10"/>
      <c r="I35" s="10"/>
      <c r="J35" s="10"/>
      <c r="K35" s="10"/>
      <c r="L35" s="11"/>
    </row>
    <row r="36" spans="2:12" x14ac:dyDescent="0.2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1"/>
    </row>
    <row r="37" spans="2:12" x14ac:dyDescent="0.2">
      <c r="B37" s="9"/>
      <c r="C37" s="18"/>
      <c r="D37" s="10"/>
      <c r="E37" s="10"/>
      <c r="F37" s="10"/>
      <c r="G37" s="10"/>
      <c r="H37" s="10"/>
      <c r="I37" s="10"/>
      <c r="J37" s="10"/>
      <c r="K37" s="10"/>
      <c r="L37" s="11"/>
    </row>
    <row r="38" spans="2:12" x14ac:dyDescent="0.2">
      <c r="B38" s="9"/>
      <c r="C38" s="19" t="s">
        <v>4</v>
      </c>
      <c r="D38" s="10"/>
      <c r="E38" s="10"/>
      <c r="F38" s="10"/>
      <c r="G38" s="10"/>
      <c r="H38" s="10"/>
      <c r="I38" s="10"/>
      <c r="J38" s="10"/>
      <c r="K38" s="10"/>
      <c r="L38" s="11"/>
    </row>
    <row r="39" spans="2:12" ht="17" thickBot="1" x14ac:dyDescent="0.25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2"/>
    </row>
    <row r="40" spans="2:12" ht="17" thickTop="1" x14ac:dyDescent="0.2"/>
  </sheetData>
  <sheetProtection sheet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2799-A3E0-2642-9A0B-38C1CA6A583B}">
  <dimension ref="B1:AA30"/>
  <sheetViews>
    <sheetView zoomScale="140" zoomScaleNormal="140" workbookViewId="0">
      <pane xSplit="35" topLeftCell="AJ1" activePane="topRight" state="frozen"/>
      <selection pane="topRight" activeCell="H6" sqref="H6"/>
    </sheetView>
  </sheetViews>
  <sheetFormatPr baseColWidth="10" defaultRowHeight="23" x14ac:dyDescent="0.2"/>
  <cols>
    <col min="1" max="1" width="2.83203125" style="2" customWidth="1"/>
    <col min="2" max="3" width="3.83203125" style="2" customWidth="1"/>
    <col min="4" max="4" width="8.83203125" style="2" customWidth="1"/>
    <col min="5" max="5" width="8.5" style="2" customWidth="1"/>
    <col min="6" max="6" width="20.5" style="2" customWidth="1"/>
    <col min="7" max="7" width="10.83203125" style="3" customWidth="1"/>
    <col min="8" max="8" width="11.1640625" style="2" customWidth="1"/>
    <col min="9" max="9" width="10.83203125" style="49"/>
    <col min="10" max="10" width="4.6640625" style="2" customWidth="1"/>
    <col min="11" max="11" width="2.5" style="2" customWidth="1"/>
    <col min="12" max="12" width="7.5" style="23" customWidth="1"/>
    <col min="13" max="13" width="17.1640625" style="2" customWidth="1"/>
    <col min="14" max="26" width="9.1640625" style="2" customWidth="1"/>
    <col min="27" max="27" width="3.6640625" style="2" customWidth="1"/>
    <col min="28" max="16384" width="10.83203125" style="2"/>
  </cols>
  <sheetData>
    <row r="1" spans="2:27" ht="15" customHeight="1" thickBot="1" x14ac:dyDescent="0.25"/>
    <row r="2" spans="2:27" ht="24" thickTop="1" x14ac:dyDescent="0.2">
      <c r="B2" s="24"/>
      <c r="C2" s="25"/>
      <c r="D2" s="25"/>
      <c r="E2" s="25"/>
      <c r="F2" s="25"/>
      <c r="G2" s="26"/>
      <c r="H2" s="25"/>
      <c r="I2" s="79"/>
      <c r="J2" s="25"/>
      <c r="K2" s="25"/>
      <c r="L2" s="56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27" s="4" customFormat="1" ht="28" x14ac:dyDescent="0.2">
      <c r="B3" s="28"/>
      <c r="C3" s="29" t="s">
        <v>42</v>
      </c>
      <c r="D3" s="29"/>
      <c r="E3" s="29"/>
      <c r="F3" s="29"/>
      <c r="G3" s="30"/>
      <c r="H3" s="31"/>
      <c r="I3" s="80"/>
      <c r="J3" s="32"/>
      <c r="K3" s="32"/>
      <c r="L3" s="58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</row>
    <row r="4" spans="2:27" x14ac:dyDescent="0.2">
      <c r="B4" s="34"/>
      <c r="C4" s="51" t="s">
        <v>52</v>
      </c>
      <c r="D4" s="35"/>
      <c r="E4" s="35"/>
      <c r="F4" s="35"/>
      <c r="G4" s="36"/>
      <c r="H4" s="35"/>
      <c r="I4" s="47"/>
      <c r="J4" s="35"/>
      <c r="K4" s="35"/>
      <c r="L4" s="6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7"/>
    </row>
    <row r="5" spans="2:27" x14ac:dyDescent="0.2">
      <c r="B5" s="34"/>
      <c r="C5" s="38"/>
      <c r="D5" s="38"/>
      <c r="E5" s="38"/>
      <c r="F5" s="38"/>
      <c r="G5" s="39"/>
      <c r="H5" s="38"/>
      <c r="I5" s="81"/>
      <c r="J5" s="35"/>
      <c r="K5" s="40"/>
      <c r="L5" s="62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37"/>
    </row>
    <row r="6" spans="2:27" x14ac:dyDescent="0.2">
      <c r="B6" s="34"/>
      <c r="C6" s="38"/>
      <c r="D6" s="38" t="s">
        <v>10</v>
      </c>
      <c r="E6" s="38"/>
      <c r="F6" s="38"/>
      <c r="G6" s="77" t="s">
        <v>13</v>
      </c>
      <c r="H6" s="72">
        <v>1000</v>
      </c>
      <c r="I6" s="81" t="s">
        <v>14</v>
      </c>
      <c r="J6" s="35"/>
      <c r="K6" s="40"/>
      <c r="L6" s="62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37"/>
    </row>
    <row r="7" spans="2:27" ht="27" x14ac:dyDescent="0.2">
      <c r="B7" s="34"/>
      <c r="C7" s="38"/>
      <c r="D7" s="38" t="s">
        <v>7</v>
      </c>
      <c r="E7" s="38"/>
      <c r="F7" s="38"/>
      <c r="G7" s="77" t="s">
        <v>63</v>
      </c>
      <c r="H7" s="72">
        <v>240</v>
      </c>
      <c r="I7" s="81" t="s">
        <v>16</v>
      </c>
      <c r="J7" s="35"/>
      <c r="K7" s="40"/>
      <c r="L7" s="62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7"/>
    </row>
    <row r="8" spans="2:27" ht="27" x14ac:dyDescent="0.2">
      <c r="B8" s="34"/>
      <c r="C8" s="38"/>
      <c r="D8" s="38" t="s">
        <v>8</v>
      </c>
      <c r="E8" s="38"/>
      <c r="F8" s="38"/>
      <c r="G8" s="77" t="s">
        <v>73</v>
      </c>
      <c r="H8" s="72">
        <v>100</v>
      </c>
      <c r="I8" s="81" t="s">
        <v>16</v>
      </c>
      <c r="J8" s="35"/>
      <c r="K8" s="40"/>
      <c r="L8" s="6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7"/>
    </row>
    <row r="9" spans="2:27" x14ac:dyDescent="0.2">
      <c r="B9" s="34"/>
      <c r="C9" s="38"/>
      <c r="D9" s="38" t="s">
        <v>9</v>
      </c>
      <c r="E9" s="38"/>
      <c r="F9" s="38"/>
      <c r="G9" s="77" t="s">
        <v>26</v>
      </c>
      <c r="H9" s="73">
        <v>7.1999999999999995E-2</v>
      </c>
      <c r="I9" s="81" t="s">
        <v>15</v>
      </c>
      <c r="J9" s="35"/>
      <c r="K9" s="40"/>
      <c r="L9" s="62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37"/>
    </row>
    <row r="10" spans="2:27" x14ac:dyDescent="0.2">
      <c r="B10" s="34"/>
      <c r="C10" s="38"/>
      <c r="D10" s="38"/>
      <c r="E10" s="38"/>
      <c r="F10" s="38"/>
      <c r="G10" s="77"/>
      <c r="H10" s="38"/>
      <c r="I10" s="81"/>
      <c r="J10" s="35"/>
      <c r="K10" s="40"/>
      <c r="L10" s="62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37"/>
    </row>
    <row r="11" spans="2:27" x14ac:dyDescent="0.2">
      <c r="B11" s="34"/>
      <c r="C11" s="51" t="s">
        <v>53</v>
      </c>
      <c r="D11" s="35"/>
      <c r="E11" s="35"/>
      <c r="F11" s="35"/>
      <c r="G11" s="48"/>
      <c r="H11" s="35"/>
      <c r="I11" s="47"/>
      <c r="J11" s="35"/>
      <c r="K11" s="35"/>
      <c r="L11" s="60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</row>
    <row r="12" spans="2:27" x14ac:dyDescent="0.2">
      <c r="B12" s="34"/>
      <c r="C12" s="38"/>
      <c r="D12" s="38"/>
      <c r="E12" s="38"/>
      <c r="F12" s="38"/>
      <c r="G12" s="77"/>
      <c r="H12" s="38"/>
      <c r="I12" s="81"/>
      <c r="J12" s="35"/>
      <c r="K12" s="40"/>
      <c r="L12" s="62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37"/>
    </row>
    <row r="13" spans="2:27" x14ac:dyDescent="0.2">
      <c r="B13" s="34"/>
      <c r="C13" s="38"/>
      <c r="D13" s="38" t="s">
        <v>21</v>
      </c>
      <c r="E13" s="38"/>
      <c r="F13" s="38"/>
      <c r="G13" s="77"/>
      <c r="H13" s="61">
        <f>H9/H14</f>
        <v>0.24</v>
      </c>
      <c r="I13" s="81" t="s">
        <v>20</v>
      </c>
      <c r="J13" s="35"/>
      <c r="K13" s="40"/>
      <c r="L13" s="64" t="s">
        <v>18</v>
      </c>
      <c r="M13" s="38">
        <f>TAN(2 * PI() * H13)</f>
        <v>15.894544843865265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37"/>
    </row>
    <row r="14" spans="2:27" x14ac:dyDescent="0.2">
      <c r="B14" s="34"/>
      <c r="C14" s="38"/>
      <c r="D14" s="38" t="s">
        <v>11</v>
      </c>
      <c r="E14" s="38"/>
      <c r="F14" s="38"/>
      <c r="G14" s="77" t="s">
        <v>17</v>
      </c>
      <c r="H14" s="61">
        <f>300/H6</f>
        <v>0.3</v>
      </c>
      <c r="I14" s="81" t="s">
        <v>15</v>
      </c>
      <c r="J14" s="35"/>
      <c r="K14" s="40"/>
      <c r="L14" s="62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37"/>
    </row>
    <row r="15" spans="2:27" ht="27" x14ac:dyDescent="0.2">
      <c r="B15" s="34"/>
      <c r="C15" s="38"/>
      <c r="D15" s="38" t="s">
        <v>12</v>
      </c>
      <c r="E15" s="38"/>
      <c r="F15" s="38"/>
      <c r="G15" s="77" t="s">
        <v>71</v>
      </c>
      <c r="H15" s="61">
        <f>H7*(H8*H7 + H8*H7*M13*M13)/(H7*H7 + H8*H8*M13*M13)</f>
        <v>565.38933225491769</v>
      </c>
      <c r="I15" s="81" t="s">
        <v>16</v>
      </c>
      <c r="J15" s="35"/>
      <c r="K15" s="40"/>
      <c r="L15" s="62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37"/>
    </row>
    <row r="16" spans="2:27" ht="27" x14ac:dyDescent="0.2">
      <c r="B16" s="34"/>
      <c r="C16" s="38"/>
      <c r="D16" s="38"/>
      <c r="E16" s="38"/>
      <c r="F16" s="38"/>
      <c r="G16" s="77" t="s">
        <v>72</v>
      </c>
      <c r="H16" s="61">
        <f>(H7*H7*M13 - H8*H8*M13)/(H7*H7 + H8*H8*M13*M13)</f>
        <v>0.29279814982216462</v>
      </c>
      <c r="I16" s="81" t="s">
        <v>16</v>
      </c>
      <c r="J16" s="35"/>
      <c r="K16" s="40"/>
      <c r="L16" s="62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37"/>
    </row>
    <row r="17" spans="2:27" x14ac:dyDescent="0.2">
      <c r="B17" s="34"/>
      <c r="C17" s="38"/>
      <c r="D17" s="38"/>
      <c r="E17" s="38"/>
      <c r="F17" s="38"/>
      <c r="G17" s="77"/>
      <c r="H17" s="38"/>
      <c r="I17" s="81"/>
      <c r="J17" s="35"/>
      <c r="K17" s="40"/>
      <c r="L17" s="62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37"/>
    </row>
    <row r="18" spans="2:27" x14ac:dyDescent="0.2">
      <c r="B18" s="34"/>
      <c r="C18" s="35"/>
      <c r="D18" s="35"/>
      <c r="E18" s="35"/>
      <c r="F18" s="35"/>
      <c r="G18" s="48"/>
      <c r="H18" s="35"/>
      <c r="I18" s="47"/>
      <c r="J18" s="35"/>
      <c r="K18" s="35"/>
      <c r="L18" s="60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7"/>
    </row>
    <row r="19" spans="2:27" s="4" customFormat="1" ht="28" x14ac:dyDescent="0.2">
      <c r="B19" s="28"/>
      <c r="C19" s="29" t="s">
        <v>51</v>
      </c>
      <c r="D19" s="29"/>
      <c r="E19" s="29"/>
      <c r="F19" s="29"/>
      <c r="G19" s="78"/>
      <c r="H19" s="31"/>
      <c r="I19" s="80"/>
      <c r="J19" s="32"/>
      <c r="K19" s="32"/>
      <c r="L19" s="58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3"/>
    </row>
    <row r="20" spans="2:27" x14ac:dyDescent="0.2">
      <c r="B20" s="34"/>
      <c r="C20" s="51" t="s">
        <v>52</v>
      </c>
      <c r="D20" s="35"/>
      <c r="E20" s="35"/>
      <c r="F20" s="35"/>
      <c r="G20" s="48"/>
      <c r="H20" s="35"/>
      <c r="I20" s="47"/>
      <c r="J20" s="35"/>
      <c r="K20" s="35"/>
      <c r="L20" s="60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7"/>
    </row>
    <row r="21" spans="2:27" x14ac:dyDescent="0.2">
      <c r="B21" s="34"/>
      <c r="C21" s="38"/>
      <c r="D21" s="38"/>
      <c r="E21" s="38"/>
      <c r="F21" s="38"/>
      <c r="G21" s="77"/>
      <c r="H21" s="38"/>
      <c r="I21" s="81"/>
      <c r="J21" s="35"/>
      <c r="K21" s="40"/>
      <c r="L21" s="62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7"/>
    </row>
    <row r="22" spans="2:27" ht="27" x14ac:dyDescent="0.2">
      <c r="B22" s="34"/>
      <c r="C22" s="38"/>
      <c r="D22" s="38" t="s">
        <v>7</v>
      </c>
      <c r="E22" s="38"/>
      <c r="F22" s="38"/>
      <c r="G22" s="77" t="s">
        <v>64</v>
      </c>
      <c r="H22" s="72">
        <v>212</v>
      </c>
      <c r="I22" s="81" t="s">
        <v>16</v>
      </c>
      <c r="J22" s="35"/>
      <c r="K22" s="40"/>
      <c r="L22" s="62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37"/>
    </row>
    <row r="23" spans="2:27" ht="27" x14ac:dyDescent="0.2">
      <c r="B23" s="34"/>
      <c r="C23" s="38"/>
      <c r="D23" s="38" t="s">
        <v>50</v>
      </c>
      <c r="E23" s="38"/>
      <c r="F23" s="38"/>
      <c r="G23" s="77" t="s">
        <v>65</v>
      </c>
      <c r="H23" s="72">
        <v>900</v>
      </c>
      <c r="I23" s="81" t="s">
        <v>16</v>
      </c>
      <c r="J23" s="35"/>
      <c r="K23" s="40"/>
      <c r="L23" s="6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37"/>
    </row>
    <row r="24" spans="2:27" x14ac:dyDescent="0.2">
      <c r="B24" s="34"/>
      <c r="C24" s="38"/>
      <c r="D24" s="38"/>
      <c r="E24" s="38"/>
      <c r="F24" s="38"/>
      <c r="G24" s="77"/>
      <c r="H24" s="38"/>
      <c r="I24" s="81"/>
      <c r="J24" s="35"/>
      <c r="K24" s="40"/>
      <c r="L24" s="62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37"/>
    </row>
    <row r="25" spans="2:27" x14ac:dyDescent="0.2">
      <c r="B25" s="34"/>
      <c r="C25" s="51" t="s">
        <v>53</v>
      </c>
      <c r="D25" s="35"/>
      <c r="E25" s="35"/>
      <c r="F25" s="35"/>
      <c r="G25" s="48"/>
      <c r="H25" s="35"/>
      <c r="I25" s="47"/>
      <c r="J25" s="35"/>
      <c r="K25" s="40"/>
      <c r="L25" s="6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7"/>
    </row>
    <row r="26" spans="2:27" x14ac:dyDescent="0.2">
      <c r="B26" s="34"/>
      <c r="C26" s="38"/>
      <c r="D26" s="38"/>
      <c r="E26" s="38"/>
      <c r="F26" s="38"/>
      <c r="G26" s="77"/>
      <c r="H26" s="38"/>
      <c r="I26" s="81"/>
      <c r="J26" s="35"/>
      <c r="K26" s="40"/>
      <c r="L26" s="62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7"/>
    </row>
    <row r="27" spans="2:27" ht="27" x14ac:dyDescent="0.2">
      <c r="B27" s="34"/>
      <c r="C27" s="38"/>
      <c r="D27" s="38" t="s">
        <v>12</v>
      </c>
      <c r="E27" s="38"/>
      <c r="F27" s="38"/>
      <c r="G27" s="77" t="s">
        <v>66</v>
      </c>
      <c r="H27" s="67">
        <f>H22*H22/H23</f>
        <v>49.937777777777775</v>
      </c>
      <c r="I27" s="81" t="s">
        <v>16</v>
      </c>
      <c r="J27" s="35"/>
      <c r="K27" s="35"/>
      <c r="L27" s="60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7"/>
    </row>
    <row r="28" spans="2:27" x14ac:dyDescent="0.2">
      <c r="B28" s="34"/>
      <c r="C28" s="38"/>
      <c r="D28" s="38"/>
      <c r="E28" s="38"/>
      <c r="F28" s="38"/>
      <c r="G28" s="77"/>
      <c r="H28" s="38"/>
      <c r="I28" s="81"/>
      <c r="J28" s="35"/>
      <c r="K28" s="35"/>
      <c r="L28" s="60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7"/>
    </row>
    <row r="29" spans="2:27" ht="24" thickBot="1" x14ac:dyDescent="0.25">
      <c r="B29" s="42"/>
      <c r="C29" s="43"/>
      <c r="D29" s="43"/>
      <c r="E29" s="43"/>
      <c r="F29" s="43"/>
      <c r="G29" s="44"/>
      <c r="H29" s="43"/>
      <c r="I29" s="82"/>
      <c r="J29" s="43"/>
      <c r="K29" s="43"/>
      <c r="L29" s="66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5"/>
    </row>
    <row r="30" spans="2:27" ht="24" thickTop="1" x14ac:dyDescent="0.2"/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EAB1-8BEE-6A40-A538-440F74C5C326}">
  <dimension ref="B1:AA28"/>
  <sheetViews>
    <sheetView tabSelected="1" topLeftCell="A3" zoomScale="140" zoomScaleNormal="140" workbookViewId="0">
      <pane xSplit="36" topLeftCell="AK1" activePane="topRight" state="frozen"/>
      <selection activeCell="A4" sqref="A4"/>
      <selection pane="topRight" activeCell="H21" sqref="H21"/>
    </sheetView>
  </sheetViews>
  <sheetFormatPr baseColWidth="10" defaultRowHeight="23" x14ac:dyDescent="0.2"/>
  <cols>
    <col min="1" max="1" width="2.83203125" style="2" customWidth="1"/>
    <col min="2" max="3" width="3.83203125" style="2" customWidth="1"/>
    <col min="4" max="4" width="7.5" style="2" customWidth="1"/>
    <col min="5" max="5" width="8.5" style="2" customWidth="1"/>
    <col min="6" max="6" width="21.6640625" style="2" customWidth="1"/>
    <col min="7" max="7" width="10.83203125" style="84" customWidth="1"/>
    <col min="8" max="8" width="11.1640625" style="2" customWidth="1"/>
    <col min="9" max="9" width="10.83203125" style="49"/>
    <col min="10" max="10" width="4.6640625" style="2" customWidth="1"/>
    <col min="11" max="26" width="9.1640625" style="2" customWidth="1"/>
    <col min="27" max="27" width="3.6640625" style="2" customWidth="1"/>
    <col min="28" max="16384" width="10.83203125" style="2"/>
  </cols>
  <sheetData>
    <row r="1" spans="2:27" ht="15" customHeight="1" thickBot="1" x14ac:dyDescent="0.25"/>
    <row r="2" spans="2:27" ht="24" thickTop="1" x14ac:dyDescent="0.2">
      <c r="B2" s="24"/>
      <c r="C2" s="25"/>
      <c r="D2" s="25"/>
      <c r="E2" s="25"/>
      <c r="F2" s="25"/>
      <c r="G2" s="85"/>
      <c r="H2" s="25"/>
      <c r="I2" s="79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27" s="4" customFormat="1" ht="28" x14ac:dyDescent="0.2">
      <c r="B3" s="28"/>
      <c r="C3" s="29" t="s">
        <v>47</v>
      </c>
      <c r="D3" s="29"/>
      <c r="E3" s="29"/>
      <c r="F3" s="29"/>
      <c r="G3" s="78"/>
      <c r="H3" s="31"/>
      <c r="I3" s="83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</row>
    <row r="4" spans="2:27" s="54" customFormat="1" x14ac:dyDescent="0.2">
      <c r="B4" s="50"/>
      <c r="C4" s="51" t="s">
        <v>52</v>
      </c>
      <c r="D4" s="51"/>
      <c r="E4" s="51"/>
      <c r="F4" s="51"/>
      <c r="G4" s="52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3"/>
    </row>
    <row r="5" spans="2:27" x14ac:dyDescent="0.2">
      <c r="B5" s="34"/>
      <c r="C5" s="38"/>
      <c r="D5" s="38"/>
      <c r="E5" s="38"/>
      <c r="F5" s="38"/>
      <c r="G5" s="77"/>
      <c r="H5" s="38"/>
      <c r="I5" s="81"/>
      <c r="J5" s="35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37"/>
    </row>
    <row r="6" spans="2:27" x14ac:dyDescent="0.2">
      <c r="B6" s="34"/>
      <c r="C6" s="38"/>
      <c r="D6" s="38" t="s">
        <v>29</v>
      </c>
      <c r="E6" s="38"/>
      <c r="F6" s="38"/>
      <c r="G6" s="77" t="s">
        <v>18</v>
      </c>
      <c r="H6" s="71">
        <v>9</v>
      </c>
      <c r="I6" s="81" t="s">
        <v>31</v>
      </c>
      <c r="J6" s="35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37"/>
    </row>
    <row r="7" spans="2:27" x14ac:dyDescent="0.2">
      <c r="B7" s="34"/>
      <c r="C7" s="38"/>
      <c r="D7" s="38" t="s">
        <v>30</v>
      </c>
      <c r="E7" s="38"/>
      <c r="F7" s="38"/>
      <c r="G7" s="77" t="s">
        <v>23</v>
      </c>
      <c r="H7" s="71">
        <v>2.5230000000000001</v>
      </c>
      <c r="I7" s="81" t="s">
        <v>31</v>
      </c>
      <c r="J7" s="35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7"/>
    </row>
    <row r="8" spans="2:27" ht="27" x14ac:dyDescent="0.2">
      <c r="B8" s="34"/>
      <c r="C8" s="38"/>
      <c r="D8" s="38" t="s">
        <v>45</v>
      </c>
      <c r="E8" s="38"/>
      <c r="F8" s="38"/>
      <c r="G8" s="86" t="s">
        <v>67</v>
      </c>
      <c r="H8" s="71">
        <v>1</v>
      </c>
      <c r="I8" s="81"/>
      <c r="J8" s="35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7"/>
    </row>
    <row r="9" spans="2:27" x14ac:dyDescent="0.2">
      <c r="B9" s="34"/>
      <c r="C9" s="38"/>
      <c r="D9" s="38"/>
      <c r="E9" s="38"/>
      <c r="F9" s="38"/>
      <c r="G9" s="77"/>
      <c r="H9" s="38"/>
      <c r="I9" s="81"/>
      <c r="J9" s="35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37"/>
    </row>
    <row r="10" spans="2:27" x14ac:dyDescent="0.2">
      <c r="B10" s="34"/>
      <c r="C10" s="51" t="s">
        <v>53</v>
      </c>
      <c r="D10" s="35"/>
      <c r="E10" s="35"/>
      <c r="F10" s="35"/>
      <c r="G10" s="48"/>
      <c r="H10" s="35"/>
      <c r="I10" s="47"/>
      <c r="J10" s="35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37"/>
    </row>
    <row r="11" spans="2:27" x14ac:dyDescent="0.2">
      <c r="B11" s="34"/>
      <c r="C11" s="38"/>
      <c r="D11" s="38"/>
      <c r="E11" s="38"/>
      <c r="F11" s="38"/>
      <c r="G11" s="77"/>
      <c r="H11" s="38"/>
      <c r="I11" s="81"/>
      <c r="J11" s="35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7"/>
    </row>
    <row r="12" spans="2:27" ht="27" x14ac:dyDescent="0.2">
      <c r="B12" s="34"/>
      <c r="C12" s="38"/>
      <c r="D12" s="38"/>
      <c r="E12" s="38"/>
      <c r="F12" s="38"/>
      <c r="G12" s="77" t="s">
        <v>64</v>
      </c>
      <c r="H12" s="38">
        <f>120/ SQRT(H8)* ACOSH(H6/H7)</f>
        <v>233.36048933670881</v>
      </c>
      <c r="I12" s="81" t="s">
        <v>16</v>
      </c>
      <c r="J12" s="35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37"/>
    </row>
    <row r="13" spans="2:27" x14ac:dyDescent="0.2">
      <c r="B13" s="34"/>
      <c r="C13" s="38"/>
      <c r="D13" s="38"/>
      <c r="E13" s="38"/>
      <c r="F13" s="38"/>
      <c r="G13" s="77"/>
      <c r="H13" s="38"/>
      <c r="I13" s="81"/>
      <c r="J13" s="35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37"/>
    </row>
    <row r="14" spans="2:27" x14ac:dyDescent="0.2">
      <c r="B14" s="34"/>
      <c r="C14" s="35"/>
      <c r="D14" s="35"/>
      <c r="E14" s="35"/>
      <c r="F14" s="35"/>
      <c r="G14" s="48"/>
      <c r="H14" s="35"/>
      <c r="I14" s="47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</row>
    <row r="15" spans="2:27" x14ac:dyDescent="0.2">
      <c r="B15" s="34"/>
      <c r="C15" s="35"/>
      <c r="D15" s="35"/>
      <c r="E15" s="35"/>
      <c r="F15" s="35"/>
      <c r="G15" s="48"/>
      <c r="H15" s="35"/>
      <c r="I15" s="47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</row>
    <row r="16" spans="2:27" s="4" customFormat="1" ht="28" x14ac:dyDescent="0.2">
      <c r="B16" s="28"/>
      <c r="C16" s="29" t="s">
        <v>48</v>
      </c>
      <c r="D16" s="29"/>
      <c r="E16" s="29"/>
      <c r="F16" s="29"/>
      <c r="G16" s="78"/>
      <c r="H16" s="31"/>
      <c r="I16" s="83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3"/>
    </row>
    <row r="17" spans="2:27" x14ac:dyDescent="0.2">
      <c r="B17" s="34"/>
      <c r="C17" s="51" t="s">
        <v>52</v>
      </c>
      <c r="D17" s="35"/>
      <c r="E17" s="35"/>
      <c r="F17" s="35"/>
      <c r="G17" s="48"/>
      <c r="H17" s="35"/>
      <c r="I17" s="47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7"/>
    </row>
    <row r="18" spans="2:27" x14ac:dyDescent="0.2">
      <c r="B18" s="34"/>
      <c r="C18" s="38"/>
      <c r="D18" s="38"/>
      <c r="E18" s="38"/>
      <c r="F18" s="38"/>
      <c r="G18" s="77"/>
      <c r="H18" s="38"/>
      <c r="I18" s="81"/>
      <c r="J18" s="35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37"/>
    </row>
    <row r="19" spans="2:27" x14ac:dyDescent="0.2">
      <c r="B19" s="34"/>
      <c r="C19" s="38"/>
      <c r="D19" s="38"/>
      <c r="E19" s="38"/>
      <c r="F19" s="38"/>
      <c r="G19" s="77" t="s">
        <v>23</v>
      </c>
      <c r="H19" s="71">
        <v>15</v>
      </c>
      <c r="I19" s="81" t="s">
        <v>31</v>
      </c>
      <c r="J19" s="35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37"/>
    </row>
    <row r="20" spans="2:27" x14ac:dyDescent="0.2">
      <c r="B20" s="34"/>
      <c r="C20" s="38"/>
      <c r="D20" s="38" t="s">
        <v>44</v>
      </c>
      <c r="E20" s="38">
        <f>H20/H19</f>
        <v>0.32133333333333336</v>
      </c>
      <c r="F20" s="38"/>
      <c r="G20" s="77" t="s">
        <v>43</v>
      </c>
      <c r="H20" s="71">
        <v>4.82</v>
      </c>
      <c r="I20" s="81" t="s">
        <v>31</v>
      </c>
      <c r="J20" s="35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37"/>
    </row>
    <row r="21" spans="2:27" ht="27" x14ac:dyDescent="0.2">
      <c r="B21" s="34"/>
      <c r="C21" s="38"/>
      <c r="D21" s="41" t="s">
        <v>46</v>
      </c>
      <c r="E21" s="41"/>
      <c r="F21" s="41"/>
      <c r="G21" s="77" t="s">
        <v>67</v>
      </c>
      <c r="H21" s="71">
        <v>1.1200000000000001</v>
      </c>
      <c r="I21" s="81"/>
      <c r="J21" s="35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7"/>
    </row>
    <row r="22" spans="2:27" x14ac:dyDescent="0.2">
      <c r="B22" s="34"/>
      <c r="C22" s="38"/>
      <c r="D22" s="38"/>
      <c r="E22" s="38"/>
      <c r="F22" s="38"/>
      <c r="G22" s="77"/>
      <c r="H22" s="38"/>
      <c r="I22" s="81"/>
      <c r="J22" s="35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37"/>
    </row>
    <row r="23" spans="2:27" x14ac:dyDescent="0.2">
      <c r="B23" s="34"/>
      <c r="C23" s="51" t="s">
        <v>53</v>
      </c>
      <c r="D23" s="35"/>
      <c r="E23" s="35"/>
      <c r="F23" s="35"/>
      <c r="G23" s="48"/>
      <c r="H23" s="35"/>
      <c r="I23" s="47"/>
      <c r="J23" s="35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37"/>
    </row>
    <row r="24" spans="2:27" x14ac:dyDescent="0.2">
      <c r="B24" s="34"/>
      <c r="C24" s="38"/>
      <c r="D24" s="38"/>
      <c r="E24" s="38"/>
      <c r="F24" s="38"/>
      <c r="G24" s="77"/>
      <c r="H24" s="38"/>
      <c r="I24" s="81"/>
      <c r="J24" s="35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37"/>
    </row>
    <row r="25" spans="2:27" ht="27" x14ac:dyDescent="0.2">
      <c r="B25" s="34"/>
      <c r="C25" s="38"/>
      <c r="D25" s="38"/>
      <c r="E25" s="38"/>
      <c r="F25" s="38"/>
      <c r="G25" s="77" t="s">
        <v>64</v>
      </c>
      <c r="H25" s="38">
        <f>120 / SQRT(H21) * (LN(2) + 2 * ATANH(SQRT(H20/H19)))</f>
        <v>224.3887839686561</v>
      </c>
      <c r="I25" s="81" t="s">
        <v>16</v>
      </c>
      <c r="J25" s="35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7"/>
    </row>
    <row r="26" spans="2:27" x14ac:dyDescent="0.2">
      <c r="B26" s="34"/>
      <c r="C26" s="38"/>
      <c r="D26" s="38"/>
      <c r="E26" s="38"/>
      <c r="F26" s="38"/>
      <c r="G26" s="77"/>
      <c r="H26" s="38"/>
      <c r="I26" s="81"/>
      <c r="J26" s="35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7"/>
    </row>
    <row r="27" spans="2:27" ht="24" thickBot="1" x14ac:dyDescent="0.25">
      <c r="B27" s="42"/>
      <c r="C27" s="43"/>
      <c r="D27" s="43"/>
      <c r="E27" s="43"/>
      <c r="F27" s="43"/>
      <c r="G27" s="87"/>
      <c r="H27" s="43"/>
      <c r="I27" s="82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5"/>
    </row>
    <row r="28" spans="2:27" ht="24" thickTop="1" x14ac:dyDescent="0.2"/>
  </sheetData>
  <sheetProtection sheet="1" objects="1" scenarios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BB06-C11D-E747-81C8-7DE10321608A}">
  <dimension ref="B1:BA50"/>
  <sheetViews>
    <sheetView zoomScale="140" zoomScaleNormal="140" workbookViewId="0">
      <pane xSplit="30" topLeftCell="AE1" activePane="topRight" state="frozen"/>
      <selection pane="topRight" activeCell="M46" sqref="M46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7.1640625" style="2" customWidth="1"/>
    <col min="6" max="6" width="7.83203125" style="2" customWidth="1"/>
    <col min="7" max="7" width="10.83203125" style="84" customWidth="1"/>
    <col min="8" max="8" width="11.1640625" style="46" customWidth="1"/>
    <col min="9" max="9" width="10.83203125" style="88"/>
    <col min="10" max="10" width="4.6640625" style="2" customWidth="1"/>
    <col min="11" max="11" width="2.5" style="2" customWidth="1"/>
    <col min="12" max="12" width="7.5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53" ht="15" customHeight="1" thickBot="1" x14ac:dyDescent="0.25"/>
    <row r="2" spans="2:53" ht="24" thickTop="1" x14ac:dyDescent="0.2">
      <c r="B2" s="24"/>
      <c r="C2" s="25"/>
      <c r="D2" s="25"/>
      <c r="E2" s="25"/>
      <c r="F2" s="25"/>
      <c r="G2" s="85"/>
      <c r="H2" s="55"/>
      <c r="I2" s="89"/>
      <c r="J2" s="25"/>
      <c r="K2" s="25"/>
      <c r="L2" s="56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53" s="4" customFormat="1" ht="28" x14ac:dyDescent="0.2">
      <c r="B3" s="28"/>
      <c r="C3" s="29" t="s">
        <v>41</v>
      </c>
      <c r="D3" s="29"/>
      <c r="E3" s="29"/>
      <c r="F3" s="29"/>
      <c r="G3" s="78"/>
      <c r="H3" s="57"/>
      <c r="I3" s="90"/>
      <c r="J3" s="32"/>
      <c r="K3" s="32"/>
      <c r="L3" s="58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  <c r="AF3" s="5"/>
    </row>
    <row r="4" spans="2:53" x14ac:dyDescent="0.2">
      <c r="B4" s="34"/>
      <c r="C4" s="51" t="s">
        <v>52</v>
      </c>
      <c r="D4" s="35"/>
      <c r="E4" s="35"/>
      <c r="F4" s="35"/>
      <c r="G4" s="48"/>
      <c r="H4" s="59"/>
      <c r="I4" s="91"/>
      <c r="J4" s="35"/>
      <c r="K4" s="35"/>
      <c r="L4" s="6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7"/>
    </row>
    <row r="5" spans="2:53" x14ac:dyDescent="0.2">
      <c r="B5" s="34"/>
      <c r="C5" s="38"/>
      <c r="D5" s="38"/>
      <c r="E5" s="38"/>
      <c r="F5" s="38"/>
      <c r="G5" s="77"/>
      <c r="H5" s="61"/>
      <c r="I5" s="92"/>
      <c r="J5" s="35"/>
      <c r="K5" s="40"/>
      <c r="L5" s="62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37"/>
    </row>
    <row r="6" spans="2:53" x14ac:dyDescent="0.2">
      <c r="B6" s="34"/>
      <c r="C6" s="38"/>
      <c r="D6" s="38" t="s">
        <v>61</v>
      </c>
      <c r="E6" s="38"/>
      <c r="F6" s="38"/>
      <c r="G6" s="77"/>
      <c r="H6" s="74">
        <v>3</v>
      </c>
      <c r="I6" s="92" t="s">
        <v>33</v>
      </c>
      <c r="J6" s="35"/>
      <c r="K6" s="40"/>
      <c r="L6" s="62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37"/>
    </row>
    <row r="7" spans="2:53" x14ac:dyDescent="0.2">
      <c r="B7" s="34"/>
      <c r="C7" s="38"/>
      <c r="D7" s="38" t="s">
        <v>10</v>
      </c>
      <c r="E7" s="38"/>
      <c r="F7" s="38"/>
      <c r="G7" s="77" t="s">
        <v>79</v>
      </c>
      <c r="H7" s="72">
        <v>866</v>
      </c>
      <c r="I7" s="92" t="s">
        <v>14</v>
      </c>
      <c r="J7" s="35"/>
      <c r="K7" s="40"/>
      <c r="L7" s="62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7"/>
    </row>
    <row r="8" spans="2:53" ht="27" x14ac:dyDescent="0.2">
      <c r="B8" s="34"/>
      <c r="C8" s="38"/>
      <c r="D8" s="38" t="s">
        <v>7</v>
      </c>
      <c r="E8" s="38"/>
      <c r="F8" s="38"/>
      <c r="G8" s="77" t="s">
        <v>63</v>
      </c>
      <c r="H8" s="72">
        <v>224.56594160352319</v>
      </c>
      <c r="I8" s="92" t="s">
        <v>16</v>
      </c>
      <c r="J8" s="35"/>
      <c r="K8" s="40"/>
      <c r="L8" s="6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7"/>
    </row>
    <row r="9" spans="2:53" ht="27" x14ac:dyDescent="0.2">
      <c r="B9" s="34"/>
      <c r="C9" s="38"/>
      <c r="D9" s="38" t="s">
        <v>8</v>
      </c>
      <c r="E9" s="38"/>
      <c r="F9" s="38"/>
      <c r="G9" s="77" t="s">
        <v>75</v>
      </c>
      <c r="H9" s="72">
        <v>1100</v>
      </c>
      <c r="I9" s="92" t="s">
        <v>16</v>
      </c>
      <c r="J9" s="35"/>
      <c r="K9" s="40"/>
      <c r="L9" s="62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37"/>
      <c r="AF9" s="23" t="s">
        <v>18</v>
      </c>
      <c r="AG9" s="2">
        <f>TAN(2 * PI() * AG30)</f>
        <v>1.395721171328292</v>
      </c>
      <c r="AH9" s="2">
        <f t="shared" ref="AH9:BA9" si="0">TAN(2 * PI() * AH30)</f>
        <v>1.5229263338736017</v>
      </c>
      <c r="AI9" s="2">
        <f t="shared" si="0"/>
        <v>1.6669418042500073</v>
      </c>
      <c r="AJ9" s="2">
        <f t="shared" si="0"/>
        <v>1.8319198092039697</v>
      </c>
      <c r="AK9" s="2">
        <f t="shared" si="0"/>
        <v>2.0234797272570697</v>
      </c>
      <c r="AL9" s="2">
        <f t="shared" si="0"/>
        <v>2.2494216587934486</v>
      </c>
      <c r="AM9" s="2">
        <f t="shared" si="0"/>
        <v>2.5209011095256484</v>
      </c>
      <c r="AN9" s="2">
        <f t="shared" si="0"/>
        <v>2.8544544192109718</v>
      </c>
      <c r="AO9" s="2">
        <f t="shared" si="0"/>
        <v>3.2756924822755846</v>
      </c>
      <c r="AP9" s="2">
        <f t="shared" si="0"/>
        <v>3.8265210577758797</v>
      </c>
      <c r="AQ9" s="2">
        <f t="shared" si="0"/>
        <v>4.5805592868199865</v>
      </c>
      <c r="AR9" s="2">
        <f t="shared" si="0"/>
        <v>5.6801513064837303</v>
      </c>
      <c r="AS9" s="2">
        <f t="shared" si="0"/>
        <v>7.440993725812489</v>
      </c>
      <c r="AT9" s="2">
        <f t="shared" si="0"/>
        <v>10.731582489480969</v>
      </c>
      <c r="AU9" s="2">
        <f t="shared" si="0"/>
        <v>19.125388039555187</v>
      </c>
      <c r="AV9" s="2">
        <f t="shared" si="0"/>
        <v>86.476600189749036</v>
      </c>
      <c r="AW9" s="2">
        <f t="shared" si="0"/>
        <v>-34.339993240040307</v>
      </c>
      <c r="AX9" s="2">
        <f t="shared" si="0"/>
        <v>-14.305844591366558</v>
      </c>
      <c r="AY9" s="2">
        <f t="shared" si="0"/>
        <v>-9.0159025479701906</v>
      </c>
      <c r="AZ9" s="2">
        <f t="shared" si="0"/>
        <v>-6.5659574920990593</v>
      </c>
      <c r="BA9" s="2">
        <f t="shared" si="0"/>
        <v>-5.1492632802858767</v>
      </c>
    </row>
    <row r="10" spans="2:53" ht="27" x14ac:dyDescent="0.2">
      <c r="B10" s="34"/>
      <c r="C10" s="38"/>
      <c r="D10" s="38" t="s">
        <v>28</v>
      </c>
      <c r="E10" s="38"/>
      <c r="F10" s="38"/>
      <c r="G10" s="77" t="s">
        <v>76</v>
      </c>
      <c r="H10" s="72">
        <v>0</v>
      </c>
      <c r="I10" s="92" t="s">
        <v>16</v>
      </c>
      <c r="J10" s="35"/>
      <c r="K10" s="40"/>
      <c r="L10" s="62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37"/>
      <c r="AF10" s="23" t="s">
        <v>19</v>
      </c>
      <c r="AG10" s="2">
        <f>TAN(2 * PI() *AG37)</f>
        <v>0.15153881583883322</v>
      </c>
      <c r="AH10" s="2">
        <f t="shared" ref="AH10:BA10" si="1">TAN(2 * PI() *AH37)</f>
        <v>0.15813884906276771</v>
      </c>
      <c r="AI10" s="2">
        <f t="shared" si="1"/>
        <v>0.16475235077802583</v>
      </c>
      <c r="AJ10" s="2">
        <f t="shared" si="1"/>
        <v>0.17137991348260215</v>
      </c>
      <c r="AK10" s="2">
        <f t="shared" si="1"/>
        <v>0.17802213453844856</v>
      </c>
      <c r="AL10" s="2">
        <f t="shared" si="1"/>
        <v>0.1846796163943967</v>
      </c>
      <c r="AM10" s="2">
        <f t="shared" si="1"/>
        <v>0.19135296681288555</v>
      </c>
      <c r="AN10" s="2">
        <f t="shared" si="1"/>
        <v>0.1980427991006837</v>
      </c>
      <c r="AO10" s="2">
        <f t="shared" si="1"/>
        <v>0.20474973234379656</v>
      </c>
      <c r="AP10" s="2">
        <f t="shared" si="1"/>
        <v>0.21147439164675769</v>
      </c>
      <c r="AQ10" s="2">
        <f t="shared" si="1"/>
        <v>0.21821740837650749</v>
      </c>
      <c r="AR10" s="2">
        <f t="shared" si="1"/>
        <v>0.22497942041106919</v>
      </c>
      <c r="AS10" s="2">
        <f t="shared" si="1"/>
        <v>0.23176107239323818</v>
      </c>
      <c r="AT10" s="2">
        <f t="shared" si="1"/>
        <v>0.23856301598950777</v>
      </c>
      <c r="AU10" s="2">
        <f t="shared" si="1"/>
        <v>0.24538591015446137</v>
      </c>
      <c r="AV10" s="2">
        <f t="shared" si="1"/>
        <v>0.25223042140086904</v>
      </c>
      <c r="AW10" s="2">
        <f t="shared" si="1"/>
        <v>0.2590972240757331</v>
      </c>
      <c r="AX10" s="2">
        <f t="shared" si="1"/>
        <v>0.26598700064253705</v>
      </c>
      <c r="AY10" s="2">
        <f t="shared" si="1"/>
        <v>0.27290044196995999</v>
      </c>
      <c r="AZ10" s="2">
        <f t="shared" si="1"/>
        <v>0.2798382476273279</v>
      </c>
      <c r="BA10" s="2">
        <f t="shared" si="1"/>
        <v>0.28680112618708142</v>
      </c>
    </row>
    <row r="11" spans="2:53" x14ac:dyDescent="0.2">
      <c r="B11" s="34"/>
      <c r="C11" s="38"/>
      <c r="D11" s="38" t="s">
        <v>25</v>
      </c>
      <c r="E11" s="38"/>
      <c r="F11" s="38"/>
      <c r="G11" s="77" t="s">
        <v>77</v>
      </c>
      <c r="H11" s="75">
        <v>8.6599999999999996E-2</v>
      </c>
      <c r="I11" s="92" t="s">
        <v>15</v>
      </c>
      <c r="J11" s="35"/>
      <c r="K11" s="40"/>
      <c r="L11" s="6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7"/>
      <c r="AF11" s="23" t="s">
        <v>22</v>
      </c>
      <c r="AG11" s="2">
        <f>AG31/AG18</f>
        <v>0.30247766575216922</v>
      </c>
      <c r="AH11" s="2">
        <f t="shared" ref="AH11:BA11" si="2">AH31/AH18</f>
        <v>0.28701566743479062</v>
      </c>
      <c r="AI11" s="2">
        <f t="shared" si="2"/>
        <v>0.27351840957300916</v>
      </c>
      <c r="AJ11" s="2">
        <f t="shared" si="2"/>
        <v>0.26173323686010347</v>
      </c>
      <c r="AK11" s="2">
        <f t="shared" si="2"/>
        <v>0.2514514735035781</v>
      </c>
      <c r="AL11" s="2">
        <f t="shared" si="2"/>
        <v>0.24250025393856608</v>
      </c>
      <c r="AM11" s="2">
        <f t="shared" si="2"/>
        <v>0.23473612521342249</v>
      </c>
      <c r="AN11" s="2">
        <f t="shared" si="2"/>
        <v>0.22804001300075505</v>
      </c>
      <c r="AO11" s="2">
        <f t="shared" si="2"/>
        <v>0.22231324660750623</v>
      </c>
      <c r="AP11" s="2">
        <f t="shared" si="2"/>
        <v>0.21747441432451445</v>
      </c>
      <c r="AQ11" s="2">
        <f t="shared" si="2"/>
        <v>0.21345687673942756</v>
      </c>
      <c r="AR11" s="2">
        <f t="shared" si="2"/>
        <v>0.21020680773886388</v>
      </c>
      <c r="AS11" s="2">
        <f t="shared" si="2"/>
        <v>0.20768166477047581</v>
      </c>
      <c r="AT11" s="2">
        <f t="shared" si="2"/>
        <v>0.20584901434711991</v>
      </c>
      <c r="AU11" s="2">
        <f t="shared" si="2"/>
        <v>0.20468565780935352</v>
      </c>
      <c r="AV11" s="2">
        <f t="shared" si="2"/>
        <v>0.20417701753824849</v>
      </c>
      <c r="AW11" s="2">
        <f t="shared" si="2"/>
        <v>0.2043167562751286</v>
      </c>
      <c r="AX11" s="2">
        <f t="shared" si="2"/>
        <v>0.20510661285142953</v>
      </c>
      <c r="AY11" s="2">
        <f t="shared" si="2"/>
        <v>0.20655644718744928</v>
      </c>
      <c r="AZ11" s="2">
        <f t="shared" si="2"/>
        <v>0.20868449651232743</v>
      </c>
      <c r="BA11" s="2">
        <f t="shared" si="2"/>
        <v>0.2115178539771895</v>
      </c>
    </row>
    <row r="12" spans="2:53" ht="27" x14ac:dyDescent="0.2">
      <c r="B12" s="34"/>
      <c r="C12" s="38"/>
      <c r="D12" s="38" t="s">
        <v>24</v>
      </c>
      <c r="E12" s="38"/>
      <c r="F12" s="38"/>
      <c r="G12" s="77" t="s">
        <v>78</v>
      </c>
      <c r="H12" s="75">
        <v>1.184561423281716E-2</v>
      </c>
      <c r="I12" s="92" t="s">
        <v>15</v>
      </c>
      <c r="J12" s="35"/>
      <c r="K12" s="40"/>
      <c r="L12" s="62"/>
      <c r="M12" s="40"/>
      <c r="N12" s="94">
        <f>H32</f>
        <v>49.999779458140218</v>
      </c>
      <c r="O12" s="95" t="s">
        <v>70</v>
      </c>
      <c r="P12" s="96">
        <f>H33</f>
        <v>-4.636531283307642E-5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37"/>
      <c r="AF12" s="23" t="s">
        <v>23</v>
      </c>
      <c r="AG12" s="2">
        <f>AG32/AG18</f>
        <v>-0.67223235191160946</v>
      </c>
      <c r="AH12" s="2">
        <f t="shared" ref="AH12:BA12" si="3">AH32/AH18</f>
        <v>-0.61815564211327811</v>
      </c>
      <c r="AI12" s="2">
        <f t="shared" si="3"/>
        <v>-0.56640308626601032</v>
      </c>
      <c r="AJ12" s="2">
        <f t="shared" si="3"/>
        <v>-0.51670762600784126</v>
      </c>
      <c r="AK12" s="2">
        <f t="shared" si="3"/>
        <v>-0.46882899475693934</v>
      </c>
      <c r="AL12" s="2">
        <f t="shared" si="3"/>
        <v>-0.42255010831863155</v>
      </c>
      <c r="AM12" s="2">
        <f t="shared" si="3"/>
        <v>-0.37767384666745413</v>
      </c>
      <c r="AN12" s="2">
        <f t="shared" si="3"/>
        <v>-0.33402020005156213</v>
      </c>
      <c r="AO12" s="2">
        <f t="shared" si="3"/>
        <v>-0.29142374187123543</v>
      </c>
      <c r="AP12" s="2">
        <f t="shared" si="3"/>
        <v>-0.24973138726493457</v>
      </c>
      <c r="AQ12" s="2">
        <f t="shared" si="3"/>
        <v>-0.20880039663406777</v>
      </c>
      <c r="AR12" s="2">
        <f t="shared" si="3"/>
        <v>-0.16849658549939045</v>
      </c>
      <c r="AS12" s="2">
        <f t="shared" si="3"/>
        <v>-0.12869270498630553</v>
      </c>
      <c r="AT12" s="2">
        <f t="shared" si="3"/>
        <v>-8.9266960250514935E-2</v>
      </c>
      <c r="AU12" s="2">
        <f t="shared" si="3"/>
        <v>-5.0101636932273597E-2</v>
      </c>
      <c r="AV12" s="2">
        <f t="shared" si="3"/>
        <v>-1.1081808084390726E-2</v>
      </c>
      <c r="AW12" s="2">
        <f t="shared" si="3"/>
        <v>2.790590413376301E-2</v>
      </c>
      <c r="AX12" s="2">
        <f t="shared" si="3"/>
        <v>6.697453640679725E-2</v>
      </c>
      <c r="AY12" s="2">
        <f t="shared" si="3"/>
        <v>0.10623798553693826</v>
      </c>
      <c r="AZ12" s="2">
        <f t="shared" si="3"/>
        <v>0.14581222655712658</v>
      </c>
      <c r="BA12" s="2">
        <f t="shared" si="3"/>
        <v>0.18581657160817686</v>
      </c>
    </row>
    <row r="13" spans="2:53" x14ac:dyDescent="0.2">
      <c r="B13" s="34"/>
      <c r="C13" s="38"/>
      <c r="D13" s="38"/>
      <c r="E13" s="38"/>
      <c r="F13" s="38"/>
      <c r="G13" s="77"/>
      <c r="H13" s="61"/>
      <c r="I13" s="92"/>
      <c r="J13" s="35"/>
      <c r="K13" s="40"/>
      <c r="L13" s="6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37"/>
    </row>
    <row r="14" spans="2:53" x14ac:dyDescent="0.2">
      <c r="B14" s="34"/>
      <c r="C14" s="51" t="s">
        <v>53</v>
      </c>
      <c r="D14" s="35"/>
      <c r="E14" s="35"/>
      <c r="F14" s="35"/>
      <c r="G14" s="48"/>
      <c r="H14" s="59"/>
      <c r="I14" s="91"/>
      <c r="J14" s="35"/>
      <c r="K14" s="35"/>
      <c r="L14" s="60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Q14" s="2" t="s">
        <v>32</v>
      </c>
    </row>
    <row r="15" spans="2:53" x14ac:dyDescent="0.2">
      <c r="B15" s="34"/>
      <c r="C15" s="38"/>
      <c r="D15" s="38"/>
      <c r="E15" s="38"/>
      <c r="F15" s="38"/>
      <c r="G15" s="77"/>
      <c r="H15" s="61"/>
      <c r="I15" s="92"/>
      <c r="J15" s="35"/>
      <c r="K15" s="40"/>
      <c r="L15" s="62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37"/>
      <c r="AQ15" s="2">
        <f>H6</f>
        <v>3</v>
      </c>
    </row>
    <row r="16" spans="2:53" x14ac:dyDescent="0.2">
      <c r="B16" s="34"/>
      <c r="C16" s="38"/>
      <c r="D16" s="38" t="s">
        <v>11</v>
      </c>
      <c r="E16" s="38"/>
      <c r="F16" s="38"/>
      <c r="G16" s="77" t="s">
        <v>17</v>
      </c>
      <c r="H16" s="63">
        <f>300/H7</f>
        <v>0.3464203233256351</v>
      </c>
      <c r="I16" s="92" t="s">
        <v>15</v>
      </c>
      <c r="J16" s="35"/>
      <c r="K16" s="40"/>
      <c r="L16" s="64" t="s">
        <v>18</v>
      </c>
      <c r="M16" s="64">
        <f>TAN(2 * PI() * H21)</f>
        <v>4.5805592868199865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37"/>
      <c r="AF16" s="23" t="s">
        <v>35</v>
      </c>
      <c r="AG16" s="2">
        <f t="shared" ref="AG16:AO16" si="4">AH16-$AQ15</f>
        <v>-30</v>
      </c>
      <c r="AH16" s="2">
        <f t="shared" si="4"/>
        <v>-27</v>
      </c>
      <c r="AI16" s="2">
        <f t="shared" si="4"/>
        <v>-24</v>
      </c>
      <c r="AJ16" s="2">
        <f t="shared" si="4"/>
        <v>-21</v>
      </c>
      <c r="AK16" s="2">
        <f t="shared" si="4"/>
        <v>-18</v>
      </c>
      <c r="AL16" s="2">
        <f t="shared" si="4"/>
        <v>-15</v>
      </c>
      <c r="AM16" s="2">
        <f t="shared" si="4"/>
        <v>-12</v>
      </c>
      <c r="AN16" s="2">
        <f t="shared" si="4"/>
        <v>-9</v>
      </c>
      <c r="AO16" s="2">
        <f t="shared" si="4"/>
        <v>-6</v>
      </c>
      <c r="AP16" s="2">
        <f>-1*$AQ15</f>
        <v>-3</v>
      </c>
      <c r="AQ16" s="2">
        <v>0</v>
      </c>
      <c r="AR16" s="2">
        <f>AQ15</f>
        <v>3</v>
      </c>
      <c r="AS16" s="2">
        <f t="shared" ref="AS16:BA16" si="5">AR16+$AQ15</f>
        <v>6</v>
      </c>
      <c r="AT16" s="2">
        <f t="shared" si="5"/>
        <v>9</v>
      </c>
      <c r="AU16" s="2">
        <f t="shared" si="5"/>
        <v>12</v>
      </c>
      <c r="AV16" s="2">
        <f t="shared" si="5"/>
        <v>15</v>
      </c>
      <c r="AW16" s="2">
        <f t="shared" si="5"/>
        <v>18</v>
      </c>
      <c r="AX16" s="2">
        <f t="shared" si="5"/>
        <v>21</v>
      </c>
      <c r="AY16" s="2">
        <f t="shared" si="5"/>
        <v>24</v>
      </c>
      <c r="AZ16" s="2">
        <f t="shared" si="5"/>
        <v>27</v>
      </c>
      <c r="BA16" s="2">
        <f t="shared" si="5"/>
        <v>30</v>
      </c>
    </row>
    <row r="17" spans="2:53" x14ac:dyDescent="0.2">
      <c r="B17" s="34"/>
      <c r="C17" s="38"/>
      <c r="D17" s="38" t="s">
        <v>27</v>
      </c>
      <c r="E17" s="38"/>
      <c r="F17" s="38"/>
      <c r="G17" s="77" t="s">
        <v>17</v>
      </c>
      <c r="H17" s="63">
        <f>H27+H21</f>
        <v>0.24998533333333334</v>
      </c>
      <c r="I17" s="92"/>
      <c r="J17" s="35"/>
      <c r="K17" s="40"/>
      <c r="L17" s="64" t="s">
        <v>19</v>
      </c>
      <c r="M17" s="64">
        <f>TAN(2 * PI() * H27)</f>
        <v>0.21821740837650749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37"/>
      <c r="AG17" s="2">
        <f t="shared" ref="AG17:AP17" si="6">$AQ17 + AG16*$AQ17/100</f>
        <v>606.20000000000005</v>
      </c>
      <c r="AH17" s="2">
        <f t="shared" si="6"/>
        <v>632.18000000000006</v>
      </c>
      <c r="AI17" s="2">
        <f t="shared" si="6"/>
        <v>658.16</v>
      </c>
      <c r="AJ17" s="2">
        <f t="shared" si="6"/>
        <v>684.14</v>
      </c>
      <c r="AK17" s="2">
        <f t="shared" si="6"/>
        <v>710.12</v>
      </c>
      <c r="AL17" s="2">
        <f t="shared" si="6"/>
        <v>736.1</v>
      </c>
      <c r="AM17" s="2">
        <f t="shared" si="6"/>
        <v>762.08</v>
      </c>
      <c r="AN17" s="2">
        <f t="shared" si="6"/>
        <v>788.06</v>
      </c>
      <c r="AO17" s="2">
        <f t="shared" si="6"/>
        <v>814.04</v>
      </c>
      <c r="AP17" s="2">
        <f t="shared" si="6"/>
        <v>840.02</v>
      </c>
      <c r="AQ17" s="2">
        <f t="shared" ref="AQ17:AQ22" si="7">$H7</f>
        <v>866</v>
      </c>
      <c r="AR17" s="2">
        <f t="shared" ref="AR17:BA17" si="8">$AQ17 + AR16*$AQ17/100</f>
        <v>891.98</v>
      </c>
      <c r="AS17" s="2">
        <f t="shared" si="8"/>
        <v>917.96</v>
      </c>
      <c r="AT17" s="2">
        <f t="shared" si="8"/>
        <v>943.94</v>
      </c>
      <c r="AU17" s="2">
        <f t="shared" si="8"/>
        <v>969.92</v>
      </c>
      <c r="AV17" s="2">
        <f t="shared" si="8"/>
        <v>995.9</v>
      </c>
      <c r="AW17" s="2">
        <f t="shared" si="8"/>
        <v>1021.88</v>
      </c>
      <c r="AX17" s="2">
        <f t="shared" si="8"/>
        <v>1047.8600000000001</v>
      </c>
      <c r="AY17" s="2">
        <f t="shared" si="8"/>
        <v>1073.8399999999999</v>
      </c>
      <c r="AZ17" s="2">
        <f t="shared" si="8"/>
        <v>1099.82</v>
      </c>
      <c r="BA17" s="2">
        <f t="shared" si="8"/>
        <v>1125.8</v>
      </c>
    </row>
    <row r="18" spans="2:53" x14ac:dyDescent="0.2">
      <c r="B18" s="34"/>
      <c r="C18" s="38"/>
      <c r="D18" s="38"/>
      <c r="E18" s="38"/>
      <c r="F18" s="38"/>
      <c r="G18" s="77"/>
      <c r="H18" s="61"/>
      <c r="I18" s="92"/>
      <c r="J18" s="35"/>
      <c r="K18" s="40"/>
      <c r="L18" s="64" t="s">
        <v>22</v>
      </c>
      <c r="M18" s="64">
        <f>H22/H8</f>
        <v>0.21345687673942756</v>
      </c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37"/>
      <c r="AG18" s="2">
        <f t="shared" ref="AG18:AP18" si="9">$H8</f>
        <v>224.56594160352319</v>
      </c>
      <c r="AH18" s="2">
        <f t="shared" si="9"/>
        <v>224.56594160352319</v>
      </c>
      <c r="AI18" s="2">
        <f t="shared" si="9"/>
        <v>224.56594160352319</v>
      </c>
      <c r="AJ18" s="2">
        <f t="shared" si="9"/>
        <v>224.56594160352319</v>
      </c>
      <c r="AK18" s="2">
        <f t="shared" si="9"/>
        <v>224.56594160352319</v>
      </c>
      <c r="AL18" s="2">
        <f t="shared" si="9"/>
        <v>224.56594160352319</v>
      </c>
      <c r="AM18" s="2">
        <f t="shared" si="9"/>
        <v>224.56594160352319</v>
      </c>
      <c r="AN18" s="2">
        <f t="shared" si="9"/>
        <v>224.56594160352319</v>
      </c>
      <c r="AO18" s="2">
        <f t="shared" si="9"/>
        <v>224.56594160352319</v>
      </c>
      <c r="AP18" s="2">
        <f t="shared" si="9"/>
        <v>224.56594160352319</v>
      </c>
      <c r="AQ18" s="2">
        <f t="shared" si="7"/>
        <v>224.56594160352319</v>
      </c>
      <c r="AR18" s="2">
        <f t="shared" ref="AR18:BA18" si="10">$H8</f>
        <v>224.56594160352319</v>
      </c>
      <c r="AS18" s="2">
        <f t="shared" si="10"/>
        <v>224.56594160352319</v>
      </c>
      <c r="AT18" s="2">
        <f t="shared" si="10"/>
        <v>224.56594160352319</v>
      </c>
      <c r="AU18" s="2">
        <f t="shared" si="10"/>
        <v>224.56594160352319</v>
      </c>
      <c r="AV18" s="2">
        <f t="shared" si="10"/>
        <v>224.56594160352319</v>
      </c>
      <c r="AW18" s="2">
        <f t="shared" si="10"/>
        <v>224.56594160352319</v>
      </c>
      <c r="AX18" s="2">
        <f t="shared" si="10"/>
        <v>224.56594160352319</v>
      </c>
      <c r="AY18" s="2">
        <f t="shared" si="10"/>
        <v>224.56594160352319</v>
      </c>
      <c r="AZ18" s="2">
        <f t="shared" si="10"/>
        <v>224.56594160352319</v>
      </c>
      <c r="BA18" s="2">
        <f t="shared" si="10"/>
        <v>224.56594160352319</v>
      </c>
    </row>
    <row r="19" spans="2:53" x14ac:dyDescent="0.2">
      <c r="B19" s="34"/>
      <c r="C19" s="38" t="s">
        <v>54</v>
      </c>
      <c r="D19" s="38"/>
      <c r="E19" s="38"/>
      <c r="F19" s="38"/>
      <c r="G19" s="77"/>
      <c r="H19" s="61"/>
      <c r="I19" s="92"/>
      <c r="J19" s="35"/>
      <c r="K19" s="40"/>
      <c r="L19" s="64" t="s">
        <v>23</v>
      </c>
      <c r="M19" s="64">
        <f>H23/H8</f>
        <v>-0.20880039663406777</v>
      </c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37"/>
      <c r="AG19" s="2">
        <f t="shared" ref="AG19:AP19" si="11">$H9</f>
        <v>1100</v>
      </c>
      <c r="AH19" s="2">
        <f t="shared" si="11"/>
        <v>1100</v>
      </c>
      <c r="AI19" s="2">
        <f t="shared" si="11"/>
        <v>1100</v>
      </c>
      <c r="AJ19" s="2">
        <f t="shared" si="11"/>
        <v>1100</v>
      </c>
      <c r="AK19" s="2">
        <f t="shared" si="11"/>
        <v>1100</v>
      </c>
      <c r="AL19" s="2">
        <f t="shared" si="11"/>
        <v>1100</v>
      </c>
      <c r="AM19" s="2">
        <f t="shared" si="11"/>
        <v>1100</v>
      </c>
      <c r="AN19" s="2">
        <f t="shared" si="11"/>
        <v>1100</v>
      </c>
      <c r="AO19" s="2">
        <f t="shared" si="11"/>
        <v>1100</v>
      </c>
      <c r="AP19" s="2">
        <f t="shared" si="11"/>
        <v>1100</v>
      </c>
      <c r="AQ19" s="2">
        <f t="shared" si="7"/>
        <v>1100</v>
      </c>
      <c r="AR19" s="2">
        <f t="shared" ref="AR19:BA19" si="12">$H9</f>
        <v>1100</v>
      </c>
      <c r="AS19" s="2">
        <f t="shared" si="12"/>
        <v>1100</v>
      </c>
      <c r="AT19" s="2">
        <f t="shared" si="12"/>
        <v>1100</v>
      </c>
      <c r="AU19" s="2">
        <f t="shared" si="12"/>
        <v>1100</v>
      </c>
      <c r="AV19" s="2">
        <f t="shared" si="12"/>
        <v>1100</v>
      </c>
      <c r="AW19" s="2">
        <f t="shared" si="12"/>
        <v>1100</v>
      </c>
      <c r="AX19" s="2">
        <f t="shared" si="12"/>
        <v>1100</v>
      </c>
      <c r="AY19" s="2">
        <f t="shared" si="12"/>
        <v>1100</v>
      </c>
      <c r="AZ19" s="2">
        <f t="shared" si="12"/>
        <v>1100</v>
      </c>
      <c r="BA19" s="2">
        <f t="shared" si="12"/>
        <v>1100</v>
      </c>
    </row>
    <row r="20" spans="2:53" ht="27" x14ac:dyDescent="0.2">
      <c r="B20" s="34"/>
      <c r="C20" s="38"/>
      <c r="D20" s="38" t="s">
        <v>9</v>
      </c>
      <c r="E20" s="38"/>
      <c r="F20" s="38"/>
      <c r="G20" s="77" t="s">
        <v>69</v>
      </c>
      <c r="H20" s="63">
        <f>H11-H12</f>
        <v>7.4754385767182838E-2</v>
      </c>
      <c r="I20" s="92" t="s">
        <v>15</v>
      </c>
      <c r="J20" s="35"/>
      <c r="K20" s="40"/>
      <c r="L20" s="62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37"/>
      <c r="AG20" s="2">
        <f t="shared" ref="AG20:AP20" si="13">$H10</f>
        <v>0</v>
      </c>
      <c r="AH20" s="2">
        <f t="shared" si="13"/>
        <v>0</v>
      </c>
      <c r="AI20" s="2">
        <f t="shared" si="13"/>
        <v>0</v>
      </c>
      <c r="AJ20" s="2">
        <f t="shared" si="13"/>
        <v>0</v>
      </c>
      <c r="AK20" s="2">
        <f t="shared" si="13"/>
        <v>0</v>
      </c>
      <c r="AL20" s="2">
        <f t="shared" si="13"/>
        <v>0</v>
      </c>
      <c r="AM20" s="2">
        <f t="shared" si="13"/>
        <v>0</v>
      </c>
      <c r="AN20" s="2">
        <f t="shared" si="13"/>
        <v>0</v>
      </c>
      <c r="AO20" s="2">
        <f t="shared" si="13"/>
        <v>0</v>
      </c>
      <c r="AP20" s="2">
        <f t="shared" si="13"/>
        <v>0</v>
      </c>
      <c r="AQ20" s="2">
        <f t="shared" si="7"/>
        <v>0</v>
      </c>
      <c r="AR20" s="2">
        <f t="shared" ref="AR20:BA20" si="14">$H10</f>
        <v>0</v>
      </c>
      <c r="AS20" s="2">
        <f t="shared" si="14"/>
        <v>0</v>
      </c>
      <c r="AT20" s="2">
        <f t="shared" si="14"/>
        <v>0</v>
      </c>
      <c r="AU20" s="2">
        <f t="shared" si="14"/>
        <v>0</v>
      </c>
      <c r="AV20" s="2">
        <f t="shared" si="14"/>
        <v>0</v>
      </c>
      <c r="AW20" s="2">
        <f t="shared" si="14"/>
        <v>0</v>
      </c>
      <c r="AX20" s="2">
        <f t="shared" si="14"/>
        <v>0</v>
      </c>
      <c r="AY20" s="2">
        <f t="shared" si="14"/>
        <v>0</v>
      </c>
      <c r="AZ20" s="2">
        <f t="shared" si="14"/>
        <v>0</v>
      </c>
      <c r="BA20" s="2">
        <f t="shared" si="14"/>
        <v>0</v>
      </c>
    </row>
    <row r="21" spans="2:53" x14ac:dyDescent="0.2">
      <c r="B21" s="34"/>
      <c r="C21" s="38"/>
      <c r="D21" s="38" t="s">
        <v>21</v>
      </c>
      <c r="E21" s="38"/>
      <c r="F21" s="38"/>
      <c r="G21" s="77"/>
      <c r="H21" s="63">
        <f>H20/H16</f>
        <v>0.2157909935812678</v>
      </c>
      <c r="I21" s="92" t="s">
        <v>20</v>
      </c>
      <c r="J21" s="35"/>
      <c r="K21" s="40"/>
      <c r="L21" s="62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7"/>
      <c r="AG21" s="2">
        <f t="shared" ref="AG21:AP21" si="15">$H11</f>
        <v>8.6599999999999996E-2</v>
      </c>
      <c r="AH21" s="2">
        <f t="shared" si="15"/>
        <v>8.6599999999999996E-2</v>
      </c>
      <c r="AI21" s="2">
        <f t="shared" si="15"/>
        <v>8.6599999999999996E-2</v>
      </c>
      <c r="AJ21" s="2">
        <f t="shared" si="15"/>
        <v>8.6599999999999996E-2</v>
      </c>
      <c r="AK21" s="2">
        <f t="shared" si="15"/>
        <v>8.6599999999999996E-2</v>
      </c>
      <c r="AL21" s="2">
        <f t="shared" si="15"/>
        <v>8.6599999999999996E-2</v>
      </c>
      <c r="AM21" s="2">
        <f t="shared" si="15"/>
        <v>8.6599999999999996E-2</v>
      </c>
      <c r="AN21" s="2">
        <f t="shared" si="15"/>
        <v>8.6599999999999996E-2</v>
      </c>
      <c r="AO21" s="2">
        <f t="shared" si="15"/>
        <v>8.6599999999999996E-2</v>
      </c>
      <c r="AP21" s="2">
        <f t="shared" si="15"/>
        <v>8.6599999999999996E-2</v>
      </c>
      <c r="AQ21" s="2">
        <f t="shared" si="7"/>
        <v>8.6599999999999996E-2</v>
      </c>
      <c r="AR21" s="2">
        <f t="shared" ref="AR21:BA21" si="16">$H11</f>
        <v>8.6599999999999996E-2</v>
      </c>
      <c r="AS21" s="2">
        <f t="shared" si="16"/>
        <v>8.6599999999999996E-2</v>
      </c>
      <c r="AT21" s="2">
        <f t="shared" si="16"/>
        <v>8.6599999999999996E-2</v>
      </c>
      <c r="AU21" s="2">
        <f t="shared" si="16"/>
        <v>8.6599999999999996E-2</v>
      </c>
      <c r="AV21" s="2">
        <f t="shared" si="16"/>
        <v>8.6599999999999996E-2</v>
      </c>
      <c r="AW21" s="2">
        <f t="shared" si="16"/>
        <v>8.6599999999999996E-2</v>
      </c>
      <c r="AX21" s="2">
        <f t="shared" si="16"/>
        <v>8.6599999999999996E-2</v>
      </c>
      <c r="AY21" s="2">
        <f t="shared" si="16"/>
        <v>8.6599999999999996E-2</v>
      </c>
      <c r="AZ21" s="2">
        <f t="shared" si="16"/>
        <v>8.6599999999999996E-2</v>
      </c>
      <c r="BA21" s="2">
        <f t="shared" si="16"/>
        <v>8.6599999999999996E-2</v>
      </c>
    </row>
    <row r="22" spans="2:53" ht="27" x14ac:dyDescent="0.2">
      <c r="B22" s="34"/>
      <c r="C22" s="38"/>
      <c r="D22" s="38" t="s">
        <v>12</v>
      </c>
      <c r="E22" s="38"/>
      <c r="F22" s="38"/>
      <c r="G22" s="77" t="s">
        <v>74</v>
      </c>
      <c r="H22" s="61">
        <f>H8*(H9*H8 + H9*H8*M16*M16)/(H8*H8 + H9*H9*M16*M16)</f>
        <v>47.935144516736734</v>
      </c>
      <c r="I22" s="92" t="s">
        <v>16</v>
      </c>
      <c r="J22" s="35"/>
      <c r="K22" s="40"/>
      <c r="L22" s="62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37"/>
      <c r="AF22" s="23" t="s">
        <v>60</v>
      </c>
      <c r="AG22" s="2">
        <f t="shared" ref="AG22:AP22" si="17">$H12</f>
        <v>1.184561423281716E-2</v>
      </c>
      <c r="AH22" s="2">
        <f t="shared" si="17"/>
        <v>1.184561423281716E-2</v>
      </c>
      <c r="AI22" s="2">
        <f t="shared" si="17"/>
        <v>1.184561423281716E-2</v>
      </c>
      <c r="AJ22" s="2">
        <f t="shared" si="17"/>
        <v>1.184561423281716E-2</v>
      </c>
      <c r="AK22" s="2">
        <f t="shared" si="17"/>
        <v>1.184561423281716E-2</v>
      </c>
      <c r="AL22" s="2">
        <f t="shared" si="17"/>
        <v>1.184561423281716E-2</v>
      </c>
      <c r="AM22" s="2">
        <f t="shared" si="17"/>
        <v>1.184561423281716E-2</v>
      </c>
      <c r="AN22" s="2">
        <f t="shared" si="17"/>
        <v>1.184561423281716E-2</v>
      </c>
      <c r="AO22" s="2">
        <f t="shared" si="17"/>
        <v>1.184561423281716E-2</v>
      </c>
      <c r="AP22" s="2">
        <f t="shared" si="17"/>
        <v>1.184561423281716E-2</v>
      </c>
      <c r="AQ22" s="2">
        <f t="shared" si="7"/>
        <v>1.184561423281716E-2</v>
      </c>
      <c r="AR22" s="2">
        <f t="shared" ref="AR22:BA22" si="18">$H12</f>
        <v>1.184561423281716E-2</v>
      </c>
      <c r="AS22" s="2">
        <f t="shared" si="18"/>
        <v>1.184561423281716E-2</v>
      </c>
      <c r="AT22" s="2">
        <f t="shared" si="18"/>
        <v>1.184561423281716E-2</v>
      </c>
      <c r="AU22" s="2">
        <f t="shared" si="18"/>
        <v>1.184561423281716E-2</v>
      </c>
      <c r="AV22" s="2">
        <f t="shared" si="18"/>
        <v>1.184561423281716E-2</v>
      </c>
      <c r="AW22" s="2">
        <f t="shared" si="18"/>
        <v>1.184561423281716E-2</v>
      </c>
      <c r="AX22" s="2">
        <f t="shared" si="18"/>
        <v>1.184561423281716E-2</v>
      </c>
      <c r="AY22" s="2">
        <f t="shared" si="18"/>
        <v>1.184561423281716E-2</v>
      </c>
      <c r="AZ22" s="2">
        <f t="shared" si="18"/>
        <v>1.184561423281716E-2</v>
      </c>
      <c r="BA22" s="2">
        <f t="shared" si="18"/>
        <v>1.184561423281716E-2</v>
      </c>
    </row>
    <row r="23" spans="2:53" ht="27" x14ac:dyDescent="0.2">
      <c r="B23" s="34"/>
      <c r="C23" s="38"/>
      <c r="D23" s="38"/>
      <c r="E23" s="38"/>
      <c r="F23" s="38"/>
      <c r="G23" s="77" t="s">
        <v>80</v>
      </c>
      <c r="H23" s="61">
        <f>H8*(H8*H8*M16 - H9*H9*M16)/(H8*H8 + H9*H9*M16*M16)</f>
        <v>-46.889457677318539</v>
      </c>
      <c r="I23" s="92" t="s">
        <v>16</v>
      </c>
      <c r="J23" s="35"/>
      <c r="K23" s="40"/>
      <c r="L23" s="6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37"/>
    </row>
    <row r="24" spans="2:53" x14ac:dyDescent="0.2">
      <c r="B24" s="34"/>
      <c r="C24" s="38"/>
      <c r="D24" s="38"/>
      <c r="E24" s="38"/>
      <c r="F24" s="38"/>
      <c r="G24" s="77"/>
      <c r="H24" s="61"/>
      <c r="I24" s="92"/>
      <c r="J24" s="35"/>
      <c r="K24" s="40"/>
      <c r="L24" s="62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37"/>
    </row>
    <row r="25" spans="2:53" x14ac:dyDescent="0.2">
      <c r="B25" s="34"/>
      <c r="C25" s="38" t="s">
        <v>55</v>
      </c>
      <c r="D25" s="38"/>
      <c r="E25" s="38"/>
      <c r="F25" s="38"/>
      <c r="G25" s="77"/>
      <c r="H25" s="61"/>
      <c r="I25" s="92"/>
      <c r="J25" s="35"/>
      <c r="K25" s="40"/>
      <c r="L25" s="6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7"/>
      <c r="AG25" s="2">
        <f>300/AG17</f>
        <v>0.49488617617947867</v>
      </c>
      <c r="AH25" s="2">
        <f t="shared" ref="AH25:BA25" si="19">300/AH17</f>
        <v>0.47454838811730832</v>
      </c>
      <c r="AI25" s="2">
        <f t="shared" si="19"/>
        <v>0.45581621490215146</v>
      </c>
      <c r="AJ25" s="2">
        <f t="shared" si="19"/>
        <v>0.43850673838687987</v>
      </c>
      <c r="AK25" s="2">
        <f t="shared" si="19"/>
        <v>0.42246380893370133</v>
      </c>
      <c r="AL25" s="2">
        <f t="shared" si="19"/>
        <v>0.40755332155957069</v>
      </c>
      <c r="AM25" s="2">
        <f t="shared" si="19"/>
        <v>0.39365945832458532</v>
      </c>
      <c r="AN25" s="2">
        <f t="shared" si="19"/>
        <v>0.38068167398421443</v>
      </c>
      <c r="AO25" s="2">
        <f t="shared" si="19"/>
        <v>0.36853225885705865</v>
      </c>
      <c r="AP25" s="2">
        <f t="shared" si="19"/>
        <v>0.35713435394395371</v>
      </c>
      <c r="AQ25" s="2">
        <f t="shared" si="19"/>
        <v>0.3464203233256351</v>
      </c>
      <c r="AR25" s="2">
        <f t="shared" si="19"/>
        <v>0.33633041099576222</v>
      </c>
      <c r="AS25" s="2">
        <f t="shared" si="19"/>
        <v>0.32681162577890105</v>
      </c>
      <c r="AT25" s="2">
        <f t="shared" si="19"/>
        <v>0.31781681039049092</v>
      </c>
      <c r="AU25" s="2">
        <f t="shared" si="19"/>
        <v>0.3093038601121742</v>
      </c>
      <c r="AV25" s="2">
        <f t="shared" si="19"/>
        <v>0.30123506376142184</v>
      </c>
      <c r="AW25" s="2">
        <f t="shared" si="19"/>
        <v>0.29357654519121618</v>
      </c>
      <c r="AX25" s="2">
        <f t="shared" si="19"/>
        <v>0.28629778787242566</v>
      </c>
      <c r="AY25" s="2">
        <f t="shared" si="19"/>
        <v>0.27937122848841545</v>
      </c>
      <c r="AZ25" s="2">
        <f t="shared" si="19"/>
        <v>0.27277190813042135</v>
      </c>
      <c r="BA25" s="2">
        <f t="shared" si="19"/>
        <v>0.26647717178895008</v>
      </c>
    </row>
    <row r="26" spans="2:53" ht="27" x14ac:dyDescent="0.2">
      <c r="B26" s="34"/>
      <c r="C26" s="38"/>
      <c r="D26" s="38" t="s">
        <v>9</v>
      </c>
      <c r="E26" s="38"/>
      <c r="F26" s="38"/>
      <c r="G26" s="77" t="s">
        <v>68</v>
      </c>
      <c r="H26" s="63">
        <f>H12</f>
        <v>1.184561423281716E-2</v>
      </c>
      <c r="I26" s="92" t="s">
        <v>15</v>
      </c>
      <c r="J26" s="35"/>
      <c r="K26" s="40"/>
      <c r="L26" s="62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7"/>
      <c r="AG26" s="2">
        <f>AG37+AG30</f>
        <v>0.17498973333333334</v>
      </c>
      <c r="AH26" s="2">
        <f t="shared" ref="AH26:BA26" si="20">AH37+AH30</f>
        <v>0.18248929333333336</v>
      </c>
      <c r="AI26" s="2">
        <f t="shared" si="20"/>
        <v>0.18998885333333332</v>
      </c>
      <c r="AJ26" s="2">
        <f t="shared" si="20"/>
        <v>0.19748841333333333</v>
      </c>
      <c r="AK26" s="2">
        <f t="shared" si="20"/>
        <v>0.20498797333333332</v>
      </c>
      <c r="AL26" s="2">
        <f t="shared" si="20"/>
        <v>0.21248753333333334</v>
      </c>
      <c r="AM26" s="2">
        <f t="shared" si="20"/>
        <v>0.21998709333333336</v>
      </c>
      <c r="AN26" s="2">
        <f t="shared" si="20"/>
        <v>0.22748665333333329</v>
      </c>
      <c r="AO26" s="2">
        <f t="shared" si="20"/>
        <v>0.2349862133333333</v>
      </c>
      <c r="AP26" s="2">
        <f t="shared" si="20"/>
        <v>0.24248577333333332</v>
      </c>
      <c r="AQ26" s="2">
        <f t="shared" si="20"/>
        <v>0.24998533333333334</v>
      </c>
      <c r="AR26" s="2">
        <f t="shared" si="20"/>
        <v>0.25748489333333335</v>
      </c>
      <c r="AS26" s="2">
        <f t="shared" si="20"/>
        <v>0.26498445333333331</v>
      </c>
      <c r="AT26" s="2">
        <f t="shared" si="20"/>
        <v>0.27248401333333333</v>
      </c>
      <c r="AU26" s="2">
        <f t="shared" si="20"/>
        <v>0.27998357333333335</v>
      </c>
      <c r="AV26" s="2">
        <f t="shared" si="20"/>
        <v>0.28748313333333331</v>
      </c>
      <c r="AW26" s="2">
        <f t="shared" si="20"/>
        <v>0.29498269333333332</v>
      </c>
      <c r="AX26" s="2">
        <f t="shared" si="20"/>
        <v>0.30248225333333334</v>
      </c>
      <c r="AY26" s="2">
        <f t="shared" si="20"/>
        <v>0.3099818133333333</v>
      </c>
      <c r="AZ26" s="2">
        <f t="shared" si="20"/>
        <v>0.31748137333333332</v>
      </c>
      <c r="BA26" s="2">
        <f t="shared" si="20"/>
        <v>0.32498093333333333</v>
      </c>
    </row>
    <row r="27" spans="2:53" x14ac:dyDescent="0.2">
      <c r="B27" s="34"/>
      <c r="C27" s="38"/>
      <c r="D27" s="38" t="s">
        <v>21</v>
      </c>
      <c r="E27" s="38"/>
      <c r="F27" s="38"/>
      <c r="G27" s="77"/>
      <c r="H27" s="63">
        <f>H26/H16</f>
        <v>3.4194339752065539E-2</v>
      </c>
      <c r="I27" s="92" t="s">
        <v>20</v>
      </c>
      <c r="J27" s="35"/>
      <c r="K27" s="40"/>
      <c r="L27" s="62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37"/>
    </row>
    <row r="28" spans="2:53" ht="27" x14ac:dyDescent="0.2">
      <c r="B28" s="34"/>
      <c r="C28" s="38"/>
      <c r="D28" s="38" t="s">
        <v>12</v>
      </c>
      <c r="E28" s="38"/>
      <c r="F28" s="38"/>
      <c r="G28" s="77" t="s">
        <v>81</v>
      </c>
      <c r="H28" s="61">
        <v>0</v>
      </c>
      <c r="I28" s="92" t="s">
        <v>16</v>
      </c>
      <c r="J28" s="35"/>
      <c r="K28" s="40"/>
      <c r="L28" s="62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37"/>
    </row>
    <row r="29" spans="2:53" ht="27" x14ac:dyDescent="0.2">
      <c r="B29" s="34"/>
      <c r="C29" s="38"/>
      <c r="D29" s="38"/>
      <c r="E29" s="38"/>
      <c r="F29" s="38"/>
      <c r="G29" s="77" t="s">
        <v>82</v>
      </c>
      <c r="H29" s="61">
        <f>H8*(H8*H8*M17 - H10*H10*M17)/(H8*H8 + H10*H10*M17*M17)</f>
        <v>49.00419778635095</v>
      </c>
      <c r="I29" s="92" t="s">
        <v>16</v>
      </c>
      <c r="J29" s="35"/>
      <c r="K29" s="40"/>
      <c r="L29" s="62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37"/>
      <c r="AG29" s="2">
        <f>AG21-AG22</f>
        <v>7.4754385767182838E-2</v>
      </c>
      <c r="AH29" s="2">
        <f t="shared" ref="AH29:BA29" si="21">AH21-AH22</f>
        <v>7.4754385767182838E-2</v>
      </c>
      <c r="AI29" s="2">
        <f t="shared" si="21"/>
        <v>7.4754385767182838E-2</v>
      </c>
      <c r="AJ29" s="2">
        <f t="shared" si="21"/>
        <v>7.4754385767182838E-2</v>
      </c>
      <c r="AK29" s="2">
        <f t="shared" si="21"/>
        <v>7.4754385767182838E-2</v>
      </c>
      <c r="AL29" s="2">
        <f t="shared" si="21"/>
        <v>7.4754385767182838E-2</v>
      </c>
      <c r="AM29" s="2">
        <f t="shared" si="21"/>
        <v>7.4754385767182838E-2</v>
      </c>
      <c r="AN29" s="2">
        <f t="shared" si="21"/>
        <v>7.4754385767182838E-2</v>
      </c>
      <c r="AO29" s="2">
        <f t="shared" si="21"/>
        <v>7.4754385767182838E-2</v>
      </c>
      <c r="AP29" s="2">
        <f t="shared" si="21"/>
        <v>7.4754385767182838E-2</v>
      </c>
      <c r="AQ29" s="2">
        <f t="shared" si="21"/>
        <v>7.4754385767182838E-2</v>
      </c>
      <c r="AR29" s="2">
        <f t="shared" si="21"/>
        <v>7.4754385767182838E-2</v>
      </c>
      <c r="AS29" s="2">
        <f t="shared" si="21"/>
        <v>7.4754385767182838E-2</v>
      </c>
      <c r="AT29" s="2">
        <f t="shared" si="21"/>
        <v>7.4754385767182838E-2</v>
      </c>
      <c r="AU29" s="2">
        <f t="shared" si="21"/>
        <v>7.4754385767182838E-2</v>
      </c>
      <c r="AV29" s="2">
        <f t="shared" si="21"/>
        <v>7.4754385767182838E-2</v>
      </c>
      <c r="AW29" s="2">
        <f t="shared" si="21"/>
        <v>7.4754385767182838E-2</v>
      </c>
      <c r="AX29" s="2">
        <f t="shared" si="21"/>
        <v>7.4754385767182838E-2</v>
      </c>
      <c r="AY29" s="2">
        <f t="shared" si="21"/>
        <v>7.4754385767182838E-2</v>
      </c>
      <c r="AZ29" s="2">
        <f t="shared" si="21"/>
        <v>7.4754385767182838E-2</v>
      </c>
      <c r="BA29" s="2">
        <f t="shared" si="21"/>
        <v>7.4754385767182838E-2</v>
      </c>
    </row>
    <row r="30" spans="2:53" x14ac:dyDescent="0.2">
      <c r="B30" s="34"/>
      <c r="C30" s="38"/>
      <c r="D30" s="38"/>
      <c r="E30" s="38"/>
      <c r="F30" s="38"/>
      <c r="G30" s="77"/>
      <c r="H30" s="61"/>
      <c r="I30" s="92"/>
      <c r="J30" s="35"/>
      <c r="K30" s="40"/>
      <c r="L30" s="62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37"/>
      <c r="AG30" s="2">
        <f>AG29/AG25</f>
        <v>0.15105369550688746</v>
      </c>
      <c r="AH30" s="2">
        <f t="shared" ref="AH30:BA30" si="22">AH29/AH25</f>
        <v>0.15752742531432551</v>
      </c>
      <c r="AI30" s="2">
        <f t="shared" si="22"/>
        <v>0.16400115512176353</v>
      </c>
      <c r="AJ30" s="2">
        <f t="shared" si="22"/>
        <v>0.17047488492920157</v>
      </c>
      <c r="AK30" s="2">
        <f t="shared" si="22"/>
        <v>0.17694861473663959</v>
      </c>
      <c r="AL30" s="2">
        <f t="shared" si="22"/>
        <v>0.18342234454407763</v>
      </c>
      <c r="AM30" s="2">
        <f t="shared" si="22"/>
        <v>0.18989607435151568</v>
      </c>
      <c r="AN30" s="2">
        <f t="shared" si="22"/>
        <v>0.19636980415895366</v>
      </c>
      <c r="AO30" s="2">
        <f t="shared" si="22"/>
        <v>0.20284353396639171</v>
      </c>
      <c r="AP30" s="2">
        <f t="shared" si="22"/>
        <v>0.20931726377382975</v>
      </c>
      <c r="AQ30" s="2">
        <f t="shared" si="22"/>
        <v>0.2157909935812678</v>
      </c>
      <c r="AR30" s="2">
        <f t="shared" si="22"/>
        <v>0.22226472338870584</v>
      </c>
      <c r="AS30" s="2">
        <f t="shared" si="22"/>
        <v>0.22873845319614386</v>
      </c>
      <c r="AT30" s="2">
        <f t="shared" si="22"/>
        <v>0.2352121830035819</v>
      </c>
      <c r="AU30" s="2">
        <f t="shared" si="22"/>
        <v>0.24168591281101992</v>
      </c>
      <c r="AV30" s="2">
        <f t="shared" si="22"/>
        <v>0.24815964261845797</v>
      </c>
      <c r="AW30" s="2">
        <f t="shared" si="22"/>
        <v>0.25463337242589601</v>
      </c>
      <c r="AX30" s="2">
        <f t="shared" si="22"/>
        <v>0.26110710223333405</v>
      </c>
      <c r="AY30" s="2">
        <f t="shared" si="22"/>
        <v>0.26758083204077204</v>
      </c>
      <c r="AZ30" s="2">
        <f t="shared" si="22"/>
        <v>0.27405456184821009</v>
      </c>
      <c r="BA30" s="2">
        <f t="shared" si="22"/>
        <v>0.28052829165564813</v>
      </c>
    </row>
    <row r="31" spans="2:53" x14ac:dyDescent="0.2">
      <c r="B31" s="34"/>
      <c r="C31" s="38"/>
      <c r="D31" s="38"/>
      <c r="E31" s="38"/>
      <c r="F31" s="38"/>
      <c r="G31" s="77"/>
      <c r="H31" s="61"/>
      <c r="I31" s="92"/>
      <c r="J31" s="35"/>
      <c r="K31" s="40"/>
      <c r="L31" s="62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37"/>
      <c r="AG31" s="2">
        <f t="shared" ref="AG31:BA31" si="23">AG18*(AG19*AG18 + AG19*AG18*AG9*AG9)/(AG18*AG18 + AG19*AG19*AG9*AG9)</f>
        <v>67.926181823671641</v>
      </c>
      <c r="AH31" s="2">
        <f t="shared" si="23"/>
        <v>64.453943612457422</v>
      </c>
      <c r="AI31" s="2">
        <f t="shared" si="23"/>
        <v>61.422919191660917</v>
      </c>
      <c r="AJ31" s="2">
        <f t="shared" si="23"/>
        <v>58.776370784427101</v>
      </c>
      <c r="AK31" s="2">
        <f t="shared" si="23"/>
        <v>56.467436914924384</v>
      </c>
      <c r="AL31" s="2">
        <f t="shared" si="23"/>
        <v>54.457297864807572</v>
      </c>
      <c r="AM31" s="2">
        <f t="shared" si="23"/>
        <v>52.713738986914741</v>
      </c>
      <c r="AN31" s="2">
        <f t="shared" si="23"/>
        <v>51.210020242794229</v>
      </c>
      <c r="AO31" s="2">
        <f t="shared" si="23"/>
        <v>49.923983555350894</v>
      </c>
      <c r="AP31" s="2">
        <f t="shared" si="23"/>
        <v>48.837346627459318</v>
      </c>
      <c r="AQ31" s="2">
        <f t="shared" si="23"/>
        <v>47.935144516736734</v>
      </c>
      <c r="AR31" s="2">
        <f t="shared" si="23"/>
        <v>47.205289711348733</v>
      </c>
      <c r="AS31" s="2">
        <f t="shared" si="23"/>
        <v>46.63822860296915</v>
      </c>
      <c r="AT31" s="2">
        <f t="shared" si="23"/>
        <v>46.226677735018136</v>
      </c>
      <c r="AU31" s="2">
        <f t="shared" si="23"/>
        <v>45.965427478694011</v>
      </c>
      <c r="AV31" s="2">
        <f t="shared" si="23"/>
        <v>45.851204197275841</v>
      </c>
      <c r="AW31" s="2">
        <f t="shared" si="23"/>
        <v>45.88258475830181</v>
      </c>
      <c r="AX31" s="2">
        <f t="shared" si="23"/>
        <v>46.059959644090561</v>
      </c>
      <c r="AY31" s="2">
        <f t="shared" si="23"/>
        <v>46.385543056927958</v>
      </c>
      <c r="AZ31" s="2">
        <f t="shared" si="23"/>
        <v>46.86343045734796</v>
      </c>
      <c r="BA31" s="2">
        <f t="shared" si="23"/>
        <v>47.49970604434408</v>
      </c>
    </row>
    <row r="32" spans="2:53" x14ac:dyDescent="0.2">
      <c r="B32" s="34"/>
      <c r="C32" s="38"/>
      <c r="D32" s="38" t="s">
        <v>59</v>
      </c>
      <c r="E32" s="38"/>
      <c r="F32" s="38"/>
      <c r="G32" s="77" t="s">
        <v>83</v>
      </c>
      <c r="H32" s="69">
        <f>H8*(M17*M17*M18)/((M17+M19)*(M17+M19) + M18*M18)</f>
        <v>49.999779458140218</v>
      </c>
      <c r="I32" s="92" t="s">
        <v>16</v>
      </c>
      <c r="J32" s="35"/>
      <c r="K32" s="40"/>
      <c r="L32" s="62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37"/>
      <c r="AG32" s="2">
        <f t="shared" ref="AG32:BA32" si="24">AG18*(AG18*AG18*AG9 - AG19*AG19*AG9)/(AG18*AG18 + AG19*AG19*AG9*AG9)</f>
        <v>-150.96049108338153</v>
      </c>
      <c r="AH32" s="2">
        <f t="shared" si="24"/>
        <v>-138.81670382869879</v>
      </c>
      <c r="AI32" s="2">
        <f t="shared" si="24"/>
        <v>-127.19484239446817</v>
      </c>
      <c r="AJ32" s="2">
        <f t="shared" si="24"/>
        <v>-116.03493456817198</v>
      </c>
      <c r="AK32" s="2">
        <f t="shared" si="24"/>
        <v>-105.28302465862532</v>
      </c>
      <c r="AL32" s="2">
        <f t="shared" si="24"/>
        <v>-94.890362949244206</v>
      </c>
      <c r="AM32" s="2">
        <f t="shared" si="24"/>
        <v>-84.812682995901469</v>
      </c>
      <c r="AN32" s="2">
        <f t="shared" si="24"/>
        <v>-75.009560739176237</v>
      </c>
      <c r="AO32" s="2">
        <f t="shared" si="24"/>
        <v>-65.443846998936067</v>
      </c>
      <c r="AP32" s="2">
        <f t="shared" si="24"/>
        <v>-56.081164129104131</v>
      </c>
      <c r="AQ32" s="2">
        <f t="shared" si="24"/>
        <v>-46.889457677318539</v>
      </c>
      <c r="AR32" s="2">
        <f t="shared" si="24"/>
        <v>-37.838594379649166</v>
      </c>
      <c r="AS32" s="2">
        <f t="shared" si="24"/>
        <v>-28.899998472754127</v>
      </c>
      <c r="AT32" s="2">
        <f t="shared" si="24"/>
        <v>-20.046318982741163</v>
      </c>
      <c r="AU32" s="2">
        <f t="shared" si="24"/>
        <v>-11.251121273573872</v>
      </c>
      <c r="AV32" s="2">
        <f t="shared" si="24"/>
        <v>-2.4885966671407389</v>
      </c>
      <c r="AW32" s="2">
        <f t="shared" si="24"/>
        <v>6.26671563809614</v>
      </c>
      <c r="AX32" s="2">
        <f t="shared" si="24"/>
        <v>15.040199831651869</v>
      </c>
      <c r="AY32" s="2">
        <f t="shared" si="24"/>
        <v>23.857433256164018</v>
      </c>
      <c r="AZ32" s="2">
        <f t="shared" si="24"/>
        <v>32.744459954107384</v>
      </c>
      <c r="BA32" s="2">
        <f t="shared" si="24"/>
        <v>41.72807336872873</v>
      </c>
    </row>
    <row r="33" spans="2:53" x14ac:dyDescent="0.2">
      <c r="B33" s="34"/>
      <c r="C33" s="38"/>
      <c r="D33" s="38"/>
      <c r="E33" s="38"/>
      <c r="F33" s="38"/>
      <c r="G33" s="77" t="s">
        <v>84</v>
      </c>
      <c r="H33" s="70">
        <f>H8*(M17*M18*M18+M17*M17*M19)/((M17+M19)*(M17+M19)+M18*M18)</f>
        <v>-4.636531283307642E-5</v>
      </c>
      <c r="I33" s="92" t="s">
        <v>16</v>
      </c>
      <c r="J33" s="35"/>
      <c r="K33" s="40"/>
      <c r="L33" s="62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37"/>
    </row>
    <row r="34" spans="2:53" x14ac:dyDescent="0.2">
      <c r="B34" s="34"/>
      <c r="C34" s="38"/>
      <c r="D34" s="38"/>
      <c r="E34" s="38"/>
      <c r="F34" s="38"/>
      <c r="G34" s="77"/>
      <c r="H34" s="61"/>
      <c r="I34" s="92"/>
      <c r="J34" s="35"/>
      <c r="K34" s="40"/>
      <c r="L34" s="62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37"/>
    </row>
    <row r="35" spans="2:53" x14ac:dyDescent="0.2">
      <c r="B35" s="34"/>
      <c r="C35" s="38"/>
      <c r="D35" s="38"/>
      <c r="E35" s="38"/>
      <c r="F35" s="38"/>
      <c r="G35" s="77" t="s">
        <v>34</v>
      </c>
      <c r="H35" s="61">
        <f>SQRT(H32*H32 + H33*H33)</f>
        <v>49.999779458161711</v>
      </c>
      <c r="I35" s="92" t="s">
        <v>16</v>
      </c>
      <c r="J35" s="35"/>
      <c r="K35" s="40"/>
      <c r="L35" s="62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37"/>
    </row>
    <row r="36" spans="2:53" x14ac:dyDescent="0.2">
      <c r="B36" s="34"/>
      <c r="C36" s="38"/>
      <c r="D36" s="38"/>
      <c r="E36" s="38"/>
      <c r="F36" s="38"/>
      <c r="G36" s="77"/>
      <c r="H36" s="61"/>
      <c r="I36" s="92"/>
      <c r="J36" s="35"/>
      <c r="K36" s="40"/>
      <c r="L36" s="62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37"/>
      <c r="AG36" s="2">
        <f>AG22</f>
        <v>1.184561423281716E-2</v>
      </c>
      <c r="AH36" s="2">
        <f t="shared" ref="AH36:BA36" si="25">AH22</f>
        <v>1.184561423281716E-2</v>
      </c>
      <c r="AI36" s="2">
        <f t="shared" si="25"/>
        <v>1.184561423281716E-2</v>
      </c>
      <c r="AJ36" s="2">
        <f t="shared" si="25"/>
        <v>1.184561423281716E-2</v>
      </c>
      <c r="AK36" s="2">
        <f t="shared" si="25"/>
        <v>1.184561423281716E-2</v>
      </c>
      <c r="AL36" s="2">
        <f t="shared" si="25"/>
        <v>1.184561423281716E-2</v>
      </c>
      <c r="AM36" s="2">
        <f t="shared" si="25"/>
        <v>1.184561423281716E-2</v>
      </c>
      <c r="AN36" s="2">
        <f t="shared" si="25"/>
        <v>1.184561423281716E-2</v>
      </c>
      <c r="AO36" s="2">
        <f t="shared" si="25"/>
        <v>1.184561423281716E-2</v>
      </c>
      <c r="AP36" s="2">
        <f t="shared" si="25"/>
        <v>1.184561423281716E-2</v>
      </c>
      <c r="AQ36" s="2">
        <f t="shared" si="25"/>
        <v>1.184561423281716E-2</v>
      </c>
      <c r="AR36" s="2">
        <f t="shared" si="25"/>
        <v>1.184561423281716E-2</v>
      </c>
      <c r="AS36" s="2">
        <f t="shared" si="25"/>
        <v>1.184561423281716E-2</v>
      </c>
      <c r="AT36" s="2">
        <f t="shared" si="25"/>
        <v>1.184561423281716E-2</v>
      </c>
      <c r="AU36" s="2">
        <f t="shared" si="25"/>
        <v>1.184561423281716E-2</v>
      </c>
      <c r="AV36" s="2">
        <f t="shared" si="25"/>
        <v>1.184561423281716E-2</v>
      </c>
      <c r="AW36" s="2">
        <f t="shared" si="25"/>
        <v>1.184561423281716E-2</v>
      </c>
      <c r="AX36" s="2">
        <f t="shared" si="25"/>
        <v>1.184561423281716E-2</v>
      </c>
      <c r="AY36" s="2">
        <f t="shared" si="25"/>
        <v>1.184561423281716E-2</v>
      </c>
      <c r="AZ36" s="2">
        <f t="shared" si="25"/>
        <v>1.184561423281716E-2</v>
      </c>
      <c r="BA36" s="2">
        <f t="shared" si="25"/>
        <v>1.184561423281716E-2</v>
      </c>
    </row>
    <row r="37" spans="2:53" x14ac:dyDescent="0.2">
      <c r="B37" s="34"/>
      <c r="C37" s="35"/>
      <c r="D37" s="35"/>
      <c r="E37" s="35"/>
      <c r="F37" s="35"/>
      <c r="G37" s="48"/>
      <c r="H37" s="59"/>
      <c r="I37" s="91"/>
      <c r="J37" s="35"/>
      <c r="K37" s="35"/>
      <c r="L37" s="60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7"/>
      <c r="AG37" s="2">
        <f>AG36/AG25</f>
        <v>2.3936037826445877E-2</v>
      </c>
      <c r="AH37" s="2">
        <f t="shared" ref="AH37:BA37" si="26">AH36/AH25</f>
        <v>2.4961868019007846E-2</v>
      </c>
      <c r="AI37" s="2">
        <f t="shared" si="26"/>
        <v>2.5987698211569807E-2</v>
      </c>
      <c r="AJ37" s="2">
        <f t="shared" si="26"/>
        <v>2.7013528404131775E-2</v>
      </c>
      <c r="AK37" s="2">
        <f t="shared" si="26"/>
        <v>2.803935859669374E-2</v>
      </c>
      <c r="AL37" s="2">
        <f t="shared" si="26"/>
        <v>2.9065188789255708E-2</v>
      </c>
      <c r="AM37" s="2">
        <f t="shared" si="26"/>
        <v>3.0091018981817673E-2</v>
      </c>
      <c r="AN37" s="2">
        <f t="shared" si="26"/>
        <v>3.1116849174379634E-2</v>
      </c>
      <c r="AO37" s="2">
        <f t="shared" si="26"/>
        <v>3.2142679366941602E-2</v>
      </c>
      <c r="AP37" s="2">
        <f t="shared" si="26"/>
        <v>3.3168509559503574E-2</v>
      </c>
      <c r="AQ37" s="2">
        <f t="shared" si="26"/>
        <v>3.4194339752065539E-2</v>
      </c>
      <c r="AR37" s="2">
        <f t="shared" si="26"/>
        <v>3.5220169944627504E-2</v>
      </c>
      <c r="AS37" s="2">
        <f t="shared" si="26"/>
        <v>3.6246000137189469E-2</v>
      </c>
      <c r="AT37" s="2">
        <f t="shared" si="26"/>
        <v>3.7271830329751433E-2</v>
      </c>
      <c r="AU37" s="2">
        <f t="shared" si="26"/>
        <v>3.8297660522313398E-2</v>
      </c>
      <c r="AV37" s="2">
        <f t="shared" si="26"/>
        <v>3.9323490714875363E-2</v>
      </c>
      <c r="AW37" s="2">
        <f t="shared" si="26"/>
        <v>4.0349320907437335E-2</v>
      </c>
      <c r="AX37" s="2">
        <f t="shared" si="26"/>
        <v>4.1375151099999306E-2</v>
      </c>
      <c r="AY37" s="2">
        <f t="shared" si="26"/>
        <v>4.2400981292561257E-2</v>
      </c>
      <c r="AZ37" s="2">
        <f t="shared" si="26"/>
        <v>4.3426811485123229E-2</v>
      </c>
      <c r="BA37" s="2">
        <f t="shared" si="26"/>
        <v>4.4452641677685194E-2</v>
      </c>
    </row>
    <row r="38" spans="2:53" s="4" customFormat="1" ht="28" x14ac:dyDescent="0.2">
      <c r="B38" s="28"/>
      <c r="C38" s="29" t="s">
        <v>56</v>
      </c>
      <c r="D38" s="29"/>
      <c r="E38" s="29"/>
      <c r="F38" s="29"/>
      <c r="G38" s="78"/>
      <c r="H38" s="57"/>
      <c r="I38" s="90"/>
      <c r="J38" s="32"/>
      <c r="K38" s="32"/>
      <c r="L38" s="58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3"/>
      <c r="AF38" s="5"/>
      <c r="AG38" s="4">
        <f>AG18*(AG20*AG18 + AG20*AG18*AK30*AK30)/(AG18*AG18 + AG20*AG20*AK30*AK30)</f>
        <v>0</v>
      </c>
      <c r="AH38" s="4">
        <f t="shared" ref="AH38:AW38" si="27">AH18*(AH20*AH18 + AH20*AH18*AL30*AL30)/(AH18*AH18 + AH20*AH20*AL30*AL30)</f>
        <v>0</v>
      </c>
      <c r="AI38" s="4">
        <f t="shared" si="27"/>
        <v>0</v>
      </c>
      <c r="AJ38" s="4">
        <f t="shared" si="27"/>
        <v>0</v>
      </c>
      <c r="AK38" s="4">
        <f t="shared" si="27"/>
        <v>0</v>
      </c>
      <c r="AL38" s="4">
        <f t="shared" si="27"/>
        <v>0</v>
      </c>
      <c r="AM38" s="4">
        <f t="shared" si="27"/>
        <v>0</v>
      </c>
      <c r="AN38" s="4">
        <f t="shared" si="27"/>
        <v>0</v>
      </c>
      <c r="AO38" s="4">
        <f t="shared" si="27"/>
        <v>0</v>
      </c>
      <c r="AP38" s="4">
        <f t="shared" si="27"/>
        <v>0</v>
      </c>
      <c r="AQ38" s="4">
        <f t="shared" si="27"/>
        <v>0</v>
      </c>
      <c r="AR38" s="4">
        <f t="shared" si="27"/>
        <v>0</v>
      </c>
      <c r="AS38" s="4">
        <f t="shared" si="27"/>
        <v>0</v>
      </c>
      <c r="AT38" s="4">
        <f t="shared" si="27"/>
        <v>0</v>
      </c>
      <c r="AU38" s="4">
        <f t="shared" si="27"/>
        <v>0</v>
      </c>
      <c r="AV38" s="4">
        <f t="shared" si="27"/>
        <v>0</v>
      </c>
      <c r="AW38" s="4">
        <f t="shared" si="27"/>
        <v>0</v>
      </c>
      <c r="AX38" s="4">
        <f>AX18*(AX20*AX18 + AX20*AX18*BB23*BB23)/(AX18*AX18 + AX20*AX20*BB23*BB23)</f>
        <v>0</v>
      </c>
      <c r="AY38" s="4">
        <f>AY18*(AY20*AY18 + AY20*AY18*BC23*BC23)/(AY18*AY18 + AY20*AY20*BC23*BC23)</f>
        <v>0</v>
      </c>
      <c r="AZ38" s="4">
        <f>AZ18*(AZ20*AZ18 + AZ20*AZ18*BD23*BD23)/(AZ18*AZ18 + AZ20*AZ20*BD23*BD23)</f>
        <v>0</v>
      </c>
      <c r="BA38" s="4">
        <f>BA18*(BA20*BA18 + BA20*BA18*BE23*BE23)/(BA18*BA18 + BA20*BA20*BE23*BE23)</f>
        <v>0</v>
      </c>
    </row>
    <row r="39" spans="2:53" x14ac:dyDescent="0.2">
      <c r="B39" s="34"/>
      <c r="C39" s="51" t="s">
        <v>52</v>
      </c>
      <c r="D39" s="35"/>
      <c r="E39" s="51" t="s">
        <v>53</v>
      </c>
      <c r="F39" s="35"/>
      <c r="G39" s="48"/>
      <c r="H39" s="59"/>
      <c r="I39" s="91"/>
      <c r="J39" s="35"/>
      <c r="K39" s="35"/>
      <c r="L39" s="60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7"/>
      <c r="AG39" s="2">
        <f>AG18*(AG18*AG18*AG10 - AG20*AG20*AG10)/(AG18*AG18 + AG20*AG20*AG10*AG10)</f>
        <v>34.030456868330475</v>
      </c>
      <c r="AH39" s="2">
        <f t="shared" ref="AH39:BA39" si="28">AH18*(AH18*AH18*AH10 - AH20*AH20*AH10)/(AH18*AH18 + AH20*AH20*AH10*AH10)</f>
        <v>35.512599543877862</v>
      </c>
      <c r="AI39" s="2">
        <f t="shared" si="28"/>
        <v>36.997766783861316</v>
      </c>
      <c r="AJ39" s="2">
        <f t="shared" si="28"/>
        <v>38.486091643150893</v>
      </c>
      <c r="AK39" s="2">
        <f t="shared" si="28"/>
        <v>39.977708268895789</v>
      </c>
      <c r="AL39" s="2">
        <f t="shared" si="28"/>
        <v>41.472751950585156</v>
      </c>
      <c r="AM39" s="2">
        <f t="shared" si="28"/>
        <v>42.971359170963368</v>
      </c>
      <c r="AN39" s="2">
        <f t="shared" si="28"/>
        <v>44.473667657842412</v>
      </c>
      <c r="AO39" s="2">
        <f t="shared" si="28"/>
        <v>45.979816436854016</v>
      </c>
      <c r="AP39" s="2">
        <f t="shared" si="28"/>
        <v>47.48994588518638</v>
      </c>
      <c r="AQ39" s="2">
        <f t="shared" si="28"/>
        <v>49.00419778635095</v>
      </c>
      <c r="AR39" s="2">
        <f t="shared" si="28"/>
        <v>50.522715386026654</v>
      </c>
      <c r="AS39" s="2">
        <f t="shared" si="28"/>
        <v>52.045643449029839</v>
      </c>
      <c r="AT39" s="2">
        <f t="shared" si="28"/>
        <v>53.573128317460167</v>
      </c>
      <c r="AU39" s="2">
        <f t="shared" si="28"/>
        <v>55.105317970074154</v>
      </c>
      <c r="AV39" s="2">
        <f t="shared" si="28"/>
        <v>56.642362082939606</v>
      </c>
      <c r="AW39" s="2">
        <f t="shared" si="28"/>
        <v>58.18441209142604</v>
      </c>
      <c r="AX39" s="2">
        <f t="shared" si="28"/>
        <v>59.731621253588258</v>
      </c>
      <c r="AY39" s="2">
        <f t="shared" si="28"/>
        <v>61.284144715001702</v>
      </c>
      <c r="AZ39" s="2">
        <f t="shared" si="28"/>
        <v>62.842139575110778</v>
      </c>
      <c r="BA39" s="2">
        <f t="shared" si="28"/>
        <v>64.405764955152819</v>
      </c>
    </row>
    <row r="40" spans="2:53" x14ac:dyDescent="0.2">
      <c r="B40" s="34"/>
      <c r="C40" s="38"/>
      <c r="D40" s="38"/>
      <c r="E40" s="38"/>
      <c r="F40" s="38"/>
      <c r="G40" s="77"/>
      <c r="H40" s="61"/>
      <c r="I40" s="92"/>
      <c r="J40" s="35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7"/>
    </row>
    <row r="41" spans="2:53" x14ac:dyDescent="0.2">
      <c r="B41" s="34"/>
      <c r="C41" s="38"/>
      <c r="D41" s="38" t="s">
        <v>36</v>
      </c>
      <c r="E41" s="38"/>
      <c r="F41" s="38"/>
      <c r="G41" s="77"/>
      <c r="H41" s="76">
        <v>50</v>
      </c>
      <c r="I41" s="92" t="s">
        <v>16</v>
      </c>
      <c r="J41" s="35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7"/>
    </row>
    <row r="42" spans="2:53" x14ac:dyDescent="0.2">
      <c r="B42" s="34"/>
      <c r="C42" s="38"/>
      <c r="D42" s="38" t="s">
        <v>37</v>
      </c>
      <c r="E42" s="38"/>
      <c r="F42" s="38"/>
      <c r="G42" s="77"/>
      <c r="H42" s="76">
        <v>0</v>
      </c>
      <c r="I42" s="92" t="s">
        <v>16</v>
      </c>
      <c r="J42" s="35"/>
      <c r="K42" s="68"/>
      <c r="L42" s="68" t="s">
        <v>62</v>
      </c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7"/>
    </row>
    <row r="43" spans="2:53" x14ac:dyDescent="0.2">
      <c r="B43" s="34"/>
      <c r="C43" s="38"/>
      <c r="D43" s="38"/>
      <c r="E43" s="38"/>
      <c r="F43" s="38"/>
      <c r="G43" s="77"/>
      <c r="H43" s="61"/>
      <c r="I43" s="92"/>
      <c r="J43" s="35"/>
      <c r="K43" s="68"/>
      <c r="L43" s="68" t="s">
        <v>85</v>
      </c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7"/>
      <c r="AF43" s="23" t="s">
        <v>38</v>
      </c>
      <c r="AG43" s="2">
        <f t="shared" ref="AG43:BA43" si="29">AG18*(AG10*AG10*AG11)/((AG10+AG12)*(AG10+AG12) + AG11*AG11)</f>
        <v>4.3016970261247023</v>
      </c>
      <c r="AH43" s="2">
        <f t="shared" si="29"/>
        <v>5.4826307484759811</v>
      </c>
      <c r="AI43" s="2">
        <f t="shared" si="29"/>
        <v>7.0604464663076394</v>
      </c>
      <c r="AJ43" s="2">
        <f t="shared" si="29"/>
        <v>9.1945377342158974</v>
      </c>
      <c r="AK43" s="2">
        <f t="shared" si="29"/>
        <v>12.108267635127362</v>
      </c>
      <c r="AL43" s="2">
        <f t="shared" si="29"/>
        <v>16.096467211649795</v>
      </c>
      <c r="AM43" s="2">
        <f t="shared" si="29"/>
        <v>21.490078604535704</v>
      </c>
      <c r="AN43" s="2">
        <f t="shared" si="29"/>
        <v>28.492634298748651</v>
      </c>
      <c r="AO43" s="2">
        <f t="shared" si="29"/>
        <v>36.759728342346655</v>
      </c>
      <c r="AP43" s="2">
        <f t="shared" si="29"/>
        <v>44.793535823201921</v>
      </c>
      <c r="AQ43" s="2">
        <f t="shared" si="29"/>
        <v>49.999779458140218</v>
      </c>
      <c r="AR43" s="2">
        <f t="shared" si="29"/>
        <v>50.432064658371317</v>
      </c>
      <c r="AS43" s="2">
        <f t="shared" si="29"/>
        <v>46.602164122101499</v>
      </c>
      <c r="AT43" s="2">
        <f t="shared" si="29"/>
        <v>40.685738157976786</v>
      </c>
      <c r="AU43" s="2">
        <f t="shared" si="29"/>
        <v>34.58326382627245</v>
      </c>
      <c r="AV43" s="2">
        <f t="shared" si="29"/>
        <v>29.217103171872541</v>
      </c>
      <c r="AW43" s="2">
        <f t="shared" si="29"/>
        <v>24.816764605183675</v>
      </c>
      <c r="AX43" s="2">
        <f t="shared" si="29"/>
        <v>21.308147939128336</v>
      </c>
      <c r="AY43" s="2">
        <f t="shared" si="29"/>
        <v>18.531833597338036</v>
      </c>
      <c r="AZ43" s="2">
        <f t="shared" si="29"/>
        <v>16.330215408043227</v>
      </c>
      <c r="BA43" s="2">
        <f t="shared" si="29"/>
        <v>14.572833483598547</v>
      </c>
    </row>
    <row r="44" spans="2:53" x14ac:dyDescent="0.2">
      <c r="B44" s="34"/>
      <c r="C44" s="38"/>
      <c r="D44" s="38" t="s">
        <v>58</v>
      </c>
      <c r="E44" s="38"/>
      <c r="F44" s="38"/>
      <c r="G44" s="77"/>
      <c r="H44" s="97">
        <f>(H32-H41)*(H32-H41)</f>
        <v>4.8638711916317701E-8</v>
      </c>
      <c r="I44" s="92"/>
      <c r="J44" s="35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7"/>
      <c r="AF44" s="23" t="s">
        <v>39</v>
      </c>
      <c r="AG44" s="2">
        <f t="shared" ref="AG44:BA44" si="30">AG18*(AG10*AG11*AG11+AG10*AG10*AG12)/((AG10+AG12)*(AG10+AG12)+AG11*AG11)</f>
        <v>-0.97381366349686893</v>
      </c>
      <c r="AH44" s="2">
        <f t="shared" si="30"/>
        <v>-1.8573779718166963</v>
      </c>
      <c r="AI44" s="2">
        <f t="shared" si="30"/>
        <v>-2.8991969162461126</v>
      </c>
      <c r="AJ44" s="2">
        <f t="shared" si="30"/>
        <v>-4.1096446768112216</v>
      </c>
      <c r="AK44" s="2">
        <f t="shared" si="30"/>
        <v>-5.4731531956604158</v>
      </c>
      <c r="AL44" s="2">
        <f t="shared" si="30"/>
        <v>-6.9116082680561801</v>
      </c>
      <c r="AM44" s="2">
        <f t="shared" si="30"/>
        <v>-8.2137528372041846</v>
      </c>
      <c r="AN44" s="2">
        <f t="shared" si="30"/>
        <v>-8.9260437418980505</v>
      </c>
      <c r="AO44" s="2">
        <f t="shared" si="30"/>
        <v>-8.2742285702998135</v>
      </c>
      <c r="AP44" s="2">
        <f t="shared" si="30"/>
        <v>-5.3731204807745883</v>
      </c>
      <c r="AQ44" s="2">
        <f t="shared" si="30"/>
        <v>-4.636531283307642E-5</v>
      </c>
      <c r="AR44" s="2">
        <f t="shared" si="30"/>
        <v>6.6954938135153084</v>
      </c>
      <c r="AS44" s="2">
        <f t="shared" si="30"/>
        <v>12.882662804295864</v>
      </c>
      <c r="AT44" s="2">
        <f t="shared" si="30"/>
        <v>17.463051439622348</v>
      </c>
      <c r="AU44" s="2">
        <f t="shared" si="30"/>
        <v>20.382138270899727</v>
      </c>
      <c r="AV44" s="2">
        <f t="shared" si="30"/>
        <v>22.065065950893917</v>
      </c>
      <c r="AW44" s="2">
        <f t="shared" si="30"/>
        <v>22.959312727452861</v>
      </c>
      <c r="AX44" s="2">
        <f t="shared" si="30"/>
        <v>23.388897385421853</v>
      </c>
      <c r="AY44" s="2">
        <f t="shared" si="30"/>
        <v>23.558076760497062</v>
      </c>
      <c r="AZ44" s="2">
        <f t="shared" si="30"/>
        <v>23.588236940189518</v>
      </c>
      <c r="BA44" s="2">
        <f t="shared" si="30"/>
        <v>23.549673360718991</v>
      </c>
    </row>
    <row r="45" spans="2:53" x14ac:dyDescent="0.2">
      <c r="B45" s="34"/>
      <c r="C45" s="38"/>
      <c r="D45" s="38" t="s">
        <v>58</v>
      </c>
      <c r="E45" s="38"/>
      <c r="F45" s="38"/>
      <c r="G45" s="77"/>
      <c r="H45" s="97">
        <f>(H33-H42)*(H33-H42)</f>
        <v>2.1497422341090411E-9</v>
      </c>
      <c r="I45" s="92"/>
      <c r="J45" s="35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7"/>
    </row>
    <row r="46" spans="2:53" x14ac:dyDescent="0.2">
      <c r="B46" s="34"/>
      <c r="C46" s="38"/>
      <c r="D46" s="38"/>
      <c r="E46" s="38"/>
      <c r="F46" s="38"/>
      <c r="G46" s="77"/>
      <c r="H46" s="97"/>
      <c r="I46" s="92"/>
      <c r="J46" s="35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7"/>
    </row>
    <row r="47" spans="2:53" x14ac:dyDescent="0.2">
      <c r="B47" s="34"/>
      <c r="C47" s="38"/>
      <c r="D47" s="38" t="s">
        <v>57</v>
      </c>
      <c r="E47" s="38"/>
      <c r="F47" s="38"/>
      <c r="G47" s="77"/>
      <c r="H47" s="98">
        <f>SUM(H44:H46)</f>
        <v>5.0788454150426742E-8</v>
      </c>
      <c r="I47" s="92"/>
      <c r="J47" s="35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7"/>
    </row>
    <row r="48" spans="2:53" x14ac:dyDescent="0.2">
      <c r="B48" s="34"/>
      <c r="C48" s="38"/>
      <c r="D48" s="38"/>
      <c r="E48" s="38"/>
      <c r="F48" s="38"/>
      <c r="G48" s="77"/>
      <c r="H48" s="61"/>
      <c r="I48" s="92"/>
      <c r="J48" s="35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7"/>
    </row>
    <row r="49" spans="2:27" ht="24" thickBot="1" x14ac:dyDescent="0.25">
      <c r="B49" s="42"/>
      <c r="C49" s="43"/>
      <c r="D49" s="43"/>
      <c r="E49" s="43"/>
      <c r="F49" s="43"/>
      <c r="G49" s="87"/>
      <c r="H49" s="65"/>
      <c r="I49" s="93"/>
      <c r="J49" s="43"/>
      <c r="K49" s="43"/>
      <c r="L49" s="66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5"/>
    </row>
    <row r="50" spans="2:27" ht="24" thickTop="1" x14ac:dyDescent="0.2"/>
  </sheetData>
  <sheetProtection sheet="1" objects="1" scenarios="1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Cover</vt:lpstr>
      <vt:lpstr>Impedance Transformation</vt:lpstr>
      <vt:lpstr>Waveguides</vt:lpstr>
      <vt:lpstr>Complex Impedance Transform.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2022-05-27T07:48:34Z</dcterms:created>
  <dcterms:modified xsi:type="dcterms:W3CDTF">2022-10-23T17:29:21Z</dcterms:modified>
  <cp:category/>
</cp:coreProperties>
</file>