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Neues YouTube Material/04 Synthesis of a Loop Antenna/10 Material Sammlung/"/>
    </mc:Choice>
  </mc:AlternateContent>
  <xr:revisionPtr revIDLastSave="0" documentId="13_ncr:1_{9617273C-4FD2-F545-B484-14E1B071A7B6}" xr6:coauthVersionLast="47" xr6:coauthVersionMax="47" xr10:uidLastSave="{00000000-0000-0000-0000-000000000000}"/>
  <bookViews>
    <workbookView xWindow="0" yWindow="500" windowWidth="40960" windowHeight="20680" activeTab="5" xr2:uid="{7BC29DB7-F5C1-774A-8671-8BC63D78F511}"/>
  </bookViews>
  <sheets>
    <sheet name="Cover" sheetId="1" r:id="rId1"/>
    <sheet name="Impedance Transformation" sheetId="9" r:id="rId2"/>
    <sheet name="Waveguides" sheetId="4" r:id="rId3"/>
    <sheet name="Complex Impedance Transform." sheetId="10" r:id="rId4"/>
    <sheet name="Synthesis Wire Loop" sheetId="15" r:id="rId5"/>
    <sheet name="Synthesis Planar Band Loop" sheetId="16" r:id="rId6"/>
    <sheet name="ZA for Loops" sheetId="11" r:id="rId7"/>
  </sheets>
  <definedNames>
    <definedName name="solver_adj" localSheetId="3" hidden="1">'Complex Impedance Transform.'!$H$8,'Complex Impedance Transform.'!$H$12</definedName>
    <definedName name="solver_adj" localSheetId="5" hidden="1">'Synthesis Planar Band Loop'!$H$8:$H$9</definedName>
    <definedName name="solver_adj" localSheetId="4" hidden="1">'Synthesis Wire Loop'!$H$8:$H$9</definedName>
    <definedName name="solver_adj" localSheetId="6" hidden="1">'ZA for Loops'!$F$10:$F$11</definedName>
    <definedName name="solver_cvg" localSheetId="3" hidden="1">0.00001</definedName>
    <definedName name="solver_cvg" localSheetId="5" hidden="1">0.00001</definedName>
    <definedName name="solver_cvg" localSheetId="4" hidden="1">0.00001</definedName>
    <definedName name="solver_cvg" localSheetId="6" hidden="1">0.0001</definedName>
    <definedName name="solver_drv" localSheetId="3" hidden="1">1</definedName>
    <definedName name="solver_drv" localSheetId="5" hidden="1">1</definedName>
    <definedName name="solver_drv" localSheetId="4" hidden="1">1</definedName>
    <definedName name="solver_drv" localSheetId="6" hidden="1">1</definedName>
    <definedName name="solver_eng" localSheetId="3" hidden="1">1</definedName>
    <definedName name="solver_eng" localSheetId="5" hidden="1">1</definedName>
    <definedName name="solver_eng" localSheetId="4" hidden="1">1</definedName>
    <definedName name="solver_eng" localSheetId="6" hidden="1">1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itr" localSheetId="6" hidden="1">2147483647</definedName>
    <definedName name="solver_lin" localSheetId="3" hidden="1">2</definedName>
    <definedName name="solver_lin" localSheetId="5" hidden="1">2</definedName>
    <definedName name="solver_lin" localSheetId="4" hidden="1">2</definedName>
    <definedName name="solver_lin" localSheetId="6" hidden="1">2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6" hidden="1">2147483647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ni" localSheetId="6" hidden="1">30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rt" localSheetId="6" hidden="1">0.075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msl" localSheetId="6" hidden="1">2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eg" localSheetId="6" hidden="1">1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od" localSheetId="6" hidden="1">2147483647</definedName>
    <definedName name="solver_num" localSheetId="3" hidden="1">0</definedName>
    <definedName name="solver_num" localSheetId="5" hidden="1">0</definedName>
    <definedName name="solver_num" localSheetId="4" hidden="1">0</definedName>
    <definedName name="solver_num" localSheetId="6" hidden="1">0</definedName>
    <definedName name="solver_opt" localSheetId="3" hidden="1">'Complex Impedance Transform.'!$H$47</definedName>
    <definedName name="solver_opt" localSheetId="5" hidden="1">'Synthesis Planar Band Loop'!$H$62</definedName>
    <definedName name="solver_opt" localSheetId="4" hidden="1">'Synthesis Wire Loop'!$H$62</definedName>
    <definedName name="solver_opt" localSheetId="6" hidden="1">'ZA for Loops'!$H$18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pre" localSheetId="6" hidden="1">0.000001</definedName>
    <definedName name="solver_rbv" localSheetId="3" hidden="1">1</definedName>
    <definedName name="solver_rbv" localSheetId="5" hidden="1">1</definedName>
    <definedName name="solver_rbv" localSheetId="4" hidden="1">1</definedName>
    <definedName name="solver_rbv" localSheetId="6" hidden="1">1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lx" localSheetId="6" hidden="1">2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rsd" localSheetId="6" hidden="1">0</definedName>
    <definedName name="solver_scl" localSheetId="3" hidden="1">1</definedName>
    <definedName name="solver_scl" localSheetId="5" hidden="1">1</definedName>
    <definedName name="solver_scl" localSheetId="4" hidden="1">1</definedName>
    <definedName name="solver_scl" localSheetId="6" hidden="1">1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ho" localSheetId="6" hidden="1">2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ssz" localSheetId="6" hidden="1">100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im" localSheetId="6" hidden="1">2147483647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ol" localSheetId="6" hidden="1">0.01</definedName>
    <definedName name="solver_typ" localSheetId="3" hidden="1">2</definedName>
    <definedName name="solver_typ" localSheetId="5" hidden="1">2</definedName>
    <definedName name="solver_typ" localSheetId="4" hidden="1">2</definedName>
    <definedName name="solver_typ" localSheetId="6" hidden="1">3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er" localSheetId="3" hidden="1">2</definedName>
    <definedName name="solver_ver" localSheetId="5" hidden="1">2</definedName>
    <definedName name="solver_ver" localSheetId="4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1" l="1"/>
  <c r="H17" i="16"/>
  <c r="H23" i="16" s="1"/>
  <c r="AW33" i="16" s="1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Q30" i="16"/>
  <c r="AR31" i="16" s="1"/>
  <c r="AS31" i="16" s="1"/>
  <c r="AT31" i="16" s="1"/>
  <c r="AU31" i="16" s="1"/>
  <c r="AV31" i="16" s="1"/>
  <c r="AW31" i="16" s="1"/>
  <c r="AX31" i="16" s="1"/>
  <c r="AY31" i="16" s="1"/>
  <c r="AZ31" i="16" s="1"/>
  <c r="BA31" i="16" s="1"/>
  <c r="H22" i="16"/>
  <c r="H17" i="15"/>
  <c r="H23" i="15" s="1"/>
  <c r="H22" i="15"/>
  <c r="H31" i="15" s="1"/>
  <c r="H26" i="15" s="1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Q30" i="15"/>
  <c r="AP31" i="15" s="1"/>
  <c r="AO31" i="15" s="1"/>
  <c r="C24" i="11"/>
  <c r="C25" i="11" s="1"/>
  <c r="D24" i="11"/>
  <c r="F24" i="11" s="1"/>
  <c r="D23" i="11"/>
  <c r="F23" i="11" s="1"/>
  <c r="D16" i="11"/>
  <c r="F16" i="11" s="1"/>
  <c r="H16" i="11" s="1"/>
  <c r="D15" i="11"/>
  <c r="F15" i="11" s="1"/>
  <c r="H15" i="11" s="1"/>
  <c r="F14" i="11"/>
  <c r="H14" i="11" s="1"/>
  <c r="AQ15" i="10"/>
  <c r="AP16" i="10"/>
  <c r="AO16" i="10" s="1"/>
  <c r="AN16" i="10" s="1"/>
  <c r="AM16" i="10" s="1"/>
  <c r="AL16" i="10" s="1"/>
  <c r="AK16" i="10" s="1"/>
  <c r="AJ16" i="10" s="1"/>
  <c r="AI16" i="10" s="1"/>
  <c r="AH16" i="10" s="1"/>
  <c r="AG16" i="10" s="1"/>
  <c r="AR16" i="10"/>
  <c r="AS16" i="10" s="1"/>
  <c r="AT16" i="10" s="1"/>
  <c r="AU16" i="10" s="1"/>
  <c r="AV16" i="10" s="1"/>
  <c r="AW16" i="10" s="1"/>
  <c r="AX16" i="10" s="1"/>
  <c r="AY16" i="10" s="1"/>
  <c r="AQ17" i="10"/>
  <c r="AQ25" i="10" s="1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H16" i="10"/>
  <c r="H26" i="10"/>
  <c r="AG21" i="10"/>
  <c r="AJ18" i="10"/>
  <c r="H27" i="9"/>
  <c r="H14" i="9"/>
  <c r="H13" i="9" s="1"/>
  <c r="M13" i="9" s="1"/>
  <c r="E20" i="4"/>
  <c r="H25" i="4"/>
  <c r="H12" i="4"/>
  <c r="H14" i="15" l="1"/>
  <c r="H15" i="15" s="1"/>
  <c r="M17" i="15" s="1"/>
  <c r="H16" i="15" s="1"/>
  <c r="H24" i="15" s="1"/>
  <c r="AW34" i="15" s="1"/>
  <c r="AP31" i="16"/>
  <c r="AO31" i="16" s="1"/>
  <c r="AN31" i="16" s="1"/>
  <c r="AM31" i="16" s="1"/>
  <c r="AL31" i="16" s="1"/>
  <c r="AK31" i="16" s="1"/>
  <c r="AJ31" i="16" s="1"/>
  <c r="AI31" i="16" s="1"/>
  <c r="AH31" i="16" s="1"/>
  <c r="AG31" i="16" s="1"/>
  <c r="AH33" i="16"/>
  <c r="AP33" i="16"/>
  <c r="AZ33" i="16"/>
  <c r="AZ53" i="16" s="1"/>
  <c r="AI33" i="16"/>
  <c r="AQ33" i="16"/>
  <c r="BA33" i="16"/>
  <c r="BA53" i="16" s="1"/>
  <c r="AL33" i="16"/>
  <c r="AT33" i="16"/>
  <c r="AM33" i="16"/>
  <c r="AV33" i="16"/>
  <c r="AQ32" i="16"/>
  <c r="H31" i="16"/>
  <c r="H14" i="16" s="1"/>
  <c r="H15" i="16" s="1"/>
  <c r="M17" i="16" s="1"/>
  <c r="H16" i="16" s="1"/>
  <c r="H24" i="16" s="1"/>
  <c r="AN33" i="16"/>
  <c r="AY33" i="16"/>
  <c r="AU33" i="16"/>
  <c r="AJ33" i="16"/>
  <c r="AR33" i="16"/>
  <c r="AG33" i="16"/>
  <c r="AK33" i="16"/>
  <c r="AO33" i="16"/>
  <c r="AS33" i="16"/>
  <c r="AX33" i="16"/>
  <c r="AY36" i="15"/>
  <c r="AU36" i="15"/>
  <c r="AQ36" i="15"/>
  <c r="AM36" i="15"/>
  <c r="AI36" i="15"/>
  <c r="AX36" i="15"/>
  <c r="AT36" i="15"/>
  <c r="AP36" i="15"/>
  <c r="AL36" i="15"/>
  <c r="AH36" i="15"/>
  <c r="AR36" i="15"/>
  <c r="AS36" i="15"/>
  <c r="AG36" i="15"/>
  <c r="AV36" i="15"/>
  <c r="BA36" i="15"/>
  <c r="AW36" i="15"/>
  <c r="AO36" i="15"/>
  <c r="AK36" i="15"/>
  <c r="AZ36" i="15"/>
  <c r="AN36" i="15"/>
  <c r="AJ36" i="15"/>
  <c r="H27" i="15"/>
  <c r="AQ32" i="15"/>
  <c r="AO32" i="15" s="1"/>
  <c r="AO40" i="15" s="1"/>
  <c r="AZ33" i="15"/>
  <c r="AZ53" i="15" s="1"/>
  <c r="AY33" i="15"/>
  <c r="AY53" i="15" s="1"/>
  <c r="AU33" i="15"/>
  <c r="AQ33" i="15"/>
  <c r="AM33" i="15"/>
  <c r="AI33" i="15"/>
  <c r="AH33" i="15"/>
  <c r="AK33" i="15"/>
  <c r="AV33" i="15"/>
  <c r="AX33" i="15"/>
  <c r="AX53" i="15" s="1"/>
  <c r="AT33" i="15"/>
  <c r="AP33" i="15"/>
  <c r="AL33" i="15"/>
  <c r="AS33" i="15"/>
  <c r="AO33" i="15"/>
  <c r="AG33" i="15"/>
  <c r="AR33" i="15"/>
  <c r="AJ33" i="15"/>
  <c r="AW33" i="15"/>
  <c r="AN33" i="15"/>
  <c r="BA33" i="15"/>
  <c r="BA53" i="15" s="1"/>
  <c r="AR31" i="15"/>
  <c r="AS31" i="15" s="1"/>
  <c r="AT31" i="15" s="1"/>
  <c r="AN31" i="15"/>
  <c r="AM31" i="15" s="1"/>
  <c r="C26" i="11"/>
  <c r="D25" i="11"/>
  <c r="F25" i="11" s="1"/>
  <c r="H18" i="11"/>
  <c r="AZ21" i="10"/>
  <c r="AJ21" i="10"/>
  <c r="AR21" i="10"/>
  <c r="AV21" i="10"/>
  <c r="AN21" i="10"/>
  <c r="AY21" i="10"/>
  <c r="AU21" i="10"/>
  <c r="AQ21" i="10"/>
  <c r="AM21" i="10"/>
  <c r="AI21" i="10"/>
  <c r="AX21" i="10"/>
  <c r="AT21" i="10"/>
  <c r="AP21" i="10"/>
  <c r="AL21" i="10"/>
  <c r="AH21" i="10"/>
  <c r="BA21" i="10"/>
  <c r="AW21" i="10"/>
  <c r="AS21" i="10"/>
  <c r="AO21" i="10"/>
  <c r="AK21" i="10"/>
  <c r="AK18" i="10"/>
  <c r="AU18" i="10"/>
  <c r="AQ18" i="10"/>
  <c r="AG18" i="10"/>
  <c r="BA18" i="10"/>
  <c r="AP18" i="10"/>
  <c r="AW18" i="10"/>
  <c r="AL18" i="10"/>
  <c r="AM22" i="10"/>
  <c r="AM36" i="10" s="1"/>
  <c r="AY22" i="10"/>
  <c r="AY36" i="10" s="1"/>
  <c r="AI22" i="10"/>
  <c r="AI36" i="10" s="1"/>
  <c r="AU22" i="10"/>
  <c r="AU36" i="10" s="1"/>
  <c r="AY18" i="10"/>
  <c r="AT18" i="10"/>
  <c r="AO18" i="10"/>
  <c r="AI18" i="10"/>
  <c r="AQ22" i="10"/>
  <c r="AQ36" i="10" s="1"/>
  <c r="AQ37" i="10" s="1"/>
  <c r="AQ10" i="10" s="1"/>
  <c r="AX18" i="10"/>
  <c r="AS18" i="10"/>
  <c r="AM18" i="10"/>
  <c r="AH18" i="10"/>
  <c r="AP22" i="10"/>
  <c r="AT22" i="10"/>
  <c r="AH22" i="10"/>
  <c r="AW22" i="10"/>
  <c r="AS22" i="10"/>
  <c r="AO22" i="10"/>
  <c r="AK22" i="10"/>
  <c r="AG22" i="10"/>
  <c r="AX22" i="10"/>
  <c r="AL22" i="10"/>
  <c r="BA22" i="10"/>
  <c r="AZ22" i="10"/>
  <c r="AV22" i="10"/>
  <c r="AR22" i="10"/>
  <c r="AN22" i="10"/>
  <c r="AJ22" i="10"/>
  <c r="AZ18" i="10"/>
  <c r="AV18" i="10"/>
  <c r="AR18" i="10"/>
  <c r="AN18" i="10"/>
  <c r="AY17" i="10"/>
  <c r="AY25" i="10" s="1"/>
  <c r="AZ16" i="10"/>
  <c r="BA16" i="10" s="1"/>
  <c r="BA17" i="10" s="1"/>
  <c r="BA25" i="10" s="1"/>
  <c r="AJ17" i="10"/>
  <c r="AJ25" i="10" s="1"/>
  <c r="AI17" i="10"/>
  <c r="AI25" i="10" s="1"/>
  <c r="AX17" i="10"/>
  <c r="AX25" i="10" s="1"/>
  <c r="AT17" i="10"/>
  <c r="AT25" i="10" s="1"/>
  <c r="AP17" i="10"/>
  <c r="AP25" i="10" s="1"/>
  <c r="AL17" i="10"/>
  <c r="AL25" i="10" s="1"/>
  <c r="AH17" i="10"/>
  <c r="AH25" i="10" s="1"/>
  <c r="AU17" i="10"/>
  <c r="AU25" i="10" s="1"/>
  <c r="AM17" i="10"/>
  <c r="AM25" i="10" s="1"/>
  <c r="AW17" i="10"/>
  <c r="AW25" i="10" s="1"/>
  <c r="AS17" i="10"/>
  <c r="AS25" i="10" s="1"/>
  <c r="AO17" i="10"/>
  <c r="AO25" i="10" s="1"/>
  <c r="AK17" i="10"/>
  <c r="AK25" i="10" s="1"/>
  <c r="AG17" i="10"/>
  <c r="AG25" i="10" s="1"/>
  <c r="AV17" i="10"/>
  <c r="AV25" i="10" s="1"/>
  <c r="AR17" i="10"/>
  <c r="AR25" i="10" s="1"/>
  <c r="AN17" i="10"/>
  <c r="AN25" i="10" s="1"/>
  <c r="H27" i="10"/>
  <c r="M17" i="10" s="1"/>
  <c r="H29" i="10" s="1"/>
  <c r="H20" i="10"/>
  <c r="H21" i="10" s="1"/>
  <c r="H16" i="9"/>
  <c r="H15" i="9"/>
  <c r="AU34" i="15" l="1"/>
  <c r="AJ34" i="15"/>
  <c r="AZ34" i="15"/>
  <c r="AK34" i="15"/>
  <c r="BA34" i="15"/>
  <c r="AI34" i="15"/>
  <c r="AY34" i="15"/>
  <c r="AP34" i="15"/>
  <c r="AO34" i="15"/>
  <c r="AM34" i="15"/>
  <c r="AH34" i="15"/>
  <c r="AR34" i="15"/>
  <c r="AX34" i="15"/>
  <c r="AS34" i="15"/>
  <c r="AL34" i="15"/>
  <c r="AN34" i="15"/>
  <c r="AQ34" i="15"/>
  <c r="AT34" i="15"/>
  <c r="AV34" i="15"/>
  <c r="AG34" i="15"/>
  <c r="AS34" i="16"/>
  <c r="AX34" i="16"/>
  <c r="AL34" i="16"/>
  <c r="AM34" i="16"/>
  <c r="AW34" i="16"/>
  <c r="AY34" i="16"/>
  <c r="AV34" i="16"/>
  <c r="AG34" i="16"/>
  <c r="AU34" i="16"/>
  <c r="AT34" i="16"/>
  <c r="BA34" i="16"/>
  <c r="AP34" i="16"/>
  <c r="AI34" i="16"/>
  <c r="AZ34" i="16"/>
  <c r="AH34" i="16"/>
  <c r="AK34" i="16"/>
  <c r="AN34" i="16"/>
  <c r="AJ34" i="16"/>
  <c r="AQ34" i="16"/>
  <c r="AR34" i="16"/>
  <c r="AO34" i="16"/>
  <c r="AX53" i="16"/>
  <c r="AY32" i="16"/>
  <c r="AY40" i="16" s="1"/>
  <c r="AU32" i="16"/>
  <c r="AU40" i="16" s="1"/>
  <c r="AM32" i="16"/>
  <c r="AM40" i="16" s="1"/>
  <c r="AI32" i="16"/>
  <c r="AI40" i="16" s="1"/>
  <c r="AX32" i="16"/>
  <c r="AX40" i="16" s="1"/>
  <c r="AP32" i="16"/>
  <c r="AP40" i="16" s="1"/>
  <c r="AL32" i="16"/>
  <c r="AL40" i="16" s="1"/>
  <c r="AW32" i="16"/>
  <c r="AW40" i="16" s="1"/>
  <c r="AG32" i="16"/>
  <c r="AG40" i="16" s="1"/>
  <c r="AT32" i="16"/>
  <c r="AT40" i="16" s="1"/>
  <c r="AH32" i="16"/>
  <c r="AH40" i="16" s="1"/>
  <c r="BA32" i="16"/>
  <c r="BA40" i="16" s="1"/>
  <c r="AS32" i="16"/>
  <c r="AS40" i="16" s="1"/>
  <c r="AK32" i="16"/>
  <c r="AK40" i="16" s="1"/>
  <c r="AQ40" i="16"/>
  <c r="AO32" i="16"/>
  <c r="AO40" i="16" s="1"/>
  <c r="AV32" i="16"/>
  <c r="AV40" i="16" s="1"/>
  <c r="AR32" i="16"/>
  <c r="AR40" i="16" s="1"/>
  <c r="AN32" i="16"/>
  <c r="AN40" i="16" s="1"/>
  <c r="AJ32" i="16"/>
  <c r="AJ40" i="16" s="1"/>
  <c r="AZ32" i="16"/>
  <c r="AZ40" i="16" s="1"/>
  <c r="AY53" i="16"/>
  <c r="H26" i="16"/>
  <c r="H27" i="16"/>
  <c r="AT32" i="15"/>
  <c r="AT40" i="15" s="1"/>
  <c r="AQ40" i="15"/>
  <c r="AP32" i="15"/>
  <c r="AP40" i="15" s="1"/>
  <c r="H41" i="15"/>
  <c r="H42" i="15" s="1"/>
  <c r="M32" i="15" s="1"/>
  <c r="AX37" i="15"/>
  <c r="AT37" i="15"/>
  <c r="AP37" i="15"/>
  <c r="AL37" i="15"/>
  <c r="AH37" i="15"/>
  <c r="AH51" i="15" s="1"/>
  <c r="BA37" i="15"/>
  <c r="AW37" i="15"/>
  <c r="AS37" i="15"/>
  <c r="AO37" i="15"/>
  <c r="AK37" i="15"/>
  <c r="AK51" i="15" s="1"/>
  <c r="AG37" i="15"/>
  <c r="AY37" i="15"/>
  <c r="AI37" i="15"/>
  <c r="AN37" i="15"/>
  <c r="AZ37" i="15"/>
  <c r="AV37" i="15"/>
  <c r="AR37" i="15"/>
  <c r="AJ37" i="15"/>
  <c r="AU37" i="15"/>
  <c r="AM37" i="15"/>
  <c r="AQ37" i="15"/>
  <c r="H35" i="15"/>
  <c r="H36" i="15" s="1"/>
  <c r="M31" i="15" s="1"/>
  <c r="H38" i="15" s="1"/>
  <c r="M34" i="15" s="1"/>
  <c r="AU31" i="15"/>
  <c r="AR32" i="15"/>
  <c r="AR40" i="15" s="1"/>
  <c r="AS32" i="15"/>
  <c r="AS40" i="15" s="1"/>
  <c r="AN32" i="15"/>
  <c r="AN40" i="15" s="1"/>
  <c r="AL31" i="15"/>
  <c r="AM32" i="15"/>
  <c r="AM40" i="15" s="1"/>
  <c r="C27" i="11"/>
  <c r="D26" i="11"/>
  <c r="F26" i="11" s="1"/>
  <c r="AZ38" i="10"/>
  <c r="AX38" i="10"/>
  <c r="AY38" i="10"/>
  <c r="BA38" i="10"/>
  <c r="AY29" i="10"/>
  <c r="AY30" i="10" s="1"/>
  <c r="AU38" i="10" s="1"/>
  <c r="AQ39" i="10"/>
  <c r="AM37" i="10"/>
  <c r="AM10" i="10" s="1"/>
  <c r="AM39" i="10" s="1"/>
  <c r="AQ29" i="10"/>
  <c r="AQ30" i="10" s="1"/>
  <c r="AQ9" i="10" s="1"/>
  <c r="AI29" i="10"/>
  <c r="AI30" i="10" s="1"/>
  <c r="AM29" i="10"/>
  <c r="AM30" i="10" s="1"/>
  <c r="AI37" i="10"/>
  <c r="AI10" i="10" s="1"/>
  <c r="AI39" i="10" s="1"/>
  <c r="AU29" i="10"/>
  <c r="AU30" i="10" s="1"/>
  <c r="AV29" i="10"/>
  <c r="AV30" i="10" s="1"/>
  <c r="AV36" i="10"/>
  <c r="AV37" i="10" s="1"/>
  <c r="AV10" i="10" s="1"/>
  <c r="AV39" i="10" s="1"/>
  <c r="AX36" i="10"/>
  <c r="AX37" i="10" s="1"/>
  <c r="AX10" i="10" s="1"/>
  <c r="AX39" i="10" s="1"/>
  <c r="AX29" i="10"/>
  <c r="AX30" i="10" s="1"/>
  <c r="AO36" i="10"/>
  <c r="AO29" i="10"/>
  <c r="AO30" i="10" s="1"/>
  <c r="AK38" i="10" s="1"/>
  <c r="AT29" i="10"/>
  <c r="AT30" i="10" s="1"/>
  <c r="AP38" i="10" s="1"/>
  <c r="AT36" i="10"/>
  <c r="AT37" i="10" s="1"/>
  <c r="AT10" i="10" s="1"/>
  <c r="AT39" i="10" s="1"/>
  <c r="AJ29" i="10"/>
  <c r="AJ30" i="10" s="1"/>
  <c r="AJ36" i="10"/>
  <c r="AJ37" i="10" s="1"/>
  <c r="AJ10" i="10" s="1"/>
  <c r="AZ29" i="10"/>
  <c r="AZ36" i="10"/>
  <c r="AS29" i="10"/>
  <c r="AS30" i="10" s="1"/>
  <c r="AS36" i="10"/>
  <c r="AS37" i="10" s="1"/>
  <c r="AP36" i="10"/>
  <c r="AP37" i="10" s="1"/>
  <c r="AP10" i="10" s="1"/>
  <c r="AP39" i="10" s="1"/>
  <c r="AP29" i="10"/>
  <c r="AP30" i="10" s="1"/>
  <c r="AN29" i="10"/>
  <c r="AN30" i="10" s="1"/>
  <c r="AN36" i="10"/>
  <c r="AN37" i="10" s="1"/>
  <c r="BA36" i="10"/>
  <c r="BA37" i="10" s="1"/>
  <c r="BA29" i="10"/>
  <c r="BA30" i="10" s="1"/>
  <c r="AG36" i="10"/>
  <c r="AG37" i="10" s="1"/>
  <c r="AG10" i="10" s="1"/>
  <c r="AG39" i="10" s="1"/>
  <c r="AG29" i="10"/>
  <c r="AG30" i="10" s="1"/>
  <c r="AW36" i="10"/>
  <c r="AW37" i="10" s="1"/>
  <c r="AW29" i="10"/>
  <c r="AW30" i="10" s="1"/>
  <c r="AO37" i="10"/>
  <c r="AO10" i="10" s="1"/>
  <c r="AO39" i="10" s="1"/>
  <c r="AR29" i="10"/>
  <c r="AR30" i="10" s="1"/>
  <c r="AR36" i="10"/>
  <c r="AR37" i="10" s="1"/>
  <c r="AL36" i="10"/>
  <c r="AL37" i="10" s="1"/>
  <c r="AL10" i="10" s="1"/>
  <c r="AL39" i="10" s="1"/>
  <c r="AL29" i="10"/>
  <c r="AL30" i="10" s="1"/>
  <c r="AH38" i="10" s="1"/>
  <c r="AK29" i="10"/>
  <c r="AK30" i="10" s="1"/>
  <c r="AK36" i="10"/>
  <c r="AK37" i="10" s="1"/>
  <c r="AK10" i="10" s="1"/>
  <c r="AK39" i="10" s="1"/>
  <c r="AH29" i="10"/>
  <c r="AH30" i="10" s="1"/>
  <c r="AH36" i="10"/>
  <c r="AH37" i="10" s="1"/>
  <c r="AH10" i="10" s="1"/>
  <c r="AH39" i="10" s="1"/>
  <c r="AZ17" i="10"/>
  <c r="AZ25" i="10" s="1"/>
  <c r="AY37" i="10"/>
  <c r="AU37" i="10"/>
  <c r="M16" i="10"/>
  <c r="H23" i="10" s="1"/>
  <c r="M19" i="10" s="1"/>
  <c r="H17" i="10"/>
  <c r="AY37" i="16" l="1"/>
  <c r="AY51" i="16" s="1"/>
  <c r="AY52" i="16" s="1"/>
  <c r="AU37" i="16"/>
  <c r="AU51" i="16" s="1"/>
  <c r="AU52" i="16" s="1"/>
  <c r="AQ37" i="16"/>
  <c r="AQ51" i="16" s="1"/>
  <c r="AQ52" i="16" s="1"/>
  <c r="AM37" i="16"/>
  <c r="AM51" i="16" s="1"/>
  <c r="AM52" i="16" s="1"/>
  <c r="AI37" i="16"/>
  <c r="AI51" i="16" s="1"/>
  <c r="AI52" i="16" s="1"/>
  <c r="AZ37" i="16"/>
  <c r="AZ51" i="16" s="1"/>
  <c r="AZ52" i="16" s="1"/>
  <c r="AT37" i="16"/>
  <c r="AT51" i="16" s="1"/>
  <c r="AT52" i="16" s="1"/>
  <c r="AO37" i="16"/>
  <c r="AO51" i="16" s="1"/>
  <c r="AO52" i="16" s="1"/>
  <c r="AJ37" i="16"/>
  <c r="AJ51" i="16" s="1"/>
  <c r="AJ52" i="16" s="1"/>
  <c r="AX37" i="16"/>
  <c r="AX51" i="16" s="1"/>
  <c r="AX52" i="16" s="1"/>
  <c r="AS37" i="16"/>
  <c r="AS51" i="16" s="1"/>
  <c r="AS52" i="16" s="1"/>
  <c r="AN37" i="16"/>
  <c r="AN51" i="16" s="1"/>
  <c r="AN52" i="16" s="1"/>
  <c r="AH37" i="16"/>
  <c r="AH51" i="16" s="1"/>
  <c r="AH52" i="16" s="1"/>
  <c r="AW37" i="16"/>
  <c r="AW51" i="16" s="1"/>
  <c r="AW52" i="16" s="1"/>
  <c r="AR37" i="16"/>
  <c r="AR51" i="16" s="1"/>
  <c r="AR52" i="16" s="1"/>
  <c r="H41" i="16"/>
  <c r="H42" i="16" s="1"/>
  <c r="AL37" i="16"/>
  <c r="AL51" i="16" s="1"/>
  <c r="AL52" i="16" s="1"/>
  <c r="AG37" i="16"/>
  <c r="AG51" i="16" s="1"/>
  <c r="AG52" i="16" s="1"/>
  <c r="BA37" i="16"/>
  <c r="BA51" i="16" s="1"/>
  <c r="BA52" i="16" s="1"/>
  <c r="AV37" i="16"/>
  <c r="AV51" i="16" s="1"/>
  <c r="AV52" i="16" s="1"/>
  <c r="AP37" i="16"/>
  <c r="AP51" i="16" s="1"/>
  <c r="AP52" i="16" s="1"/>
  <c r="AK37" i="16"/>
  <c r="AK51" i="16" s="1"/>
  <c r="AK52" i="16" s="1"/>
  <c r="BA36" i="16"/>
  <c r="AW36" i="16"/>
  <c r="AS36" i="16"/>
  <c r="AO36" i="16"/>
  <c r="AK36" i="16"/>
  <c r="AG36" i="16"/>
  <c r="AZ36" i="16"/>
  <c r="AU36" i="16"/>
  <c r="AP36" i="16"/>
  <c r="AJ36" i="16"/>
  <c r="AT36" i="16"/>
  <c r="AN36" i="16"/>
  <c r="AI36" i="16"/>
  <c r="H35" i="16"/>
  <c r="H36" i="16" s="1"/>
  <c r="M31" i="16" s="1"/>
  <c r="AM36" i="16"/>
  <c r="AY36" i="16"/>
  <c r="AX36" i="16"/>
  <c r="AH36" i="16"/>
  <c r="AR36" i="16"/>
  <c r="AV36" i="16"/>
  <c r="AQ36" i="16"/>
  <c r="AL36" i="16"/>
  <c r="H37" i="15"/>
  <c r="M33" i="15" s="1"/>
  <c r="H47" i="15" s="1"/>
  <c r="AH44" i="15"/>
  <c r="AV51" i="15"/>
  <c r="AV44" i="15"/>
  <c r="AS51" i="15"/>
  <c r="AS52" i="15" s="1"/>
  <c r="AS25" i="15" s="1"/>
  <c r="AS44" i="15"/>
  <c r="AS45" i="15" s="1"/>
  <c r="AZ51" i="15"/>
  <c r="AZ44" i="15"/>
  <c r="H32" i="15"/>
  <c r="AJ51" i="15"/>
  <c r="AJ44" i="15"/>
  <c r="AN51" i="15"/>
  <c r="AN52" i="15" s="1"/>
  <c r="AN25" i="15" s="1"/>
  <c r="AN54" i="15" s="1"/>
  <c r="AN44" i="15"/>
  <c r="AN45" i="15" s="1"/>
  <c r="AJ53" i="15" s="1"/>
  <c r="BA51" i="15"/>
  <c r="BA44" i="15"/>
  <c r="AT51" i="15"/>
  <c r="AT52" i="15" s="1"/>
  <c r="AT25" i="15" s="1"/>
  <c r="AT44" i="15"/>
  <c r="AT45" i="15" s="1"/>
  <c r="AK44" i="15"/>
  <c r="AQ51" i="15"/>
  <c r="AQ52" i="15" s="1"/>
  <c r="AQ25" i="15" s="1"/>
  <c r="AQ54" i="15" s="1"/>
  <c r="AQ44" i="15"/>
  <c r="AQ45" i="15" s="1"/>
  <c r="AM53" i="15" s="1"/>
  <c r="AR51" i="15"/>
  <c r="AR44" i="15"/>
  <c r="AR45" i="15" s="1"/>
  <c r="AR24" i="15" s="1"/>
  <c r="AI51" i="15"/>
  <c r="AI44" i="15"/>
  <c r="AO51" i="15"/>
  <c r="AO52" i="15" s="1"/>
  <c r="AO44" i="15"/>
  <c r="AO45" i="15" s="1"/>
  <c r="AX51" i="15"/>
  <c r="AX44" i="15"/>
  <c r="AU51" i="15"/>
  <c r="AU44" i="15"/>
  <c r="AG51" i="15"/>
  <c r="AG44" i="15"/>
  <c r="AW51" i="15"/>
  <c r="AW44" i="15"/>
  <c r="AP51" i="15"/>
  <c r="AP52" i="15" s="1"/>
  <c r="AP44" i="15"/>
  <c r="AP45" i="15" s="1"/>
  <c r="AR52" i="15"/>
  <c r="AR25" i="15" s="1"/>
  <c r="AR54" i="15" s="1"/>
  <c r="AM51" i="15"/>
  <c r="AM52" i="15" s="1"/>
  <c r="AM44" i="15"/>
  <c r="AM45" i="15" s="1"/>
  <c r="AY51" i="15"/>
  <c r="AY44" i="15"/>
  <c r="AL51" i="15"/>
  <c r="AL44" i="15"/>
  <c r="AV31" i="15"/>
  <c r="AU32" i="15"/>
  <c r="AU40" i="15" s="1"/>
  <c r="AL32" i="15"/>
  <c r="AL40" i="15" s="1"/>
  <c r="AK31" i="15"/>
  <c r="H44" i="15"/>
  <c r="D27" i="11"/>
  <c r="F27" i="11" s="1"/>
  <c r="C28" i="11"/>
  <c r="AJ39" i="10"/>
  <c r="AY26" i="10"/>
  <c r="AY9" i="10"/>
  <c r="AY32" i="10" s="1"/>
  <c r="AY12" i="10" s="1"/>
  <c r="AQ26" i="10"/>
  <c r="AI26" i="10"/>
  <c r="AM38" i="10"/>
  <c r="AI9" i="10"/>
  <c r="AI32" i="10" s="1"/>
  <c r="AI12" i="10" s="1"/>
  <c r="AI38" i="10"/>
  <c r="AM9" i="10"/>
  <c r="AM32" i="10" s="1"/>
  <c r="AM12" i="10" s="1"/>
  <c r="AQ38" i="10"/>
  <c r="AU9" i="10"/>
  <c r="AU32" i="10" s="1"/>
  <c r="AU12" i="10" s="1"/>
  <c r="AZ30" i="10"/>
  <c r="AV38" i="10" s="1"/>
  <c r="AY10" i="10"/>
  <c r="AS38" i="10"/>
  <c r="AW9" i="10"/>
  <c r="AW32" i="10" s="1"/>
  <c r="AW12" i="10" s="1"/>
  <c r="AW38" i="10"/>
  <c r="BA9" i="10"/>
  <c r="BA32" i="10" s="1"/>
  <c r="BA12" i="10" s="1"/>
  <c r="AG38" i="10"/>
  <c r="AK9" i="10"/>
  <c r="AK31" i="10" s="1"/>
  <c r="AK11" i="10" s="1"/>
  <c r="AN38" i="10"/>
  <c r="AR9" i="10"/>
  <c r="AR31" i="10" s="1"/>
  <c r="AR11" i="10" s="1"/>
  <c r="AO38" i="10"/>
  <c r="AS9" i="10"/>
  <c r="AS32" i="10" s="1"/>
  <c r="AS12" i="10" s="1"/>
  <c r="AJ26" i="10"/>
  <c r="AJ9" i="10"/>
  <c r="AJ32" i="10" s="1"/>
  <c r="AJ12" i="10" s="1"/>
  <c r="AL38" i="10"/>
  <c r="AP9" i="10"/>
  <c r="AP32" i="10" s="1"/>
  <c r="AP12" i="10" s="1"/>
  <c r="AR38" i="10"/>
  <c r="AV26" i="10"/>
  <c r="AV9" i="10"/>
  <c r="AV31" i="10" s="1"/>
  <c r="AV11" i="10" s="1"/>
  <c r="AJ38" i="10"/>
  <c r="AN9" i="10"/>
  <c r="AN31" i="10" s="1"/>
  <c r="AN11" i="10" s="1"/>
  <c r="AT38" i="10"/>
  <c r="AX9" i="10"/>
  <c r="AX32" i="10" s="1"/>
  <c r="AX12" i="10" s="1"/>
  <c r="AG26" i="10"/>
  <c r="AX26" i="10"/>
  <c r="AH26" i="10"/>
  <c r="AK26" i="10"/>
  <c r="AO9" i="10"/>
  <c r="AO31" i="10" s="1"/>
  <c r="AO11" i="10" s="1"/>
  <c r="AL26" i="10"/>
  <c r="AZ37" i="10"/>
  <c r="AZ10" i="10" s="1"/>
  <c r="AL9" i="10"/>
  <c r="AL32" i="10" s="1"/>
  <c r="AL12" i="10" s="1"/>
  <c r="AO26" i="10"/>
  <c r="AP26" i="10"/>
  <c r="AG9" i="10"/>
  <c r="AG32" i="10" s="1"/>
  <c r="AG12" i="10" s="1"/>
  <c r="AM26" i="10"/>
  <c r="AT9" i="10"/>
  <c r="AT31" i="10" s="1"/>
  <c r="AT11" i="10" s="1"/>
  <c r="AU26" i="10"/>
  <c r="AU10" i="10"/>
  <c r="AT26" i="10"/>
  <c r="AN10" i="10"/>
  <c r="AN26" i="10"/>
  <c r="AS10" i="10"/>
  <c r="AS26" i="10"/>
  <c r="BA10" i="10"/>
  <c r="BA26" i="10"/>
  <c r="AH9" i="10"/>
  <c r="AH32" i="10" s="1"/>
  <c r="AH12" i="10" s="1"/>
  <c r="AW10" i="10"/>
  <c r="AW26" i="10"/>
  <c r="AR10" i="10"/>
  <c r="AR26" i="10"/>
  <c r="AQ32" i="10"/>
  <c r="AQ12" i="10" s="1"/>
  <c r="AQ31" i="10"/>
  <c r="AQ11" i="10" s="1"/>
  <c r="H22" i="10"/>
  <c r="M18" i="10" s="1"/>
  <c r="AU44" i="16" l="1"/>
  <c r="AU45" i="16" s="1"/>
  <c r="AU41" i="16" s="1"/>
  <c r="AQ44" i="16"/>
  <c r="AQ45" i="16" s="1"/>
  <c r="AM53" i="16" s="1"/>
  <c r="AI44" i="16"/>
  <c r="AI45" i="16" s="1"/>
  <c r="AI24" i="16" s="1"/>
  <c r="AI47" i="16" s="1"/>
  <c r="AI27" i="16" s="1"/>
  <c r="AY44" i="16"/>
  <c r="AY45" i="16" s="1"/>
  <c r="AY24" i="16" s="1"/>
  <c r="AX44" i="16"/>
  <c r="AX45" i="16" s="1"/>
  <c r="AX24" i="16" s="1"/>
  <c r="AP44" i="16"/>
  <c r="AP45" i="16" s="1"/>
  <c r="AL53" i="16" s="1"/>
  <c r="AK44" i="16"/>
  <c r="AK45" i="16" s="1"/>
  <c r="AG53" i="16" s="1"/>
  <c r="AV44" i="16"/>
  <c r="AV45" i="16" s="1"/>
  <c r="AV24" i="16" s="1"/>
  <c r="AN44" i="16"/>
  <c r="AN45" i="16" s="1"/>
  <c r="AN41" i="16" s="1"/>
  <c r="AO44" i="16"/>
  <c r="AO45" i="16" s="1"/>
  <c r="AO24" i="16" s="1"/>
  <c r="AM44" i="16"/>
  <c r="AM45" i="16" s="1"/>
  <c r="AM41" i="16" s="1"/>
  <c r="BA44" i="16"/>
  <c r="BA45" i="16" s="1"/>
  <c r="AR25" i="16"/>
  <c r="AS25" i="16"/>
  <c r="AT25" i="16"/>
  <c r="AQ25" i="16"/>
  <c r="AK25" i="16"/>
  <c r="AG25" i="16"/>
  <c r="AW25" i="16"/>
  <c r="AX25" i="16"/>
  <c r="AZ25" i="16"/>
  <c r="AU25" i="16"/>
  <c r="AR44" i="16"/>
  <c r="AR45" i="16" s="1"/>
  <c r="AR41" i="16" s="1"/>
  <c r="AT44" i="16"/>
  <c r="AT45" i="16" s="1"/>
  <c r="AZ44" i="16"/>
  <c r="AZ45" i="16" s="1"/>
  <c r="AS44" i="16"/>
  <c r="AS45" i="16" s="1"/>
  <c r="AP25" i="16"/>
  <c r="AL25" i="16"/>
  <c r="AH25" i="16"/>
  <c r="AJ25" i="16"/>
  <c r="AI25" i="16"/>
  <c r="AY25" i="16"/>
  <c r="AL44" i="16"/>
  <c r="AL45" i="16" s="1"/>
  <c r="AH44" i="16"/>
  <c r="AH45" i="16" s="1"/>
  <c r="AH24" i="16" s="1"/>
  <c r="H38" i="16"/>
  <c r="M34" i="16" s="1"/>
  <c r="H37" i="16"/>
  <c r="M33" i="16" s="1"/>
  <c r="AJ44" i="16"/>
  <c r="AJ45" i="16" s="1"/>
  <c r="AJ24" i="16" s="1"/>
  <c r="AG44" i="16"/>
  <c r="AG45" i="16" s="1"/>
  <c r="AG24" i="16" s="1"/>
  <c r="AW44" i="16"/>
  <c r="AW45" i="16" s="1"/>
  <c r="AV25" i="16"/>
  <c r="H32" i="16"/>
  <c r="M32" i="16"/>
  <c r="AN25" i="16"/>
  <c r="AO25" i="16"/>
  <c r="AM25" i="16"/>
  <c r="BA25" i="16"/>
  <c r="H48" i="15"/>
  <c r="H50" i="15" s="1"/>
  <c r="AT41" i="15"/>
  <c r="AQ24" i="15"/>
  <c r="AQ47" i="15" s="1"/>
  <c r="AQ27" i="15" s="1"/>
  <c r="AO53" i="15"/>
  <c r="AS24" i="15"/>
  <c r="AP24" i="15"/>
  <c r="AL53" i="15"/>
  <c r="AT24" i="15"/>
  <c r="AP53" i="15"/>
  <c r="AR41" i="15"/>
  <c r="AQ41" i="15"/>
  <c r="AP41" i="15"/>
  <c r="AP25" i="15"/>
  <c r="AN53" i="15"/>
  <c r="AO24" i="15"/>
  <c r="AK53" i="15"/>
  <c r="AO41" i="15"/>
  <c r="AO25" i="15"/>
  <c r="AU52" i="15"/>
  <c r="AU45" i="15"/>
  <c r="AW31" i="15"/>
  <c r="AV32" i="15"/>
  <c r="AV40" i="15" s="1"/>
  <c r="AN24" i="15"/>
  <c r="AN46" i="15" s="1"/>
  <c r="AN26" i="15" s="1"/>
  <c r="AN41" i="15"/>
  <c r="AS41" i="15"/>
  <c r="H59" i="15"/>
  <c r="N27" i="15"/>
  <c r="AT54" i="15"/>
  <c r="AM24" i="15"/>
  <c r="AI53" i="15"/>
  <c r="AM41" i="15"/>
  <c r="AM25" i="15"/>
  <c r="AJ31" i="15"/>
  <c r="AK32" i="15"/>
  <c r="AK40" i="15" s="1"/>
  <c r="AR47" i="15"/>
  <c r="AR27" i="15" s="1"/>
  <c r="AR46" i="15"/>
  <c r="AR26" i="15" s="1"/>
  <c r="AS54" i="15"/>
  <c r="AL52" i="15"/>
  <c r="AL45" i="15"/>
  <c r="C29" i="11"/>
  <c r="D28" i="11"/>
  <c r="F28" i="11" s="1"/>
  <c r="H32" i="10"/>
  <c r="N12" i="10" s="1"/>
  <c r="H33" i="10"/>
  <c r="AQ43" i="10"/>
  <c r="BA39" i="10"/>
  <c r="AR39" i="10"/>
  <c r="AN39" i="10"/>
  <c r="AW39" i="10"/>
  <c r="AS39" i="10"/>
  <c r="AU39" i="10"/>
  <c r="AZ39" i="10"/>
  <c r="AY39" i="10"/>
  <c r="AY31" i="10"/>
  <c r="AY11" i="10" s="1"/>
  <c r="AY43" i="10" s="1"/>
  <c r="AI31" i="10"/>
  <c r="AI11" i="10" s="1"/>
  <c r="AI43" i="10" s="1"/>
  <c r="AT32" i="10"/>
  <c r="AT12" i="10" s="1"/>
  <c r="AT43" i="10" s="1"/>
  <c r="AU31" i="10"/>
  <c r="AU11" i="10" s="1"/>
  <c r="AU44" i="10" s="1"/>
  <c r="AG31" i="10"/>
  <c r="AG11" i="10" s="1"/>
  <c r="AG43" i="10" s="1"/>
  <c r="AM31" i="10"/>
  <c r="AM11" i="10" s="1"/>
  <c r="AM43" i="10" s="1"/>
  <c r="AN32" i="10"/>
  <c r="AN12" i="10" s="1"/>
  <c r="AN44" i="10" s="1"/>
  <c r="AV32" i="10"/>
  <c r="AV12" i="10" s="1"/>
  <c r="AJ31" i="10"/>
  <c r="AJ11" i="10" s="1"/>
  <c r="AX31" i="10"/>
  <c r="AX11" i="10" s="1"/>
  <c r="AX43" i="10" s="1"/>
  <c r="AW31" i="10"/>
  <c r="AW11" i="10" s="1"/>
  <c r="AW44" i="10" s="1"/>
  <c r="AO32" i="10"/>
  <c r="AO12" i="10" s="1"/>
  <c r="AO44" i="10" s="1"/>
  <c r="AK32" i="10"/>
  <c r="AK12" i="10" s="1"/>
  <c r="AK44" i="10" s="1"/>
  <c r="AZ9" i="10"/>
  <c r="AZ31" i="10" s="1"/>
  <c r="AZ11" i="10" s="1"/>
  <c r="AS31" i="10"/>
  <c r="AS11" i="10" s="1"/>
  <c r="AS44" i="10" s="1"/>
  <c r="AP31" i="10"/>
  <c r="AP11" i="10" s="1"/>
  <c r="AP43" i="10" s="1"/>
  <c r="AL31" i="10"/>
  <c r="AL11" i="10" s="1"/>
  <c r="AR32" i="10"/>
  <c r="AR12" i="10" s="1"/>
  <c r="AR43" i="10" s="1"/>
  <c r="BA31" i="10"/>
  <c r="BA11" i="10" s="1"/>
  <c r="BA43" i="10" s="1"/>
  <c r="AZ26" i="10"/>
  <c r="AH31" i="10"/>
  <c r="AH11" i="10" s="1"/>
  <c r="AQ44" i="10"/>
  <c r="AU24" i="16" l="1"/>
  <c r="AQ53" i="16"/>
  <c r="AQ24" i="16"/>
  <c r="AY41" i="16"/>
  <c r="AQ41" i="16"/>
  <c r="AU53" i="16"/>
  <c r="AI41" i="16"/>
  <c r="AT53" i="16"/>
  <c r="AP24" i="16"/>
  <c r="AP47" i="16" s="1"/>
  <c r="AP27" i="16" s="1"/>
  <c r="AI46" i="16"/>
  <c r="AI26" i="16" s="1"/>
  <c r="AI58" i="16" s="1"/>
  <c r="AX41" i="16"/>
  <c r="AK24" i="16"/>
  <c r="AK47" i="16" s="1"/>
  <c r="AK27" i="16" s="1"/>
  <c r="AK41" i="16"/>
  <c r="AR53" i="16"/>
  <c r="AP41" i="16"/>
  <c r="AV41" i="16"/>
  <c r="AN24" i="16"/>
  <c r="AN46" i="16" s="1"/>
  <c r="AN26" i="16" s="1"/>
  <c r="AO41" i="16"/>
  <c r="AI53" i="16"/>
  <c r="AJ53" i="16"/>
  <c r="AK53" i="16"/>
  <c r="AH41" i="16"/>
  <c r="AM24" i="16"/>
  <c r="AM47" i="16" s="1"/>
  <c r="AM27" i="16" s="1"/>
  <c r="AG41" i="16"/>
  <c r="AV46" i="16"/>
  <c r="AV26" i="16" s="1"/>
  <c r="AV47" i="16"/>
  <c r="AV27" i="16" s="1"/>
  <c r="AM54" i="16"/>
  <c r="AN54" i="16"/>
  <c r="AV54" i="16"/>
  <c r="AJ47" i="16"/>
  <c r="AJ27" i="16" s="1"/>
  <c r="AJ46" i="16"/>
  <c r="AJ26" i="16" s="1"/>
  <c r="AL24" i="16"/>
  <c r="AH53" i="16"/>
  <c r="AP54" i="16"/>
  <c r="AO47" i="16"/>
  <c r="AO27" i="16" s="1"/>
  <c r="AO46" i="16"/>
  <c r="AO26" i="16" s="1"/>
  <c r="AT54" i="16"/>
  <c r="AX46" i="16"/>
  <c r="AX26" i="16" s="1"/>
  <c r="AX47" i="16"/>
  <c r="AX27" i="16" s="1"/>
  <c r="AY54" i="16"/>
  <c r="AJ54" i="16"/>
  <c r="AL41" i="16"/>
  <c r="AS24" i="16"/>
  <c r="AO53" i="16"/>
  <c r="AZ54" i="16"/>
  <c r="AW54" i="16"/>
  <c r="AQ54" i="16"/>
  <c r="AS54" i="16"/>
  <c r="BA24" i="16"/>
  <c r="AW53" i="16"/>
  <c r="BA41" i="16"/>
  <c r="H47" i="16"/>
  <c r="H44" i="16"/>
  <c r="H48" i="16"/>
  <c r="AW24" i="16"/>
  <c r="AS53" i="16"/>
  <c r="AJ41" i="16"/>
  <c r="AL54" i="16"/>
  <c r="AZ24" i="16"/>
  <c r="AV53" i="16"/>
  <c r="AR24" i="16"/>
  <c r="AN53" i="16"/>
  <c r="AZ41" i="16"/>
  <c r="AW41" i="16"/>
  <c r="AK54" i="16"/>
  <c r="AU47" i="16"/>
  <c r="AU27" i="16" s="1"/>
  <c r="AU46" i="16"/>
  <c r="AU26" i="16" s="1"/>
  <c r="AY46" i="16"/>
  <c r="AY26" i="16" s="1"/>
  <c r="AY47" i="16"/>
  <c r="AY27" i="16" s="1"/>
  <c r="AS41" i="16"/>
  <c r="AQ46" i="16"/>
  <c r="AQ26" i="16" s="1"/>
  <c r="AQ47" i="16"/>
  <c r="AQ27" i="16" s="1"/>
  <c r="BA54" i="16"/>
  <c r="AO54" i="16"/>
  <c r="AG47" i="16"/>
  <c r="AG27" i="16" s="1"/>
  <c r="AG46" i="16"/>
  <c r="AG26" i="16" s="1"/>
  <c r="AH47" i="16"/>
  <c r="AH27" i="16" s="1"/>
  <c r="AH46" i="16"/>
  <c r="AH26" i="16" s="1"/>
  <c r="AI54" i="16"/>
  <c r="AH54" i="16"/>
  <c r="AT24" i="16"/>
  <c r="AP53" i="16"/>
  <c r="AU54" i="16"/>
  <c r="AX54" i="16"/>
  <c r="AG54" i="16"/>
  <c r="AT41" i="16"/>
  <c r="AR54" i="16"/>
  <c r="P27" i="15"/>
  <c r="H60" i="15"/>
  <c r="H62" i="15" s="1"/>
  <c r="AQ46" i="15"/>
  <c r="AQ26" i="15" s="1"/>
  <c r="AO54" i="15"/>
  <c r="AS46" i="15"/>
  <c r="AS26" i="15" s="1"/>
  <c r="AS47" i="15"/>
  <c r="AS27" i="15" s="1"/>
  <c r="AP54" i="15"/>
  <c r="AP47" i="15"/>
  <c r="AP27" i="15" s="1"/>
  <c r="AP46" i="15"/>
  <c r="AP26" i="15" s="1"/>
  <c r="AO46" i="15"/>
  <c r="AO26" i="15" s="1"/>
  <c r="AO47" i="15"/>
  <c r="AO27" i="15" s="1"/>
  <c r="AT46" i="15"/>
  <c r="AT26" i="15" s="1"/>
  <c r="AT47" i="15"/>
  <c r="AT27" i="15" s="1"/>
  <c r="AV52" i="15"/>
  <c r="AV45" i="15"/>
  <c r="AN47" i="15"/>
  <c r="AN27" i="15" s="1"/>
  <c r="AN59" i="15" s="1"/>
  <c r="AX31" i="15"/>
  <c r="AW32" i="15"/>
  <c r="AW40" i="15" s="1"/>
  <c r="AU24" i="15"/>
  <c r="AQ53" i="15"/>
  <c r="AU25" i="15"/>
  <c r="AU41" i="15"/>
  <c r="AI31" i="15"/>
  <c r="AJ32" i="15"/>
  <c r="AJ40" i="15" s="1"/>
  <c r="AL24" i="15"/>
  <c r="AH53" i="15"/>
  <c r="AK52" i="15"/>
  <c r="AK45" i="15"/>
  <c r="AL41" i="15"/>
  <c r="AL25" i="15"/>
  <c r="AM46" i="15"/>
  <c r="AM26" i="15" s="1"/>
  <c r="AM47" i="15"/>
  <c r="AM27" i="15" s="1"/>
  <c r="AR59" i="15"/>
  <c r="AR58" i="15"/>
  <c r="AM54" i="15"/>
  <c r="D29" i="11"/>
  <c r="F29" i="11" s="1"/>
  <c r="C30" i="11"/>
  <c r="AW43" i="10"/>
  <c r="AN43" i="10"/>
  <c r="AH44" i="10"/>
  <c r="AH43" i="10"/>
  <c r="AL44" i="10"/>
  <c r="AL43" i="10"/>
  <c r="AJ44" i="10"/>
  <c r="AJ43" i="10"/>
  <c r="AO43" i="10"/>
  <c r="AV44" i="10"/>
  <c r="AV43" i="10"/>
  <c r="AU43" i="10"/>
  <c r="AS43" i="10"/>
  <c r="AK43" i="10"/>
  <c r="H45" i="10"/>
  <c r="P12" i="10"/>
  <c r="AY44" i="10"/>
  <c r="AI44" i="10"/>
  <c r="AT44" i="10"/>
  <c r="AG44" i="10"/>
  <c r="AX44" i="10"/>
  <c r="AM44" i="10"/>
  <c r="AR44" i="10"/>
  <c r="AZ32" i="10"/>
  <c r="AZ12" i="10" s="1"/>
  <c r="AZ44" i="10" s="1"/>
  <c r="BA44" i="10"/>
  <c r="AP44" i="10"/>
  <c r="H44" i="10"/>
  <c r="H35" i="10"/>
  <c r="AP46" i="16" l="1"/>
  <c r="AP26" i="16" s="1"/>
  <c r="AP59" i="16" s="1"/>
  <c r="AI59" i="16"/>
  <c r="AK46" i="16"/>
  <c r="AK26" i="16" s="1"/>
  <c r="AK59" i="16" s="1"/>
  <c r="AN47" i="16"/>
  <c r="AN27" i="16" s="1"/>
  <c r="AN59" i="16" s="1"/>
  <c r="AM46" i="16"/>
  <c r="AM26" i="16" s="1"/>
  <c r="AM58" i="16" s="1"/>
  <c r="AX58" i="16"/>
  <c r="AG59" i="16"/>
  <c r="AV59" i="16"/>
  <c r="AH59" i="16"/>
  <c r="AU59" i="16"/>
  <c r="AX59" i="16"/>
  <c r="AO59" i="16"/>
  <c r="AV58" i="16"/>
  <c r="AU58" i="16"/>
  <c r="AY59" i="16"/>
  <c r="AJ59" i="16"/>
  <c r="AH58" i="16"/>
  <c r="AQ59" i="16"/>
  <c r="H59" i="16"/>
  <c r="N27" i="16"/>
  <c r="H50" i="16"/>
  <c r="BA46" i="16"/>
  <c r="BA26" i="16" s="1"/>
  <c r="BA47" i="16"/>
  <c r="BA27" i="16" s="1"/>
  <c r="AQ58" i="16"/>
  <c r="AO58" i="16"/>
  <c r="H60" i="16"/>
  <c r="P27" i="16"/>
  <c r="AL47" i="16"/>
  <c r="AL27" i="16" s="1"/>
  <c r="AL46" i="16"/>
  <c r="AL26" i="16" s="1"/>
  <c r="AR47" i="16"/>
  <c r="AR27" i="16" s="1"/>
  <c r="AR46" i="16"/>
  <c r="AR26" i="16" s="1"/>
  <c r="AW46" i="16"/>
  <c r="AW26" i="16" s="1"/>
  <c r="AW47" i="16"/>
  <c r="AW27" i="16" s="1"/>
  <c r="AS47" i="16"/>
  <c r="AS27" i="16" s="1"/>
  <c r="AS46" i="16"/>
  <c r="AS26" i="16" s="1"/>
  <c r="AJ58" i="16"/>
  <c r="AG58" i="16"/>
  <c r="AY58" i="16"/>
  <c r="AT47" i="16"/>
  <c r="AT27" i="16" s="1"/>
  <c r="AT46" i="16"/>
  <c r="AT26" i="16" s="1"/>
  <c r="AZ46" i="16"/>
  <c r="AZ26" i="16" s="1"/>
  <c r="AZ47" i="16"/>
  <c r="AZ27" i="16" s="1"/>
  <c r="AP59" i="15"/>
  <c r="AO58" i="15"/>
  <c r="AQ59" i="15"/>
  <c r="AQ58" i="15"/>
  <c r="AP58" i="15"/>
  <c r="AS59" i="15"/>
  <c r="AS58" i="15"/>
  <c r="AO59" i="15"/>
  <c r="AT58" i="15"/>
  <c r="AT59" i="15"/>
  <c r="AN58" i="15"/>
  <c r="AU54" i="15"/>
  <c r="AY31" i="15"/>
  <c r="AX32" i="15"/>
  <c r="AX40" i="15" s="1"/>
  <c r="AU47" i="15"/>
  <c r="AU27" i="15" s="1"/>
  <c r="AU46" i="15"/>
  <c r="AU26" i="15" s="1"/>
  <c r="AV24" i="15"/>
  <c r="AR53" i="15"/>
  <c r="AW45" i="15"/>
  <c r="AW52" i="15"/>
  <c r="AV25" i="15"/>
  <c r="AV41" i="15"/>
  <c r="AM58" i="15"/>
  <c r="AM59" i="15"/>
  <c r="AL54" i="15"/>
  <c r="AK24" i="15"/>
  <c r="AG53" i="15"/>
  <c r="AJ45" i="15"/>
  <c r="AJ24" i="15" s="1"/>
  <c r="AJ52" i="15"/>
  <c r="AK41" i="15"/>
  <c r="AK25" i="15"/>
  <c r="AL47" i="15"/>
  <c r="AL27" i="15" s="1"/>
  <c r="AL46" i="15"/>
  <c r="AL26" i="15" s="1"/>
  <c r="AH31" i="15"/>
  <c r="AI32" i="15"/>
  <c r="AI40" i="15" s="1"/>
  <c r="C31" i="11"/>
  <c r="D30" i="11"/>
  <c r="F30" i="11" s="1"/>
  <c r="H47" i="10"/>
  <c r="AZ43" i="10"/>
  <c r="AP58" i="16" l="1"/>
  <c r="AN58" i="16"/>
  <c r="AK58" i="16"/>
  <c r="AM59" i="16"/>
  <c r="AZ58" i="16"/>
  <c r="AZ59" i="16"/>
  <c r="AL58" i="16"/>
  <c r="AL59" i="16"/>
  <c r="AT58" i="16"/>
  <c r="AT59" i="16"/>
  <c r="AW58" i="16"/>
  <c r="AW59" i="16"/>
  <c r="AS59" i="16"/>
  <c r="AS58" i="16"/>
  <c r="AR58" i="16"/>
  <c r="AR59" i="16"/>
  <c r="H62" i="16"/>
  <c r="BA58" i="16"/>
  <c r="BA59" i="16"/>
  <c r="AU58" i="15"/>
  <c r="AU59" i="15"/>
  <c r="AV46" i="15"/>
  <c r="AV26" i="15" s="1"/>
  <c r="AV47" i="15"/>
  <c r="AV27" i="15" s="1"/>
  <c r="AW24" i="15"/>
  <c r="AS53" i="15"/>
  <c r="AV54" i="15"/>
  <c r="AZ31" i="15"/>
  <c r="AY32" i="15"/>
  <c r="AY40" i="15" s="1"/>
  <c r="AW25" i="15"/>
  <c r="AW41" i="15"/>
  <c r="AL59" i="15"/>
  <c r="AX45" i="15"/>
  <c r="AX52" i="15"/>
  <c r="AL58" i="15"/>
  <c r="AK46" i="15"/>
  <c r="AK26" i="15" s="1"/>
  <c r="AK47" i="15"/>
  <c r="AK27" i="15" s="1"/>
  <c r="AI52" i="15"/>
  <c r="AI45" i="15"/>
  <c r="AI24" i="15" s="1"/>
  <c r="AK54" i="15"/>
  <c r="AJ41" i="15"/>
  <c r="AJ25" i="15"/>
  <c r="AH32" i="15"/>
  <c r="AH40" i="15" s="1"/>
  <c r="AG31" i="15"/>
  <c r="AG32" i="15" s="1"/>
  <c r="AG40" i="15" s="1"/>
  <c r="AJ47" i="15"/>
  <c r="AJ27" i="15" s="1"/>
  <c r="AJ46" i="15"/>
  <c r="AJ26" i="15" s="1"/>
  <c r="D31" i="11"/>
  <c r="F31" i="11" s="1"/>
  <c r="C32" i="11"/>
  <c r="AV58" i="15" l="1"/>
  <c r="BA31" i="15"/>
  <c r="BA32" i="15" s="1"/>
  <c r="BA40" i="15" s="1"/>
  <c r="AZ32" i="15"/>
  <c r="AZ40" i="15" s="1"/>
  <c r="AV59" i="15"/>
  <c r="AW54" i="15"/>
  <c r="AW46" i="15"/>
  <c r="AW26" i="15" s="1"/>
  <c r="AW47" i="15"/>
  <c r="AW27" i="15" s="1"/>
  <c r="AX41" i="15"/>
  <c r="AX25" i="15"/>
  <c r="AX24" i="15"/>
  <c r="AT53" i="15"/>
  <c r="AY52" i="15"/>
  <c r="AY45" i="15"/>
  <c r="AK59" i="15"/>
  <c r="AK58" i="15"/>
  <c r="AG45" i="15"/>
  <c r="AG24" i="15" s="1"/>
  <c r="AG52" i="15"/>
  <c r="AI46" i="15"/>
  <c r="AI26" i="15" s="1"/>
  <c r="AI47" i="15"/>
  <c r="AI27" i="15" s="1"/>
  <c r="AH45" i="15"/>
  <c r="AH24" i="15" s="1"/>
  <c r="AH52" i="15"/>
  <c r="AI41" i="15"/>
  <c r="AI25" i="15"/>
  <c r="AJ59" i="15"/>
  <c r="AJ58" i="15"/>
  <c r="AJ54" i="15"/>
  <c r="C33" i="11"/>
  <c r="D32" i="11"/>
  <c r="F32" i="11" s="1"/>
  <c r="AW59" i="15" l="1"/>
  <c r="AX46" i="15"/>
  <c r="AX26" i="15" s="1"/>
  <c r="AX47" i="15"/>
  <c r="AX27" i="15" s="1"/>
  <c r="AY24" i="15"/>
  <c r="AU53" i="15"/>
  <c r="AW58" i="15"/>
  <c r="AX54" i="15"/>
  <c r="AZ45" i="15"/>
  <c r="AZ52" i="15"/>
  <c r="AY41" i="15"/>
  <c r="AY25" i="15"/>
  <c r="BA45" i="15"/>
  <c r="BA52" i="15"/>
  <c r="AI59" i="15"/>
  <c r="AI58" i="15"/>
  <c r="AI54" i="15"/>
  <c r="AH41" i="15"/>
  <c r="AH25" i="15"/>
  <c r="AG41" i="15"/>
  <c r="AG25" i="15"/>
  <c r="AH47" i="15"/>
  <c r="AH27" i="15" s="1"/>
  <c r="AH46" i="15"/>
  <c r="AH26" i="15" s="1"/>
  <c r="AG46" i="15"/>
  <c r="AG26" i="15" s="1"/>
  <c r="AG47" i="15"/>
  <c r="AG27" i="15" s="1"/>
  <c r="D33" i="11"/>
  <c r="F33" i="11" s="1"/>
  <c r="C34" i="11"/>
  <c r="AX59" i="15" l="1"/>
  <c r="AX58" i="15"/>
  <c r="AY54" i="15"/>
  <c r="AY46" i="15"/>
  <c r="AY26" i="15" s="1"/>
  <c r="AY47" i="15"/>
  <c r="AY27" i="15" s="1"/>
  <c r="BA41" i="15"/>
  <c r="BA25" i="15"/>
  <c r="AZ41" i="15"/>
  <c r="AZ25" i="15"/>
  <c r="BA24" i="15"/>
  <c r="AW53" i="15"/>
  <c r="AV53" i="15"/>
  <c r="AZ24" i="15"/>
  <c r="AG54" i="15"/>
  <c r="AG59" i="15"/>
  <c r="AG58" i="15"/>
  <c r="AH59" i="15"/>
  <c r="AH54" i="15"/>
  <c r="AH58" i="15"/>
  <c r="C35" i="11"/>
  <c r="D34" i="11"/>
  <c r="F34" i="11" s="1"/>
  <c r="AY58" i="15" l="1"/>
  <c r="AY59" i="15"/>
  <c r="BA46" i="15"/>
  <c r="BA26" i="15" s="1"/>
  <c r="BA47" i="15"/>
  <c r="BA27" i="15" s="1"/>
  <c r="AZ54" i="15"/>
  <c r="BA54" i="15"/>
  <c r="AZ46" i="15"/>
  <c r="AZ26" i="15" s="1"/>
  <c r="AZ47" i="15"/>
  <c r="AZ27" i="15" s="1"/>
  <c r="C36" i="11"/>
  <c r="D35" i="11"/>
  <c r="F35" i="11" s="1"/>
  <c r="BA59" i="15" l="1"/>
  <c r="BA58" i="15"/>
  <c r="AZ59" i="15"/>
  <c r="AZ58" i="15"/>
  <c r="C37" i="11"/>
  <c r="D36" i="11"/>
  <c r="F36" i="11" s="1"/>
  <c r="C38" i="11" l="1"/>
  <c r="D37" i="11"/>
  <c r="F37" i="11" s="1"/>
  <c r="C39" i="11" l="1"/>
  <c r="D38" i="11"/>
  <c r="F38" i="11" s="1"/>
  <c r="C40" i="11" l="1"/>
  <c r="D39" i="11"/>
  <c r="F39" i="11" s="1"/>
  <c r="D40" i="11" l="1"/>
  <c r="F40" i="11" s="1"/>
  <c r="C41" i="11"/>
  <c r="C42" i="11" l="1"/>
  <c r="D41" i="11"/>
  <c r="F41" i="11" s="1"/>
  <c r="C43" i="11" l="1"/>
  <c r="D43" i="11" s="1"/>
  <c r="F43" i="11" s="1"/>
  <c r="D42" i="11"/>
  <c r="F42" i="11" s="1"/>
</calcChain>
</file>

<file path=xl/sharedStrings.xml><?xml version="1.0" encoding="utf-8"?>
<sst xmlns="http://schemas.openxmlformats.org/spreadsheetml/2006/main" count="401" uniqueCount="120">
  <si>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</si>
  <si>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</si>
  <si>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</si>
  <si>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</si>
  <si>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</si>
  <si>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Waveguide impedance</t>
  </si>
  <si>
    <t>Terminating impedance</t>
  </si>
  <si>
    <t>Waveguide length</t>
  </si>
  <si>
    <t>Frequency</t>
  </si>
  <si>
    <t>Wavelength</t>
  </si>
  <si>
    <t>Transformed impedance</t>
  </si>
  <si>
    <t xml:space="preserve">f = </t>
  </si>
  <si>
    <t>MHz</t>
  </si>
  <si>
    <t>m</t>
  </si>
  <si>
    <t>Ohm</t>
  </si>
  <si>
    <t xml:space="preserve">𝛌 = </t>
  </si>
  <si>
    <t xml:space="preserve">a = </t>
  </si>
  <si>
    <t xml:space="preserve">b = </t>
  </si>
  <si>
    <t>𝛌</t>
  </si>
  <si>
    <t>Relative waveguide length</t>
  </si>
  <si>
    <t xml:space="preserve">c = </t>
  </si>
  <si>
    <t xml:space="preserve">d = </t>
  </si>
  <si>
    <t>Feedpoint to Short</t>
  </si>
  <si>
    <t>Total waveguide length</t>
  </si>
  <si>
    <t xml:space="preserve">L = </t>
  </si>
  <si>
    <t>Relative wavelength</t>
  </si>
  <si>
    <t>Short impedance</t>
  </si>
  <si>
    <t>Wire distance</t>
  </si>
  <si>
    <t>Wire diameter</t>
  </si>
  <si>
    <t>mm</t>
  </si>
  <si>
    <t>Frequ var</t>
  </si>
  <si>
    <t>%</t>
  </si>
  <si>
    <t xml:space="preserve">Abs = </t>
  </si>
  <si>
    <t>Deviation</t>
  </si>
  <si>
    <t>to be: Re Z</t>
  </si>
  <si>
    <t>to be: Im Z</t>
  </si>
  <si>
    <t xml:space="preserve"> Re(Z) / Ohm</t>
  </si>
  <si>
    <t xml:space="preserve"> Im(Z) / Ohm</t>
  </si>
  <si>
    <t>Complex Impedance Transformation</t>
  </si>
  <si>
    <t>Waveguide Impedance Transformation</t>
  </si>
  <si>
    <t xml:space="preserve">s = </t>
  </si>
  <si>
    <t xml:space="preserve">s/d = </t>
  </si>
  <si>
    <t>Relative effective permitivity</t>
  </si>
  <si>
    <t>(s/d min = 0,173)</t>
  </si>
  <si>
    <t>Parallel Wires Waveguide</t>
  </si>
  <si>
    <t>Two Bands Waveguide</t>
  </si>
  <si>
    <t>Terminating Impedance</t>
  </si>
  <si>
    <t>𝛌/4  Waveguide Impedance Transformation</t>
  </si>
  <si>
    <t>input</t>
  </si>
  <si>
    <t>output</t>
  </si>
  <si>
    <t>towards antenna</t>
  </si>
  <si>
    <t>towards short</t>
  </si>
  <si>
    <t>Solver Application</t>
  </si>
  <si>
    <t>Cost function for solver</t>
  </si>
  <si>
    <t>Squared Deviation</t>
  </si>
  <si>
    <t>Transformed impedance Z</t>
  </si>
  <si>
    <t>ok</t>
  </si>
  <si>
    <t>Frequency deviation step for graphic</t>
  </si>
  <si>
    <t>These fields are dedicated to work with EXCEL Solver.</t>
  </si>
  <si>
    <r>
      <t>Z</t>
    </r>
    <r>
      <rPr>
        <b/>
        <i/>
        <vertAlign val="subscript"/>
        <sz val="18"/>
        <color theme="1"/>
        <rFont val="Times New Roman"/>
        <family val="1"/>
      </rPr>
      <t>L</t>
    </r>
    <r>
      <rPr>
        <b/>
        <i/>
        <sz val="18"/>
        <color theme="1"/>
        <rFont val="Times New Roman"/>
        <family val="1"/>
      </rPr>
      <t xml:space="preserve"> = 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</si>
  <si>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L</t>
    </r>
    <r>
      <rPr>
        <b/>
        <i/>
        <sz val="18"/>
        <color theme="1"/>
        <rFont val="Times New Roman"/>
        <family val="1"/>
      </rPr>
      <t xml:space="preserve">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</si>
  <si>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2</t>
    </r>
    <r>
      <rPr>
        <b/>
        <i/>
        <sz val="18"/>
        <color theme="1"/>
        <rFont val="Times New Roman"/>
        <family val="1"/>
      </rPr>
      <t xml:space="preserve">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</si>
  <si>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 xml:space="preserve"> = </t>
    </r>
  </si>
  <si>
    <r>
      <t>ℇ</t>
    </r>
    <r>
      <rPr>
        <b/>
        <i/>
        <vertAlign val="subscript"/>
        <sz val="18"/>
        <color theme="1"/>
        <rFont val="Times New Roman"/>
        <family val="1"/>
      </rPr>
      <t>r</t>
    </r>
    <r>
      <rPr>
        <b/>
        <i/>
        <sz val="18"/>
        <color theme="1"/>
        <rFont val="Times New Roman"/>
        <family val="1"/>
      </rPr>
      <t xml:space="preserve"> = </t>
    </r>
  </si>
  <si>
    <r>
      <t>L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= </t>
    </r>
  </si>
  <si>
    <r>
      <t>L</t>
    </r>
    <r>
      <rPr>
        <b/>
        <i/>
        <vertAlign val="subscript"/>
        <sz val="18"/>
        <color theme="1"/>
        <rFont val="Times New Roman"/>
        <family val="1"/>
      </rPr>
      <t>A</t>
    </r>
    <r>
      <rPr>
        <b/>
        <i/>
        <sz val="18"/>
        <color theme="1"/>
        <rFont val="Times New Roman"/>
        <family val="1"/>
      </rPr>
      <t xml:space="preserve"> = </t>
    </r>
  </si>
  <si>
    <t>+ j</t>
  </si>
  <si>
    <r>
      <t>Re (Z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>) = </t>
    </r>
  </si>
  <si>
    <r>
      <t>j Im (Z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>) = 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</si>
  <si>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2</t>
    </r>
    <r>
      <rPr>
        <b/>
        <i/>
        <sz val="18"/>
        <color theme="1"/>
        <rFont val="Times New Roman"/>
        <family val="1"/>
      </rPr>
      <t>)  = 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</si>
  <si>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1A</t>
    </r>
    <r>
      <rPr>
        <b/>
        <i/>
        <sz val="18"/>
        <color theme="1"/>
        <rFont val="Times New Roman"/>
        <family val="1"/>
      </rPr>
      <t xml:space="preserve">)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</si>
  <si>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A</t>
    </r>
    <r>
      <rPr>
        <b/>
        <i/>
        <sz val="18"/>
        <color theme="1"/>
        <rFont val="Times New Roman"/>
        <family val="1"/>
      </rPr>
      <t xml:space="preserve">  = </t>
    </r>
  </si>
  <si>
    <r>
      <t xml:space="preserve"> Z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 = </t>
    </r>
  </si>
  <si>
    <t>L = </t>
  </si>
  <si>
    <r>
      <t>L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= </t>
    </r>
  </si>
  <si>
    <t xml:space="preserve">f  = </t>
  </si>
  <si>
    <r>
      <t>j Im (Z</t>
    </r>
    <r>
      <rPr>
        <b/>
        <i/>
        <vertAlign val="subscript"/>
        <sz val="18"/>
        <color theme="1"/>
        <rFont val="Times New Roman"/>
        <family val="1"/>
      </rPr>
      <t>1A</t>
    </r>
    <r>
      <rPr>
        <b/>
        <i/>
        <sz val="18"/>
        <color theme="1"/>
        <rFont val="Times New Roman"/>
        <family val="1"/>
      </rPr>
      <t xml:space="preserve">) = 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</si>
  <si>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1S</t>
    </r>
    <r>
      <rPr>
        <b/>
        <i/>
        <sz val="18"/>
        <color theme="1"/>
        <rFont val="Times New Roman"/>
        <family val="1"/>
      </rPr>
      <t xml:space="preserve">) = </t>
    </r>
  </si>
  <si>
    <r>
      <t>j Im (Z</t>
    </r>
    <r>
      <rPr>
        <b/>
        <i/>
        <vertAlign val="subscript"/>
        <sz val="18"/>
        <color theme="1"/>
        <rFont val="Times New Roman"/>
        <family val="1"/>
      </rPr>
      <t>1S</t>
    </r>
    <r>
      <rPr>
        <b/>
        <i/>
        <sz val="18"/>
        <color theme="1"/>
        <rFont val="Times New Roman"/>
        <family val="1"/>
      </rPr>
      <t xml:space="preserve">) = </t>
    </r>
  </si>
  <si>
    <t xml:space="preserve">Re (Z) = </t>
  </si>
  <si>
    <t xml:space="preserve">j Im (Z) = </t>
  </si>
  <si>
    <t>Use CRG method, set goal to minimize the cost function.</t>
  </si>
  <si>
    <t>Synthesis of Loop Antennas</t>
  </si>
  <si>
    <t>Wire Loop Antenna</t>
  </si>
  <si>
    <t>Planar Structure Antenna (Metal Sheet, PBC, Foil)</t>
  </si>
  <si>
    <t>Layout for any frequency, wire diameter, conductor width</t>
  </si>
  <si>
    <t>Version 24.10.2022</t>
  </si>
  <si>
    <t>d = </t>
  </si>
  <si>
    <t xml:space="preserve">D = </t>
  </si>
  <si>
    <t>d/D</t>
  </si>
  <si>
    <t>ZA</t>
  </si>
  <si>
    <t>Zsim</t>
  </si>
  <si>
    <t>pot</t>
  </si>
  <si>
    <t>factor</t>
  </si>
  <si>
    <t>d</t>
  </si>
  <si>
    <t>D</t>
  </si>
  <si>
    <t>Synthesis of Wire Loop Antenna</t>
  </si>
  <si>
    <t>D = </t>
  </si>
  <si>
    <t xml:space="preserve">Wire diameter </t>
  </si>
  <si>
    <t>Outer diameter</t>
  </si>
  <si>
    <t>Waveguide imped. (feed netw.)</t>
  </si>
  <si>
    <t>Loop impedance (terminating)</t>
  </si>
  <si>
    <t>s = </t>
  </si>
  <si>
    <t>fac =</t>
  </si>
  <si>
    <t>pot =</t>
  </si>
  <si>
    <t>d/D =</t>
  </si>
  <si>
    <t>Feed angle (feedpoint to short)</t>
  </si>
  <si>
    <t>⍺ = </t>
  </si>
  <si>
    <t>°</t>
  </si>
  <si>
    <t>C = </t>
  </si>
  <si>
    <t>Circumference (1 wavelength)</t>
  </si>
  <si>
    <t>Band width</t>
  </si>
  <si>
    <t>Band distance</t>
  </si>
  <si>
    <t xml:space="preserve">plus </t>
  </si>
  <si>
    <t>Impedance Transformation</t>
  </si>
  <si>
    <t>Synthesis of Band Loop Antenna</t>
  </si>
  <si>
    <t>Loop Antenna Impedance from Experience</t>
  </si>
  <si>
    <t>ZAsim</t>
  </si>
  <si>
    <t>Functional Approximation</t>
  </si>
  <si>
    <t>Cost fct: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</si>
</sst>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"/>
    <numFmt numFmtId="167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2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8"/>
      <color theme="1"/>
      <name val="Times New Roman"/>
      <family val="1"/>
    </font>
    <font>
      <i/>
      <sz val="18"/>
      <color theme="1"/>
      <name val="Times New Roman"/>
      <family val="1"/>
    </font>
    <font>
      <b/>
      <sz val="18"/>
      <color theme="0"/>
      <name val="Times New Roman"/>
      <family val="1"/>
    </font>
    <font>
      <b/>
      <sz val="18"/>
      <color rgb="FF0070C0"/>
      <name val="Times New Roman"/>
      <family val="1"/>
    </font>
    <font>
      <b/>
      <sz val="18"/>
      <color theme="5" tint="-0.249977111117893"/>
      <name val="Times New Roman"/>
      <family val="1"/>
    </font>
    <font>
      <b/>
      <i/>
      <vertAlign val="subscript"/>
      <sz val="18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4"/>
      <color theme="5" tint="-0.249977111117893"/>
      <name val="Times New Roman"/>
      <family val="1"/>
    </font>
    <font>
      <b/>
      <sz val="18"/>
      <color rgb="FFFF9300"/>
      <name val="Times New Roman"/>
      <family val="1"/>
    </font>
    <font>
      <b/>
      <sz val="12"/>
      <color rgb="FFFF93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2" borderId="0" xfId="0" applyFont="1" applyFill="1"/>
    <xf numFmtId="0" fontId="10" fillId="2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2" fillId="5" borderId="0" xfId="0" applyFont="1" applyFill="1" applyProtection="1">
      <protection hidden="1"/>
    </xf>
    <xf numFmtId="0" fontId="3" fillId="5" borderId="0" xfId="0" applyFont="1" applyFill="1" applyProtection="1">
      <protection hidden="1"/>
    </xf>
    <xf numFmtId="0" fontId="4" fillId="5" borderId="0" xfId="0" applyFont="1" applyFill="1"/>
    <xf numFmtId="0" fontId="5" fillId="5" borderId="0" xfId="0" applyFont="1" applyFill="1" applyProtection="1">
      <protection hidden="1"/>
    </xf>
    <xf numFmtId="0" fontId="6" fillId="5" borderId="0" xfId="0" applyFont="1" applyFill="1"/>
    <xf numFmtId="0" fontId="7" fillId="5" borderId="0" xfId="0" applyFont="1" applyFill="1" applyAlignment="1">
      <alignment horizontal="left"/>
    </xf>
    <xf numFmtId="14" fontId="1" fillId="5" borderId="0" xfId="0" applyNumberFormat="1" applyFont="1" applyFill="1" applyAlignment="1">
      <alignment horizontal="left"/>
    </xf>
    <xf numFmtId="0" fontId="8" fillId="5" borderId="0" xfId="0" applyFont="1" applyFill="1" applyProtection="1">
      <protection hidden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0" fillId="2" borderId="0" xfId="0" applyFont="1" applyFill="1" applyAlignment="1">
      <alignment horizontal="right" vertical="center"/>
    </xf>
    <xf numFmtId="0" fontId="10" fillId="4" borderId="1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49" fontId="10" fillId="4" borderId="2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49" fontId="9" fillId="2" borderId="0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4" borderId="0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49" fontId="10" fillId="4" borderId="0" xfId="0" applyNumberFormat="1" applyFont="1" applyFill="1" applyBorder="1" applyAlignment="1">
      <alignment horizontal="right" vertical="center"/>
    </xf>
    <xf numFmtId="0" fontId="10" fillId="4" borderId="5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49" fontId="10" fillId="5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49" fontId="10" fillId="4" borderId="7" xfId="0" applyNumberFormat="1" applyFont="1" applyFill="1" applyBorder="1" applyAlignment="1">
      <alignment horizontal="right" vertical="center"/>
    </xf>
    <xf numFmtId="0" fontId="10" fillId="4" borderId="8" xfId="0" applyFont="1" applyFill="1" applyBorder="1" applyAlignment="1">
      <alignment vertical="center"/>
    </xf>
    <xf numFmtId="2" fontId="10" fillId="2" borderId="0" xfId="0" applyNumberFormat="1" applyFont="1" applyFill="1" applyAlignment="1">
      <alignment vertical="center"/>
    </xf>
    <xf numFmtId="0" fontId="12" fillId="4" borderId="0" xfId="0" applyFont="1" applyFill="1" applyBorder="1" applyAlignment="1">
      <alignment vertical="center"/>
    </xf>
    <xf numFmtId="49" fontId="12" fillId="4" borderId="0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49" fontId="13" fillId="4" borderId="0" xfId="0" applyNumberFormat="1" applyFont="1" applyFill="1" applyBorder="1" applyAlignment="1">
      <alignment horizontal="right" vertical="center"/>
    </xf>
    <xf numFmtId="0" fontId="13" fillId="4" borderId="5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2" fontId="10" fillId="4" borderId="2" xfId="0" applyNumberFormat="1" applyFont="1" applyFill="1" applyBorder="1" applyAlignment="1">
      <alignment vertical="center"/>
    </xf>
    <xf numFmtId="0" fontId="10" fillId="4" borderId="2" xfId="0" applyFon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right" vertical="center"/>
    </xf>
    <xf numFmtId="2" fontId="10" fillId="4" borderId="0" xfId="0" applyNumberFormat="1" applyFont="1" applyFill="1" applyBorder="1" applyAlignment="1">
      <alignment vertical="center"/>
    </xf>
    <xf numFmtId="0" fontId="10" fillId="4" borderId="0" xfId="0" applyFont="1" applyFill="1" applyBorder="1" applyAlignment="1">
      <alignment horizontal="right" vertical="center"/>
    </xf>
    <xf numFmtId="2" fontId="10" fillId="5" borderId="0" xfId="0" applyNumberFormat="1" applyFont="1" applyFill="1" applyBorder="1" applyAlignment="1">
      <alignment vertical="center"/>
    </xf>
    <xf numFmtId="0" fontId="10" fillId="3" borderId="0" xfId="0" applyFont="1" applyFill="1" applyBorder="1" applyAlignment="1">
      <alignment horizontal="right" vertical="center"/>
    </xf>
    <xf numFmtId="167" fontId="10" fillId="5" borderId="0" xfId="0" applyNumberFormat="1" applyFont="1" applyFill="1" applyBorder="1" applyAlignment="1">
      <alignment vertical="center"/>
    </xf>
    <xf numFmtId="0" fontId="10" fillId="5" borderId="0" xfId="0" applyFont="1" applyFill="1" applyBorder="1" applyAlignment="1">
      <alignment horizontal="right" vertical="center"/>
    </xf>
    <xf numFmtId="2" fontId="10" fillId="4" borderId="7" xfId="0" applyNumberFormat="1" applyFont="1" applyFill="1" applyBorder="1" applyAlignment="1">
      <alignment vertical="center"/>
    </xf>
    <xf numFmtId="0" fontId="10" fillId="4" borderId="7" xfId="0" applyFont="1" applyFill="1" applyBorder="1" applyAlignment="1">
      <alignment horizontal="right" vertical="center"/>
    </xf>
    <xf numFmtId="166" fontId="10" fillId="5" borderId="0" xfId="0" applyNumberFormat="1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2" fontId="15" fillId="5" borderId="0" xfId="0" applyNumberFormat="1" applyFont="1" applyFill="1" applyBorder="1" applyAlignment="1">
      <alignment vertical="center"/>
    </xf>
    <xf numFmtId="2" fontId="16" fillId="5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 applyProtection="1">
      <alignment vertical="center"/>
      <protection locked="0"/>
    </xf>
    <xf numFmtId="166" fontId="10" fillId="2" borderId="0" xfId="0" applyNumberFormat="1" applyFont="1" applyFill="1" applyBorder="1" applyAlignment="1" applyProtection="1">
      <alignment vertical="center"/>
      <protection locked="0"/>
    </xf>
    <xf numFmtId="164" fontId="10" fillId="2" borderId="0" xfId="0" applyNumberFormat="1" applyFont="1" applyFill="1" applyBorder="1" applyAlignment="1" applyProtection="1">
      <alignment vertical="center"/>
      <protection locked="0"/>
    </xf>
    <xf numFmtId="165" fontId="10" fillId="2" borderId="0" xfId="0" applyNumberFormat="1" applyFont="1" applyFill="1" applyBorder="1" applyAlignment="1" applyProtection="1">
      <alignment vertical="center"/>
      <protection locked="0"/>
    </xf>
    <xf numFmtId="167" fontId="10" fillId="2" borderId="0" xfId="0" applyNumberFormat="1" applyFont="1" applyFill="1" applyBorder="1" applyAlignment="1" applyProtection="1">
      <alignment vertical="center"/>
      <protection locked="0"/>
    </xf>
    <xf numFmtId="2" fontId="10" fillId="2" borderId="0" xfId="0" applyNumberFormat="1" applyFont="1" applyFill="1" applyBorder="1" applyAlignment="1" applyProtection="1">
      <alignment vertical="center"/>
      <protection locked="0"/>
    </xf>
    <xf numFmtId="49" fontId="12" fillId="5" borderId="0" xfId="0" applyNumberFormat="1" applyFont="1" applyFill="1" applyBorder="1" applyAlignment="1">
      <alignment horizontal="right" vertical="center"/>
    </xf>
    <xf numFmtId="49" fontId="18" fillId="2" borderId="0" xfId="0" applyNumberFormat="1" applyFont="1" applyFill="1" applyBorder="1" applyAlignment="1">
      <alignment horizontal="right" vertical="center"/>
    </xf>
    <xf numFmtId="0" fontId="12" fillId="4" borderId="2" xfId="0" applyFont="1" applyFill="1" applyBorder="1" applyAlignment="1">
      <alignment vertical="center"/>
    </xf>
    <xf numFmtId="0" fontId="18" fillId="2" borderId="0" xfId="0" applyFont="1" applyFill="1" applyBorder="1" applyAlignment="1">
      <alignment horizontal="right" vertical="center"/>
    </xf>
    <xf numFmtId="0" fontId="12" fillId="5" borderId="0" xfId="0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49" fontId="12" fillId="2" borderId="0" xfId="0" applyNumberFormat="1" applyFont="1" applyFill="1" applyAlignment="1">
      <alignment horizontal="right" vertical="center"/>
    </xf>
    <xf numFmtId="49" fontId="12" fillId="4" borderId="2" xfId="0" applyNumberFormat="1" applyFont="1" applyFill="1" applyBorder="1" applyAlignment="1">
      <alignment horizontal="right" vertical="center"/>
    </xf>
    <xf numFmtId="49" fontId="12" fillId="5" borderId="0" xfId="0" quotePrefix="1" applyNumberFormat="1" applyFont="1" applyFill="1" applyBorder="1" applyAlignment="1">
      <alignment horizontal="right" vertical="center"/>
    </xf>
    <xf numFmtId="49" fontId="12" fillId="4" borderId="7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2" fontId="19" fillId="5" borderId="0" xfId="0" applyNumberFormat="1" applyFont="1" applyFill="1" applyBorder="1" applyAlignment="1">
      <alignment vertical="center"/>
    </xf>
    <xf numFmtId="0" fontId="20" fillId="5" borderId="0" xfId="0" quotePrefix="1" applyFont="1" applyFill="1" applyBorder="1" applyAlignment="1">
      <alignment horizontal="right" vertical="center"/>
    </xf>
    <xf numFmtId="2" fontId="20" fillId="5" borderId="0" xfId="0" applyNumberFormat="1" applyFont="1" applyFill="1" applyBorder="1" applyAlignment="1">
      <alignment vertical="center"/>
    </xf>
    <xf numFmtId="11" fontId="11" fillId="5" borderId="0" xfId="0" applyNumberFormat="1" applyFont="1" applyFill="1" applyBorder="1" applyAlignment="1">
      <alignment vertical="center"/>
    </xf>
    <xf numFmtId="11" fontId="11" fillId="2" borderId="0" xfId="0" applyNumberFormat="1" applyFont="1" applyFill="1" applyBorder="1" applyAlignment="1" applyProtection="1">
      <alignment vertical="center"/>
    </xf>
    <xf numFmtId="0" fontId="14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right" vertical="center"/>
    </xf>
    <xf numFmtId="166" fontId="10" fillId="5" borderId="0" xfId="0" applyNumberFormat="1" applyFont="1" applyFill="1" applyBorder="1" applyAlignment="1" applyProtection="1">
      <alignment vertical="center"/>
      <protection locked="0"/>
    </xf>
    <xf numFmtId="167" fontId="10" fillId="5" borderId="0" xfId="0" applyNumberFormat="1" applyFont="1" applyFill="1" applyBorder="1" applyAlignment="1" applyProtection="1">
      <alignment vertical="center"/>
      <protection locked="0"/>
    </xf>
    <xf numFmtId="166" fontId="10" fillId="5" borderId="0" xfId="0" applyNumberFormat="1" applyFont="1" applyFill="1" applyBorder="1" applyAlignment="1" applyProtection="1">
      <alignment vertical="center"/>
    </xf>
    <xf numFmtId="167" fontId="10" fillId="5" borderId="0" xfId="0" applyNumberFormat="1" applyFont="1" applyFill="1" applyBorder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49" fontId="12" fillId="2" borderId="0" xfId="0" applyNumberFormat="1" applyFont="1" applyFill="1" applyAlignment="1" applyProtection="1">
      <alignment horizontal="right" vertical="center"/>
    </xf>
    <xf numFmtId="2" fontId="10" fillId="2" borderId="0" xfId="0" applyNumberFormat="1" applyFont="1" applyFill="1" applyAlignment="1" applyProtection="1">
      <alignment vertical="center"/>
    </xf>
    <xf numFmtId="0" fontId="12" fillId="2" borderId="0" xfId="0" applyFont="1" applyFill="1" applyAlignment="1" applyProtection="1">
      <alignment horizontal="left" vertical="center"/>
    </xf>
    <xf numFmtId="0" fontId="10" fillId="2" borderId="0" xfId="0" applyFont="1" applyFill="1" applyAlignment="1" applyProtection="1">
      <alignment horizontal="right" vertical="center"/>
    </xf>
    <xf numFmtId="0" fontId="10" fillId="4" borderId="1" xfId="0" applyFont="1" applyFill="1" applyBorder="1" applyAlignment="1" applyProtection="1">
      <alignment vertical="center"/>
    </xf>
    <xf numFmtId="0" fontId="10" fillId="4" borderId="2" xfId="0" applyFont="1" applyFill="1" applyBorder="1" applyAlignment="1" applyProtection="1">
      <alignment vertical="center"/>
    </xf>
    <xf numFmtId="49" fontId="12" fillId="4" borderId="2" xfId="0" applyNumberFormat="1" applyFont="1" applyFill="1" applyBorder="1" applyAlignment="1" applyProtection="1">
      <alignment horizontal="right" vertical="center"/>
    </xf>
    <xf numFmtId="2" fontId="10" fillId="4" borderId="2" xfId="0" applyNumberFormat="1" applyFont="1" applyFill="1" applyBorder="1" applyAlignment="1" applyProtection="1">
      <alignment vertical="center"/>
    </xf>
    <xf numFmtId="0" fontId="12" fillId="4" borderId="2" xfId="0" applyFont="1" applyFill="1" applyBorder="1" applyAlignment="1" applyProtection="1">
      <alignment horizontal="left" vertical="center"/>
    </xf>
    <xf numFmtId="0" fontId="10" fillId="4" borderId="2" xfId="0" applyFont="1" applyFill="1" applyBorder="1" applyAlignment="1" applyProtection="1">
      <alignment horizontal="right" vertical="center"/>
    </xf>
    <xf numFmtId="0" fontId="10" fillId="4" borderId="3" xfId="0" applyFont="1" applyFill="1" applyBorder="1" applyAlignment="1" applyProtection="1">
      <alignment vertical="center"/>
    </xf>
    <xf numFmtId="0" fontId="9" fillId="4" borderId="4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49" fontId="18" fillId="2" borderId="0" xfId="0" applyNumberFormat="1" applyFont="1" applyFill="1" applyBorder="1" applyAlignment="1" applyProtection="1">
      <alignment horizontal="right" vertical="center"/>
    </xf>
    <xf numFmtId="2" fontId="9" fillId="2" borderId="0" xfId="0" applyNumberFormat="1" applyFont="1" applyFill="1" applyBorder="1" applyAlignment="1" applyProtection="1">
      <alignment horizontal="right" vertical="center"/>
    </xf>
    <xf numFmtId="0" fontId="18" fillId="2" borderId="0" xfId="0" applyFont="1" applyFill="1" applyBorder="1" applyAlignment="1" applyProtection="1">
      <alignment horizontal="left" vertical="center"/>
    </xf>
    <xf numFmtId="0" fontId="9" fillId="4" borderId="0" xfId="0" applyFont="1" applyFill="1" applyBorder="1" applyAlignment="1" applyProtection="1">
      <alignment vertical="center"/>
    </xf>
    <xf numFmtId="0" fontId="9" fillId="4" borderId="0" xfId="0" applyFont="1" applyFill="1" applyBorder="1" applyAlignment="1" applyProtection="1">
      <alignment horizontal="right" vertical="center"/>
    </xf>
    <xf numFmtId="0" fontId="9" fillId="4" borderId="5" xfId="0" applyFont="1" applyFill="1" applyBorder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horizontal="right" vertical="center"/>
    </xf>
    <xf numFmtId="0" fontId="10" fillId="4" borderId="4" xfId="0" applyFont="1" applyFill="1" applyBorder="1" applyAlignment="1" applyProtection="1">
      <alignment vertical="center"/>
    </xf>
    <xf numFmtId="0" fontId="13" fillId="4" borderId="0" xfId="0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vertical="center"/>
    </xf>
    <xf numFmtId="49" fontId="12" fillId="4" borderId="0" xfId="0" applyNumberFormat="1" applyFont="1" applyFill="1" applyBorder="1" applyAlignment="1" applyProtection="1">
      <alignment horizontal="right" vertical="center"/>
    </xf>
    <xf numFmtId="2" fontId="10" fillId="4" borderId="0" xfId="0" applyNumberFormat="1" applyFont="1" applyFill="1" applyBorder="1" applyAlignment="1" applyProtection="1">
      <alignment vertical="center"/>
    </xf>
    <xf numFmtId="0" fontId="12" fillId="4" borderId="0" xfId="0" applyFont="1" applyFill="1" applyBorder="1" applyAlignment="1" applyProtection="1">
      <alignment horizontal="left" vertical="center"/>
    </xf>
    <xf numFmtId="0" fontId="10" fillId="4" borderId="0" xfId="0" applyFont="1" applyFill="1" applyBorder="1" applyAlignment="1" applyProtection="1">
      <alignment horizontal="right" vertical="center"/>
    </xf>
    <xf numFmtId="0" fontId="10" fillId="4" borderId="5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49" fontId="12" fillId="5" borderId="0" xfId="0" applyNumberFormat="1" applyFont="1" applyFill="1" applyBorder="1" applyAlignment="1" applyProtection="1">
      <alignment horizontal="right" vertical="center"/>
    </xf>
    <xf numFmtId="2" fontId="10" fillId="5" borderId="0" xfId="0" applyNumberFormat="1" applyFont="1" applyFill="1" applyBorder="1" applyAlignment="1" applyProtection="1">
      <alignment vertical="center"/>
    </xf>
    <xf numFmtId="0" fontId="12" fillId="5" borderId="0" xfId="0" applyFont="1" applyFill="1" applyBorder="1" applyAlignment="1" applyProtection="1">
      <alignment horizontal="left" vertical="center"/>
    </xf>
    <xf numFmtId="0" fontId="10" fillId="3" borderId="0" xfId="0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horizontal="right" vertical="center"/>
    </xf>
    <xf numFmtId="49" fontId="12" fillId="5" borderId="0" xfId="0" quotePrefix="1" applyNumberFormat="1" applyFont="1" applyFill="1" applyBorder="1" applyAlignment="1" applyProtection="1">
      <alignment horizontal="right" vertical="center"/>
    </xf>
    <xf numFmtId="0" fontId="10" fillId="5" borderId="0" xfId="0" applyFont="1" applyFill="1" applyBorder="1" applyAlignment="1" applyProtection="1">
      <alignment horizontal="right" vertical="center"/>
    </xf>
    <xf numFmtId="2" fontId="19" fillId="5" borderId="0" xfId="0" applyNumberFormat="1" applyFont="1" applyFill="1" applyBorder="1" applyAlignment="1" applyProtection="1">
      <alignment vertical="center"/>
    </xf>
    <xf numFmtId="0" fontId="20" fillId="5" borderId="0" xfId="0" quotePrefix="1" applyFont="1" applyFill="1" applyBorder="1" applyAlignment="1" applyProtection="1">
      <alignment horizontal="right" vertical="center"/>
    </xf>
    <xf numFmtId="2" fontId="20" fillId="5" borderId="0" xfId="0" applyNumberFormat="1" applyFont="1" applyFill="1" applyBorder="1" applyAlignment="1" applyProtection="1">
      <alignment vertical="center"/>
    </xf>
    <xf numFmtId="2" fontId="15" fillId="5" borderId="0" xfId="0" applyNumberFormat="1" applyFont="1" applyFill="1" applyBorder="1" applyAlignment="1" applyProtection="1">
      <alignment vertical="center"/>
    </xf>
    <xf numFmtId="2" fontId="16" fillId="5" borderId="0" xfId="0" applyNumberFormat="1" applyFont="1" applyFill="1" applyBorder="1" applyAlignment="1" applyProtection="1">
      <alignment vertical="center"/>
    </xf>
    <xf numFmtId="0" fontId="14" fillId="3" borderId="0" xfId="0" applyFont="1" applyFill="1" applyBorder="1" applyAlignment="1" applyProtection="1">
      <alignment vertical="center"/>
    </xf>
    <xf numFmtId="0" fontId="14" fillId="3" borderId="0" xfId="0" applyFont="1" applyFill="1" applyBorder="1" applyAlignment="1" applyProtection="1">
      <alignment horizontal="right" vertical="center"/>
    </xf>
    <xf numFmtId="11" fontId="11" fillId="5" borderId="0" xfId="0" applyNumberFormat="1" applyFont="1" applyFill="1" applyBorder="1" applyAlignment="1" applyProtection="1">
      <alignment vertical="center"/>
    </xf>
    <xf numFmtId="0" fontId="10" fillId="4" borderId="6" xfId="0" applyFont="1" applyFill="1" applyBorder="1" applyAlignment="1" applyProtection="1">
      <alignment vertical="center"/>
    </xf>
    <xf numFmtId="0" fontId="10" fillId="4" borderId="7" xfId="0" applyFont="1" applyFill="1" applyBorder="1" applyAlignment="1" applyProtection="1">
      <alignment vertical="center"/>
    </xf>
    <xf numFmtId="49" fontId="12" fillId="4" borderId="7" xfId="0" applyNumberFormat="1" applyFont="1" applyFill="1" applyBorder="1" applyAlignment="1" applyProtection="1">
      <alignment horizontal="right" vertical="center"/>
    </xf>
    <xf numFmtId="2" fontId="10" fillId="4" borderId="7" xfId="0" applyNumberFormat="1" applyFont="1" applyFill="1" applyBorder="1" applyAlignment="1" applyProtection="1">
      <alignment vertical="center"/>
    </xf>
    <xf numFmtId="0" fontId="12" fillId="4" borderId="7" xfId="0" applyFont="1" applyFill="1" applyBorder="1" applyAlignment="1" applyProtection="1">
      <alignment horizontal="left" vertical="center"/>
    </xf>
    <xf numFmtId="0" fontId="10" fillId="4" borderId="7" xfId="0" applyFont="1" applyFill="1" applyBorder="1" applyAlignment="1" applyProtection="1">
      <alignment horizontal="right" vertical="center"/>
    </xf>
    <xf numFmtId="0" fontId="10" fillId="4" borderId="8" xfId="0" applyFont="1" applyFill="1" applyBorder="1" applyAlignment="1" applyProtection="1">
      <alignment vertical="center"/>
    </xf>
    <xf numFmtId="0" fontId="14" fillId="3" borderId="0" xfId="0" applyFont="1" applyFill="1" applyBorder="1" applyAlignment="1" applyProtection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21" fillId="2" borderId="0" xfId="0" applyFont="1" applyFill="1" applyAlignment="1">
      <alignment horizontal="left"/>
    </xf>
    <xf numFmtId="0" fontId="22" fillId="2" borderId="0" xfId="0" applyFont="1" applyFill="1" applyAlignment="1">
      <alignment horizontal="right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502723941552"/>
          <c:y val="0.7673352570642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Impedance Transform.'!$AF$43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'Complex Impedance Transform.'!$AG$16:$BA$16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'Complex Impedance Transform.'!$AG$43:$BA$43</c:f>
              <c:numCache>
                <c:formatCode>General</c:formatCode>
                <c:ptCount val="21"/>
                <c:pt idx="0">
                  <c:v>4.6380547028896908</c:v>
                </c:pt>
                <c:pt idx="1">
                  <c:v>5.8943250816507424</c:v>
                </c:pt>
                <c:pt idx="2">
                  <c:v>7.5628298829666551</c:v>
                </c:pt>
                <c:pt idx="3">
                  <c:v>9.8023992197989198</c:v>
                </c:pt>
                <c:pt idx="4">
                  <c:v>12.830087043671455</c:v>
                </c:pt>
                <c:pt idx="5">
                  <c:v>16.921769212682211</c:v>
                </c:pt>
                <c:pt idx="6">
                  <c:v>22.366578289312077</c:v>
                </c:pt>
                <c:pt idx="7">
                  <c:v>29.29922651215217</c:v>
                </c:pt>
                <c:pt idx="8">
                  <c:v>37.316153279413662</c:v>
                </c:pt>
                <c:pt idx="9">
                  <c:v>44.98836025095558</c:v>
                </c:pt>
                <c:pt idx="10">
                  <c:v>49.999941481318075</c:v>
                </c:pt>
                <c:pt idx="11">
                  <c:v>50.640242012596566</c:v>
                </c:pt>
                <c:pt idx="12">
                  <c:v>47.287400413852964</c:v>
                </c:pt>
                <c:pt idx="13">
                  <c:v>41.811695953464245</c:v>
                </c:pt>
                <c:pt idx="14">
                  <c:v>35.965019425147844</c:v>
                </c:pt>
                <c:pt idx="15">
                  <c:v>30.685041337246187</c:v>
                </c:pt>
                <c:pt idx="16">
                  <c:v>26.265660597252861</c:v>
                </c:pt>
                <c:pt idx="17">
                  <c:v>22.686332269135146</c:v>
                </c:pt>
                <c:pt idx="18">
                  <c:v>19.820130878998274</c:v>
                </c:pt>
                <c:pt idx="19">
                  <c:v>17.526382326255209</c:v>
                </c:pt>
                <c:pt idx="20">
                  <c:v>15.682461847282212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A34C-9B55-192B27C52D2A}"/>
            </c:ext>
          </c:extLst>
        </c:ser>
        <c:ser>
          <c:idx val="1"/>
          <c:order val="1"/>
          <c:tx>
            <c:strRef>
              <c:f>'Complex Impedance Transform.'!$AF$44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'Complex Impedance Transform.'!$AG$16:$BA$16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'Complex Impedance Transform.'!$AG$44:$BA$44</c:f>
              <c:numCache>
                <c:formatCode>General</c:formatCode>
                <c:ptCount val="21"/>
                <c:pt idx="0">
                  <c:v>-0.59869021374964104</c:v>
                </c:pt>
                <c:pt idx="1">
                  <c:v>-1.4647793385484833</c:v>
                </c:pt>
                <c:pt idx="2">
                  <c:v>-2.4819180644529903</c:v>
                </c:pt>
                <c:pt idx="3">
                  <c:v>-3.6567755113157636</c:v>
                </c:pt>
                <c:pt idx="4">
                  <c:v>-4.9689242585118727</c:v>
                </c:pt>
                <c:pt idx="5">
                  <c:v>-6.3359010160239473</c:v>
                </c:pt>
                <c:pt idx="6">
                  <c:v>-7.5492856030246891</c:v>
                </c:pt>
                <c:pt idx="7">
                  <c:v>-8.1833507344439589</c:v>
                </c:pt>
                <c:pt idx="8">
                  <c:v>-7.5448990159567755</c:v>
                </c:pt>
                <c:pt idx="9">
                  <c:v>-4.8768702256533585</c:v>
                </c:pt>
                <c:pt idx="10">
                  <c:v>7.0829494818177218E-5</c:v>
                </c:pt>
                <c:pt idx="11">
                  <c:v>6.1327369480916722</c:v>
                </c:pt>
                <c:pt idx="12">
                  <c:v>11.96802369040085</c:v>
                </c:pt>
                <c:pt idx="13">
                  <c:v>16.483735661047255</c:v>
                </c:pt>
                <c:pt idx="14">
                  <c:v>19.525144058365854</c:v>
                </c:pt>
                <c:pt idx="15">
                  <c:v>21.401995257627647</c:v>
                </c:pt>
                <c:pt idx="16">
                  <c:v>22.495413038974505</c:v>
                </c:pt>
                <c:pt idx="17">
                  <c:v>23.103335233108059</c:v>
                </c:pt>
                <c:pt idx="18">
                  <c:v>23.424244388897751</c:v>
                </c:pt>
                <c:pt idx="19">
                  <c:v>23.581613958146473</c:v>
                </c:pt>
                <c:pt idx="20">
                  <c:v>23.650002945191144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A34C-9B55-192B27C5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502723941552"/>
          <c:y val="0.7673352570642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'Synthesis Wire Loop'!$AF$58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'Synthesis Wire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'Synthesis Wire Loop'!$AG$58:$BA$58</c:f>
              <c:numCache>
                <c:formatCode>General</c:formatCode>
                <c:ptCount val="21"/>
                <c:pt idx="0">
                  <c:v>4.4581120616935745</c:v>
                </c:pt>
                <c:pt idx="1">
                  <c:v>5.6745721584329702</c:v>
                </c:pt>
                <c:pt idx="2">
                  <c:v>7.2954288977900088</c:v>
                </c:pt>
                <c:pt idx="3">
                  <c:v>9.4800371286299541</c:v>
                </c:pt>
                <c:pt idx="4">
                  <c:v>12.449126027039442</c:v>
                </c:pt>
                <c:pt idx="5">
                  <c:v>16.488990959300185</c:v>
                </c:pt>
                <c:pt idx="6">
                  <c:v>21.911002015327085</c:v>
                </c:pt>
                <c:pt idx="7">
                  <c:v>28.88524256511927</c:v>
                </c:pt>
                <c:pt idx="8">
                  <c:v>37.036217549233093</c:v>
                </c:pt>
                <c:pt idx="9">
                  <c:v>44.894810430273999</c:v>
                </c:pt>
                <c:pt idx="10">
                  <c:v>49.999756050370578</c:v>
                </c:pt>
                <c:pt idx="11">
                  <c:v>50.522510819520072</c:v>
                </c:pt>
                <c:pt idx="12">
                  <c:v>46.913543784482044</c:v>
                </c:pt>
                <c:pt idx="13">
                  <c:v>41.202121519300725</c:v>
                </c:pt>
                <c:pt idx="14">
                  <c:v>35.217944279081337</c:v>
                </c:pt>
                <c:pt idx="15">
                  <c:v>29.891012461230879</c:v>
                </c:pt>
                <c:pt idx="16">
                  <c:v>25.481293481390928</c:v>
                </c:pt>
                <c:pt idx="17">
                  <c:v>21.939684801060125</c:v>
                </c:pt>
                <c:pt idx="18">
                  <c:v>19.121774385207409</c:v>
                </c:pt>
                <c:pt idx="19">
                  <c:v>16.877700963708445</c:v>
                </c:pt>
                <c:pt idx="20">
                  <c:v>15.080550095022941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F-C94D-907F-C73FBB8CBEE9}"/>
            </c:ext>
          </c:extLst>
        </c:ser>
        <c:ser>
          <c:idx val="1"/>
          <c:order val="1"/>
          <c:tx>
            <c:strRef>
              <c:f>'Synthesis Wire Loop'!$AF$59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'Synthesis Wire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'Synthesis Wire Loop'!$AG$59:$BA$59</c:f>
              <c:numCache>
                <c:formatCode>General</c:formatCode>
                <c:ptCount val="21"/>
                <c:pt idx="0">
                  <c:v>-0.80523613796221105</c:v>
                </c:pt>
                <c:pt idx="1">
                  <c:v>-1.6813753193906413</c:v>
                </c:pt>
                <c:pt idx="2">
                  <c:v>-2.7125067291994385</c:v>
                </c:pt>
                <c:pt idx="3">
                  <c:v>-3.9072282791674002</c:v>
                </c:pt>
                <c:pt idx="4">
                  <c:v>-5.2475612331280175</c:v>
                </c:pt>
                <c:pt idx="5">
                  <c:v>-6.6530269663395227</c:v>
                </c:pt>
                <c:pt idx="6">
                  <c:v>-7.9130626009638183</c:v>
                </c:pt>
                <c:pt idx="7">
                  <c:v>-8.5863209369372289</c:v>
                </c:pt>
                <c:pt idx="8">
                  <c:v>-7.9364447661927278</c:v>
                </c:pt>
                <c:pt idx="9">
                  <c:v>-5.1406562652527414</c:v>
                </c:pt>
                <c:pt idx="10">
                  <c:v>3.9989901361423535E-5</c:v>
                </c:pt>
                <c:pt idx="11">
                  <c:v>6.4296321105367857</c:v>
                </c:pt>
                <c:pt idx="12">
                  <c:v>12.451939864605693</c:v>
                </c:pt>
                <c:pt idx="13">
                  <c:v>17.004606746506997</c:v>
                </c:pt>
                <c:pt idx="14">
                  <c:v>19.983872958603076</c:v>
                </c:pt>
                <c:pt idx="15">
                  <c:v>21.759553814055568</c:v>
                </c:pt>
                <c:pt idx="16">
                  <c:v>22.747990855953621</c:v>
                </c:pt>
                <c:pt idx="17">
                  <c:v>23.261318708312281</c:v>
                </c:pt>
                <c:pt idx="18">
                  <c:v>23.501395364459384</c:v>
                </c:pt>
                <c:pt idx="19">
                  <c:v>23.590781709131296</c:v>
                </c:pt>
                <c:pt idx="20">
                  <c:v>23.60188052693788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F-C94D-907F-C73FBB8C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502723941552"/>
          <c:y val="0.7673352570642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'Synthesis Planar Band Loop'!$AF$58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'Synthesis Planar Band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'Synthesis Planar Band Loop'!$AG$58:$BA$58</c:f>
              <c:numCache>
                <c:formatCode>General</c:formatCode>
                <c:ptCount val="21"/>
                <c:pt idx="0">
                  <c:v>5.9641985861231115</c:v>
                </c:pt>
                <c:pt idx="1">
                  <c:v>7.4951210861720732</c:v>
                </c:pt>
                <c:pt idx="2">
                  <c:v>9.4824510129453259</c:v>
                </c:pt>
                <c:pt idx="3">
                  <c:v>12.074277636794866</c:v>
                </c:pt>
                <c:pt idx="4">
                  <c:v>15.453274285517383</c:v>
                </c:pt>
                <c:pt idx="5">
                  <c:v>19.817008707282881</c:v>
                </c:pt>
                <c:pt idx="6">
                  <c:v>25.311334069557461</c:v>
                </c:pt>
                <c:pt idx="7">
                  <c:v>31.877885387417294</c:v>
                </c:pt>
                <c:pt idx="8">
                  <c:v>39.009312092939659</c:v>
                </c:pt>
                <c:pt idx="9">
                  <c:v>45.562320631931627</c:v>
                </c:pt>
                <c:pt idx="10">
                  <c:v>49.999924551520088</c:v>
                </c:pt>
                <c:pt idx="11">
                  <c:v>51.225746031362434</c:v>
                </c:pt>
                <c:pt idx="12">
                  <c:v>49.320472980609786</c:v>
                </c:pt>
                <c:pt idx="13">
                  <c:v>45.343392569280851</c:v>
                </c:pt>
                <c:pt idx="14">
                  <c:v>40.531372491856153</c:v>
                </c:pt>
                <c:pt idx="15">
                  <c:v>35.756306439695607</c:v>
                </c:pt>
                <c:pt idx="16">
                  <c:v>31.453177668066623</c:v>
                </c:pt>
                <c:pt idx="17">
                  <c:v>27.76107046882537</c:v>
                </c:pt>
                <c:pt idx="18">
                  <c:v>24.668676189649226</c:v>
                </c:pt>
                <c:pt idx="19">
                  <c:v>22.105468399129858</c:v>
                </c:pt>
                <c:pt idx="20">
                  <c:v>19.987205028062501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1-1146-B8B7-C29DF71A7E87}"/>
            </c:ext>
          </c:extLst>
        </c:ser>
        <c:ser>
          <c:idx val="1"/>
          <c:order val="1"/>
          <c:tx>
            <c:strRef>
              <c:f>'Synthesis Planar Band Loop'!$AF$59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'Synthesis Planar Band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'Synthesis Planar Band Loop'!$AG$59:$BA$59</c:f>
              <c:numCache>
                <c:formatCode>General</c:formatCode>
                <c:ptCount val="21"/>
                <c:pt idx="0">
                  <c:v>1.0686243344222695</c:v>
                </c:pt>
                <c:pt idx="1">
                  <c:v>0.2848980375923188</c:v>
                </c:pt>
                <c:pt idx="2">
                  <c:v>-0.62645251713593719</c:v>
                </c:pt>
                <c:pt idx="3">
                  <c:v>-1.6633957213467334</c:v>
                </c:pt>
                <c:pt idx="4">
                  <c:v>-2.7970172799783946</c:v>
                </c:pt>
                <c:pt idx="5">
                  <c:v>-3.9449784576611124</c:v>
                </c:pt>
                <c:pt idx="6">
                  <c:v>-4.9309467128186428</c:v>
                </c:pt>
                <c:pt idx="7">
                  <c:v>-5.4413158918440185</c:v>
                </c:pt>
                <c:pt idx="8">
                  <c:v>-5.0283202849746447</c:v>
                </c:pt>
                <c:pt idx="9">
                  <c:v>-3.2533333763908567</c:v>
                </c:pt>
                <c:pt idx="10">
                  <c:v>8.3355193220735111E-5</c:v>
                </c:pt>
                <c:pt idx="11">
                  <c:v>4.2854659770990695</c:v>
                </c:pt>
                <c:pt idx="12">
                  <c:v>8.7799400891521469</c:v>
                </c:pt>
                <c:pt idx="13">
                  <c:v>12.769714403105112</c:v>
                </c:pt>
                <c:pt idx="14">
                  <c:v>15.932365236527417</c:v>
                </c:pt>
                <c:pt idx="15">
                  <c:v>18.274781610970226</c:v>
                </c:pt>
                <c:pt idx="16">
                  <c:v>19.953085417737491</c:v>
                </c:pt>
                <c:pt idx="17">
                  <c:v>21.146145572783535</c:v>
                </c:pt>
                <c:pt idx="18">
                  <c:v>22.003557180895328</c:v>
                </c:pt>
                <c:pt idx="19">
                  <c:v>22.63575762061329</c:v>
                </c:pt>
                <c:pt idx="20">
                  <c:v>23.119728710251191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1-1146-B8B7-C29DF71A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'ZA for Loops'!$E$13</c:f>
              <c:strCache>
                <c:ptCount val="1"/>
                <c:pt idx="0">
                  <c:v>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for Loops'!$D$14:$D$16</c:f>
              <c:numCache>
                <c:formatCode>General</c:formatCode>
                <c:ptCount val="3"/>
                <c:pt idx="0">
                  <c:v>9.0909090909090905E-3</c:v>
                </c:pt>
                <c:pt idx="1">
                  <c:v>2.2936363636363637E-2</c:v>
                </c:pt>
                <c:pt idx="2">
                  <c:v>0.11363636363636363</c:v>
                </c:pt>
              </c:numCache>
            </c:numRef>
          </c:xVal>
          <c:yVal>
            <c:numRef>
              <c:f>'ZA for Loops'!$E$14:$E$16</c:f>
              <c:numCache>
                <c:formatCode>General</c:formatCode>
                <c:ptCount val="3"/>
                <c:pt idx="0">
                  <c:v>1261</c:v>
                </c:pt>
                <c:pt idx="1">
                  <c:v>1072</c:v>
                </c:pt>
                <c:pt idx="2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2-D24B-8CB1-0BB6BB5109B4}"/>
            </c:ext>
          </c:extLst>
        </c:ser>
        <c:ser>
          <c:idx val="1"/>
          <c:order val="1"/>
          <c:tx>
            <c:strRef>
              <c:f>'ZA for Loops'!$F$13</c:f>
              <c:strCache>
                <c:ptCount val="1"/>
                <c:pt idx="0">
                  <c:v>Zsim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'ZA for Loops'!$D$14:$D$16</c:f>
              <c:numCache>
                <c:formatCode>General</c:formatCode>
                <c:ptCount val="3"/>
                <c:pt idx="0">
                  <c:v>9.0909090909090905E-3</c:v>
                </c:pt>
                <c:pt idx="1">
                  <c:v>2.2936363636363637E-2</c:v>
                </c:pt>
                <c:pt idx="2">
                  <c:v>0.11363636363636363</c:v>
                </c:pt>
              </c:numCache>
            </c:numRef>
          </c:xVal>
          <c:yVal>
            <c:numRef>
              <c:f>'ZA for Loops'!$F$14:$F$16</c:f>
              <c:numCache>
                <c:formatCode>General</c:formatCode>
                <c:ptCount val="3"/>
                <c:pt idx="0">
                  <c:v>1262.6356959116997</c:v>
                </c:pt>
                <c:pt idx="1">
                  <c:v>1068.9473236621766</c:v>
                </c:pt>
                <c:pt idx="2">
                  <c:v>801.48975845942914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F2-D24B-8CB1-0BB6BB51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25152"/>
        <c:axId val="1229626800"/>
      </c:scatterChart>
      <c:valAx>
        <c:axId val="12296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9626800"/>
        <c:crosses val="autoZero"/>
        <c:crossBetween val="midCat"/>
      </c:valAx>
      <c:valAx>
        <c:axId val="1229626800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96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337350757741274"/>
          <c:y val="0.15259607879969467"/>
          <c:w val="0.71325298484517452"/>
          <c:h val="0.60906964986854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'ZA for Loops'!$F$22</c:f>
              <c:strCache>
                <c:ptCount val="1"/>
                <c:pt idx="0">
                  <c:v>ZAsim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for Loops'!$D$23:$D$43</c:f>
              <c:numCache>
                <c:formatCode>General</c:formatCode>
                <c:ptCount val="21"/>
                <c:pt idx="0">
                  <c:v>1E-4</c:v>
                </c:pt>
                <c:pt idx="1">
                  <c:v>1.5000000000000001E-4</c:v>
                </c:pt>
                <c:pt idx="2">
                  <c:v>2.2500000000000002E-4</c:v>
                </c:pt>
                <c:pt idx="3">
                  <c:v>3.3750000000000002E-4</c:v>
                </c:pt>
                <c:pt idx="4">
                  <c:v>5.0625000000000008E-4</c:v>
                </c:pt>
                <c:pt idx="5">
                  <c:v>7.5937500000000018E-4</c:v>
                </c:pt>
                <c:pt idx="6">
                  <c:v>1.1390625000000001E-3</c:v>
                </c:pt>
                <c:pt idx="7">
                  <c:v>1.7085937500000003E-3</c:v>
                </c:pt>
                <c:pt idx="8">
                  <c:v>2.5628906250000005E-3</c:v>
                </c:pt>
                <c:pt idx="9">
                  <c:v>3.8443359375000007E-3</c:v>
                </c:pt>
                <c:pt idx="10">
                  <c:v>5.7665039062500005E-3</c:v>
                </c:pt>
                <c:pt idx="11">
                  <c:v>8.6497558593750003E-3</c:v>
                </c:pt>
                <c:pt idx="12">
                  <c:v>1.29746337890625E-2</c:v>
                </c:pt>
                <c:pt idx="13">
                  <c:v>1.946195068359375E-2</c:v>
                </c:pt>
                <c:pt idx="14">
                  <c:v>2.9192926025390625E-2</c:v>
                </c:pt>
                <c:pt idx="15">
                  <c:v>4.3789389038085935E-2</c:v>
                </c:pt>
                <c:pt idx="16">
                  <c:v>6.5684083557128903E-2</c:v>
                </c:pt>
                <c:pt idx="17">
                  <c:v>9.8526125335693354E-2</c:v>
                </c:pt>
                <c:pt idx="18">
                  <c:v>0.14778918800354005</c:v>
                </c:pt>
                <c:pt idx="19">
                  <c:v>0.22168378200531005</c:v>
                </c:pt>
                <c:pt idx="20">
                  <c:v>0.33252567300796504</c:v>
                </c:pt>
              </c:numCache>
            </c:numRef>
          </c:xVal>
          <c:yVal>
            <c:numRef>
              <c:f>'ZA for Loops'!$F$23:$F$43</c:f>
              <c:numCache>
                <c:formatCode>General</c:formatCode>
                <c:ptCount val="21"/>
                <c:pt idx="0">
                  <c:v>2842.5859792432229</c:v>
                </c:pt>
                <c:pt idx="1">
                  <c:v>2642.5755450843494</c:v>
                </c:pt>
                <c:pt idx="2">
                  <c:v>2456.638273202549</c:v>
                </c:pt>
                <c:pt idx="3">
                  <c:v>2283.7839457758864</c:v>
                </c:pt>
                <c:pt idx="4">
                  <c:v>2123.0920188279779</c:v>
                </c:pt>
                <c:pt idx="5">
                  <c:v>1973.7067198270747</c:v>
                </c:pt>
                <c:pt idx="6">
                  <c:v>1834.8324902285751</c:v>
                </c:pt>
                <c:pt idx="7">
                  <c:v>1705.729748689997</c:v>
                </c:pt>
                <c:pt idx="8">
                  <c:v>1585.7109523952158</c:v>
                </c:pt>
                <c:pt idx="9">
                  <c:v>1474.1369355123616</c:v>
                </c:pt>
                <c:pt idx="10">
                  <c:v>1370.4135052856514</c:v>
                </c:pt>
                <c:pt idx="11">
                  <c:v>1273.9882776334912</c:v>
                </c:pt>
                <c:pt idx="12">
                  <c:v>1184.3477354006654</c:v>
                </c:pt>
                <c:pt idx="13">
                  <c:v>1101.0144935982025</c:v>
                </c:pt>
                <c:pt idx="14">
                  <c:v>1023.5447570668149</c:v>
                </c:pt>
                <c:pt idx="15">
                  <c:v>951.52595702458211</c:v>
                </c:pt>
                <c:pt idx="16">
                  <c:v>884.57455391219787</c:v>
                </c:pt>
                <c:pt idx="17">
                  <c:v>822.33399483472965</c:v>
                </c:pt>
                <c:pt idx="18">
                  <c:v>764.47281472214661</c:v>
                </c:pt>
                <c:pt idx="19">
                  <c:v>710.68287109625862</c:v>
                </c:pt>
                <c:pt idx="20">
                  <c:v>660.67770304323096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C-E440-81F2-5FA888B1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09376"/>
        <c:axId val="1232806304"/>
      </c:scatterChart>
      <c:valAx>
        <c:axId val="1232809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6304"/>
        <c:crosses val="autoZero"/>
        <c:crossBetween val="midCat"/>
      </c:valAx>
      <c:valAx>
        <c:axId val="12328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725240594925635"/>
          <c:y val="0.13880327416862692"/>
          <c:w val="0.67733092738407696"/>
          <c:h val="0.6724385046212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'ZA for Loops'!$F$22</c:f>
              <c:strCache>
                <c:ptCount val="1"/>
                <c:pt idx="0">
                  <c:v>ZAsim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for Loops'!$D$23:$D$43</c:f>
              <c:numCache>
                <c:formatCode>General</c:formatCode>
                <c:ptCount val="21"/>
                <c:pt idx="0">
                  <c:v>1E-4</c:v>
                </c:pt>
                <c:pt idx="1">
                  <c:v>1.5000000000000001E-4</c:v>
                </c:pt>
                <c:pt idx="2">
                  <c:v>2.2500000000000002E-4</c:v>
                </c:pt>
                <c:pt idx="3">
                  <c:v>3.3750000000000002E-4</c:v>
                </c:pt>
                <c:pt idx="4">
                  <c:v>5.0625000000000008E-4</c:v>
                </c:pt>
                <c:pt idx="5">
                  <c:v>7.5937500000000018E-4</c:v>
                </c:pt>
                <c:pt idx="6">
                  <c:v>1.1390625000000001E-3</c:v>
                </c:pt>
                <c:pt idx="7">
                  <c:v>1.7085937500000003E-3</c:v>
                </c:pt>
                <c:pt idx="8">
                  <c:v>2.5628906250000005E-3</c:v>
                </c:pt>
                <c:pt idx="9">
                  <c:v>3.8443359375000007E-3</c:v>
                </c:pt>
                <c:pt idx="10">
                  <c:v>5.7665039062500005E-3</c:v>
                </c:pt>
                <c:pt idx="11">
                  <c:v>8.6497558593750003E-3</c:v>
                </c:pt>
                <c:pt idx="12">
                  <c:v>1.29746337890625E-2</c:v>
                </c:pt>
                <c:pt idx="13">
                  <c:v>1.946195068359375E-2</c:v>
                </c:pt>
                <c:pt idx="14">
                  <c:v>2.9192926025390625E-2</c:v>
                </c:pt>
                <c:pt idx="15">
                  <c:v>4.3789389038085935E-2</c:v>
                </c:pt>
                <c:pt idx="16">
                  <c:v>6.5684083557128903E-2</c:v>
                </c:pt>
                <c:pt idx="17">
                  <c:v>9.8526125335693354E-2</c:v>
                </c:pt>
                <c:pt idx="18">
                  <c:v>0.14778918800354005</c:v>
                </c:pt>
                <c:pt idx="19">
                  <c:v>0.22168378200531005</c:v>
                </c:pt>
                <c:pt idx="20">
                  <c:v>0.33252567300796504</c:v>
                </c:pt>
              </c:numCache>
            </c:numRef>
          </c:xVal>
          <c:yVal>
            <c:numRef>
              <c:f>'ZA for Loops'!$F$23:$F$43</c:f>
              <c:numCache>
                <c:formatCode>General</c:formatCode>
                <c:ptCount val="21"/>
                <c:pt idx="0">
                  <c:v>2842.5859792432229</c:v>
                </c:pt>
                <c:pt idx="1">
                  <c:v>2642.5755450843494</c:v>
                </c:pt>
                <c:pt idx="2">
                  <c:v>2456.638273202549</c:v>
                </c:pt>
                <c:pt idx="3">
                  <c:v>2283.7839457758864</c:v>
                </c:pt>
                <c:pt idx="4">
                  <c:v>2123.0920188279779</c:v>
                </c:pt>
                <c:pt idx="5">
                  <c:v>1973.7067198270747</c:v>
                </c:pt>
                <c:pt idx="6">
                  <c:v>1834.8324902285751</c:v>
                </c:pt>
                <c:pt idx="7">
                  <c:v>1705.729748689997</c:v>
                </c:pt>
                <c:pt idx="8">
                  <c:v>1585.7109523952158</c:v>
                </c:pt>
                <c:pt idx="9">
                  <c:v>1474.1369355123616</c:v>
                </c:pt>
                <c:pt idx="10">
                  <c:v>1370.4135052856514</c:v>
                </c:pt>
                <c:pt idx="11">
                  <c:v>1273.9882776334912</c:v>
                </c:pt>
                <c:pt idx="12">
                  <c:v>1184.3477354006654</c:v>
                </c:pt>
                <c:pt idx="13">
                  <c:v>1101.0144935982025</c:v>
                </c:pt>
                <c:pt idx="14">
                  <c:v>1023.5447570668149</c:v>
                </c:pt>
                <c:pt idx="15">
                  <c:v>951.52595702458211</c:v>
                </c:pt>
                <c:pt idx="16">
                  <c:v>884.57455391219787</c:v>
                </c:pt>
                <c:pt idx="17">
                  <c:v>822.33399483472965</c:v>
                </c:pt>
                <c:pt idx="18">
                  <c:v>764.47281472214661</c:v>
                </c:pt>
                <c:pt idx="19">
                  <c:v>710.68287109625862</c:v>
                </c:pt>
                <c:pt idx="20">
                  <c:v>660.67770304323096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D-EB43-A5A8-6B1D571B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09376"/>
        <c:axId val="1232806304"/>
      </c:scatterChart>
      <c:valAx>
        <c:axId val="12328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6304"/>
        <c:crosses val="autoZero"/>
        <c:crossBetween val="midCat"/>
      </c:valAx>
      <c:valAx>
        <c:axId val="12328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emf"/><Relationship Id="rId1" Type="http://schemas.openxmlformats.org/officeDocument/2006/relationships/image" Target="../media/image7.png"/><Relationship Id="rId6" Type="http://schemas.openxmlformats.org/officeDocument/2006/relationships/image" Target="../media/image1.png"/><Relationship Id="rId5" Type="http://schemas.openxmlformats.org/officeDocument/2006/relationships/hyperlink" Target="https://www.youtube.com/channel/UClPnzFiUQ_J0KyaXQarIFhQ/featured" TargetMode="External"/><Relationship Id="rId4" Type="http://schemas.openxmlformats.org/officeDocument/2006/relationships/image" Target="../media/image10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1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2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3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18143</xdr:colOff>
      <xdr:row>9</xdr:row>
      <xdr:rowOff>189024</xdr:rowOff>
    </xdr:from>
    <xdr:to>
      <xdr:col>5</xdr:col>
      <xdr:colOff>308428</xdr:colOff>
      <xdr:row>21</xdr:row>
      <xdr:rowOff>112484</xdr:rowOff>
    </xdr:to>
    <xdr:pic>
      <xdr:nvPicPr>
        <xdr:cNvPr id="4" name="Grafik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C69E48-04EB-C1C6-C501-D259CF576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1214" y="2112167"/>
          <a:ext cx="2367643" cy="2318317"/>
        </a:xfrm>
        <a:prstGeom prst="rect">
          <a:avLst/>
        </a:prstGeom>
      </xdr:spPr>
    </xdr:pic>
    <xdr:clientData/>
  </xdr:twoCellAnchor>
  <xdr:twoCellAnchor editAs="oneCell">
    <xdr:from>
      <xdr:col>6</xdr:col>
      <xdr:colOff>150513</xdr:colOff>
      <xdr:row>3</xdr:row>
      <xdr:rowOff>33905</xdr:rowOff>
    </xdr:from>
    <xdr:to>
      <xdr:col>10</xdr:col>
      <xdr:colOff>1333500</xdr:colOff>
      <xdr:row>24</xdr:row>
      <xdr:rowOff>145142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03277A1-D49E-9DDF-87EA-A8891B26A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/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-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13013" y="668905"/>
          <a:ext cx="9601273" cy="4420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54429</xdr:rowOff>
    </xdr:to>
    <xdr:pic>
      <xdr:nvPicPr>
        <xdr:cNvPr id="6" name="Grafik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99B46-77F0-E04D-9B6B-6AEAAA6D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07872" y="0"/>
          <a:ext cx="2596520" cy="2476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45357</xdr:colOff>
      <xdr:row>5</xdr:row>
      <xdr:rowOff>33891</xdr:rowOff>
    </xdr:from>
    <xdr:to>
      <xdr:col>16</xdr:col>
      <xdr:colOff>517072</xdr:colOff>
      <xdr:row>8</xdr:row>
      <xdr:rowOff>130628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F66AE037-23E8-1690-127F-CF42DE17A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58214" y="1449034"/>
          <a:ext cx="4445000" cy="1076451"/>
        </a:xfrm>
        <a:prstGeom prst="rect">
          <a:avLst/>
        </a:prstGeom>
      </xdr:spPr>
    </xdr:pic>
    <xdr:clientData/>
  </xdr:twoCellAnchor>
  <xdr:twoCellAnchor editAs="oneCell">
    <xdr:from>
      <xdr:col>18</xdr:col>
      <xdr:colOff>81643</xdr:colOff>
      <xdr:row>5</xdr:row>
      <xdr:rowOff>18143</xdr:rowOff>
    </xdr:from>
    <xdr:to>
      <xdr:col>22</xdr:col>
      <xdr:colOff>348343</xdr:colOff>
      <xdr:row>8</xdr:row>
      <xdr:rowOff>117929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2F6259FB-DB0D-D20F-C5BF-12D27F3E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64786" y="1433286"/>
          <a:ext cx="3060700" cy="1079500"/>
        </a:xfrm>
        <a:prstGeom prst="rect">
          <a:avLst/>
        </a:prstGeom>
      </xdr:spPr>
    </xdr:pic>
    <xdr:clientData/>
  </xdr:twoCellAnchor>
  <xdr:twoCellAnchor editAs="oneCell">
    <xdr:from>
      <xdr:col>17</xdr:col>
      <xdr:colOff>480786</xdr:colOff>
      <xdr:row>20</xdr:row>
      <xdr:rowOff>272143</xdr:rowOff>
    </xdr:from>
    <xdr:to>
      <xdr:col>22</xdr:col>
      <xdr:colOff>582386</xdr:colOff>
      <xdr:row>24</xdr:row>
      <xdr:rowOff>94343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8465D4C9-366B-ECEF-4258-35F05116A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74500" y="6105072"/>
          <a:ext cx="3594100" cy="1092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163287</xdr:colOff>
      <xdr:row>21</xdr:row>
      <xdr:rowOff>27215</xdr:rowOff>
    </xdr:from>
    <xdr:to>
      <xdr:col>16</xdr:col>
      <xdr:colOff>635002</xdr:colOff>
      <xdr:row>24</xdr:row>
      <xdr:rowOff>123951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3175098-7CB9-3B45-AF15-2D402A2E9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5216" y="6150429"/>
          <a:ext cx="4445000" cy="1076451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317500</xdr:colOff>
      <xdr:row>11</xdr:row>
      <xdr:rowOff>154215</xdr:rowOff>
    </xdr:from>
    <xdr:to>
      <xdr:col>20</xdr:col>
      <xdr:colOff>639243</xdr:colOff>
      <xdr:row>13</xdr:row>
      <xdr:rowOff>163285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FB3D736C-6CFD-1066-CE6F-765A5F716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09714" y="3419929"/>
          <a:ext cx="1718743" cy="589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468923</xdr:colOff>
      <xdr:row>6</xdr:row>
      <xdr:rowOff>39076</xdr:rowOff>
    </xdr:from>
    <xdr:to>
      <xdr:col>14</xdr:col>
      <xdr:colOff>677984</xdr:colOff>
      <xdr:row>11</xdr:row>
      <xdr:rowOff>137745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BA57075E-6DB4-6BB5-0AF5-54B7B0C1A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3538" y="1758461"/>
          <a:ext cx="3022600" cy="16129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90714</xdr:colOff>
      <xdr:row>7</xdr:row>
      <xdr:rowOff>165699</xdr:rowOff>
    </xdr:from>
    <xdr:to>
      <xdr:col>21</xdr:col>
      <xdr:colOff>453571</xdr:colOff>
      <xdr:row>10</xdr:row>
      <xdr:rowOff>141067</xdr:rowOff>
    </xdr:to>
    <xdr:pic>
      <xdr:nvPicPr>
        <xdr:cNvPr id="23" name="Picture 3" descr="equation_1.pdf">
          <a:extLst>
            <a:ext uri="{FF2B5EF4-FFF2-40B4-BE49-F238E27FC236}">
              <a16:creationId xmlns:a16="http://schemas.microsoft.com/office/drawing/2014/main" id="{CD6E5FB4-D5C1-C54C-6EB9-D11951AED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804071" y="2161413"/>
          <a:ext cx="3855357" cy="900654"/>
        </a:xfrm>
        <a:prstGeom prst="rect">
          <a:avLst/>
        </a:prstGeom>
        <a:noFill/>
        <a:effectLst>
          <a:outerShdw blurRad="50800" dist="101600" dir="18900000" algn="bl" rotWithShape="0">
            <a:prstClr val="black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283308</xdr:colOff>
      <xdr:row>18</xdr:row>
      <xdr:rowOff>29308</xdr:rowOff>
    </xdr:from>
    <xdr:to>
      <xdr:col>17</xdr:col>
      <xdr:colOff>169985</xdr:colOff>
      <xdr:row>24</xdr:row>
      <xdr:rowOff>139700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16BCFD9F-51E2-5EE2-7040-DC067BB0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37923" y="5715000"/>
          <a:ext cx="4800600" cy="19177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226787</xdr:colOff>
      <xdr:row>19</xdr:row>
      <xdr:rowOff>62365</xdr:rowOff>
    </xdr:from>
    <xdr:to>
      <xdr:col>25</xdr:col>
      <xdr:colOff>163287</xdr:colOff>
      <xdr:row>22</xdr:row>
      <xdr:rowOff>117928</xdr:rowOff>
    </xdr:to>
    <xdr:pic>
      <xdr:nvPicPr>
        <xdr:cNvPr id="26" name="Picture 2" descr="equation.pdf">
          <a:extLst>
            <a:ext uri="{FF2B5EF4-FFF2-40B4-BE49-F238E27FC236}">
              <a16:creationId xmlns:a16="http://schemas.microsoft.com/office/drawing/2014/main" id="{0E064A2E-0283-B218-4570-3E03F231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40144" y="5713865"/>
          <a:ext cx="6223000" cy="980849"/>
        </a:xfrm>
        <a:prstGeom prst="rect">
          <a:avLst/>
        </a:prstGeom>
        <a:noFill/>
        <a:effectLst>
          <a:outerShdw blurRad="50800" dist="101600" dir="18900000" algn="bl" rotWithShape="0">
            <a:prstClr val="black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421192</xdr:colOff>
      <xdr:row>8</xdr:row>
      <xdr:rowOff>108858</xdr:rowOff>
    </xdr:to>
    <xdr:pic>
      <xdr:nvPicPr>
        <xdr:cNvPr id="27" name="Grafik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789B14-E84A-F348-B438-8A5B9A96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02429" y="0"/>
          <a:ext cx="2598334" cy="2467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4</xdr:row>
      <xdr:rowOff>176590</xdr:rowOff>
    </xdr:from>
    <xdr:to>
      <xdr:col>25</xdr:col>
      <xdr:colOff>297542</xdr:colOff>
      <xdr:row>12</xdr:row>
      <xdr:rowOff>105153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D5C7919-D67E-115E-8330-6FD3E5FC4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108858</xdr:rowOff>
    </xdr:to>
    <xdr:pic>
      <xdr:nvPicPr>
        <xdr:cNvPr id="2" name="Grafik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59AA32-D992-4C42-95AD-7ADB5A27A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95172" y="0"/>
          <a:ext cx="2596519" cy="2472872"/>
        </a:xfrm>
        <a:prstGeom prst="rect">
          <a:avLst/>
        </a:prstGeom>
      </xdr:spPr>
    </xdr:pic>
    <xdr:clientData/>
  </xdr:twoCellAnchor>
  <xdr:twoCellAnchor editAs="oneCell">
    <xdr:from>
      <xdr:col>9</xdr:col>
      <xdr:colOff>352780</xdr:colOff>
      <xdr:row>3</xdr:row>
      <xdr:rowOff>206937</xdr:rowOff>
    </xdr:from>
    <xdr:to>
      <xdr:col>17</xdr:col>
      <xdr:colOff>827517</xdr:colOff>
      <xdr:row>11</xdr:row>
      <xdr:rowOff>107784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BA5CCE1-F013-5271-1E2F-8662A726F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75137" y="1059651"/>
          <a:ext cx="5083023" cy="2386419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14</xdr:row>
      <xdr:rowOff>235857</xdr:rowOff>
    </xdr:from>
    <xdr:to>
      <xdr:col>21</xdr:col>
      <xdr:colOff>186873</xdr:colOff>
      <xdr:row>18</xdr:row>
      <xdr:rowOff>154214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30A0F8A9-1CA4-B8B5-E9F0-865D481F7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7287" y="4499428"/>
          <a:ext cx="5067300" cy="1079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18</xdr:row>
      <xdr:rowOff>235858</xdr:rowOff>
    </xdr:from>
    <xdr:to>
      <xdr:col>18</xdr:col>
      <xdr:colOff>593272</xdr:colOff>
      <xdr:row>21</xdr:row>
      <xdr:rowOff>47172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32FDF7C-9867-01EC-2F7C-704ACFB65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4286" y="5424715"/>
          <a:ext cx="3251200" cy="736600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19</xdr:row>
      <xdr:rowOff>217714</xdr:rowOff>
    </xdr:from>
    <xdr:to>
      <xdr:col>25</xdr:col>
      <xdr:colOff>405301</xdr:colOff>
      <xdr:row>23</xdr:row>
      <xdr:rowOff>253999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B2685F9-87C8-DEAC-D567-A1CD55C5D6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45179" y="5696857"/>
          <a:ext cx="4269051" cy="1360714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22</xdr:row>
      <xdr:rowOff>208643</xdr:rowOff>
    </xdr:from>
    <xdr:to>
      <xdr:col>25</xdr:col>
      <xdr:colOff>381000</xdr:colOff>
      <xdr:row>35</xdr:row>
      <xdr:rowOff>268133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A07C59BA-2CE6-D5C1-4A7F-D9E7A793A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0115" y="6558643"/>
          <a:ext cx="10102599" cy="40509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19</xdr:row>
      <xdr:rowOff>176590</xdr:rowOff>
    </xdr:from>
    <xdr:to>
      <xdr:col>25</xdr:col>
      <xdr:colOff>297542</xdr:colOff>
      <xdr:row>27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D98F5-8A4D-2D41-A797-2A64F2C8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39C745-5C2C-C642-AD32-27E899369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1058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18</xdr:row>
      <xdr:rowOff>234151</xdr:rowOff>
    </xdr:from>
    <xdr:to>
      <xdr:col>17</xdr:col>
      <xdr:colOff>816354</xdr:colOff>
      <xdr:row>26</xdr:row>
      <xdr:rowOff>134998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39A5DCA-C286-D54F-AE7D-99B82414F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93280" y="1667437"/>
          <a:ext cx="5083023" cy="2386419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29</xdr:row>
      <xdr:rowOff>235857</xdr:rowOff>
    </xdr:from>
    <xdr:to>
      <xdr:col>21</xdr:col>
      <xdr:colOff>186873</xdr:colOff>
      <xdr:row>33</xdr:row>
      <xdr:rowOff>154215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491D140-B457-3D46-8231-833F95F08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4503057"/>
          <a:ext cx="5069115" cy="108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33</xdr:row>
      <xdr:rowOff>235858</xdr:rowOff>
    </xdr:from>
    <xdr:to>
      <xdr:col>18</xdr:col>
      <xdr:colOff>593271</xdr:colOff>
      <xdr:row>36</xdr:row>
      <xdr:rowOff>47172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755BE29-6612-D741-9F0B-D07EDAD92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5671458"/>
          <a:ext cx="3253015" cy="738414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34</xdr:row>
      <xdr:rowOff>217714</xdr:rowOff>
    </xdr:from>
    <xdr:to>
      <xdr:col>25</xdr:col>
      <xdr:colOff>405302</xdr:colOff>
      <xdr:row>38</xdr:row>
      <xdr:rowOff>253999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4629AAA-259F-D443-8F11-F377D878B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5945414"/>
          <a:ext cx="4269051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37</xdr:row>
      <xdr:rowOff>208643</xdr:rowOff>
    </xdr:from>
    <xdr:to>
      <xdr:col>25</xdr:col>
      <xdr:colOff>351693</xdr:colOff>
      <xdr:row>50</xdr:row>
      <xdr:rowOff>268133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9AEBA6BF-C99B-4147-BB46-2B6A23E37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54672" y="6914243"/>
          <a:ext cx="10106228" cy="4059990"/>
        </a:xfrm>
        <a:prstGeom prst="rect">
          <a:avLst/>
        </a:prstGeom>
      </xdr:spPr>
    </xdr:pic>
    <xdr:clientData/>
  </xdr:twoCellAnchor>
  <xdr:twoCellAnchor editAs="oneCell">
    <xdr:from>
      <xdr:col>16</xdr:col>
      <xdr:colOff>361460</xdr:colOff>
      <xdr:row>4</xdr:row>
      <xdr:rowOff>19537</xdr:rowOff>
    </xdr:from>
    <xdr:to>
      <xdr:col>22</xdr:col>
      <xdr:colOff>490127</xdr:colOff>
      <xdr:row>18</xdr:row>
      <xdr:rowOff>138723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B0052D03-2E10-8537-BA41-C60449C4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04768" y="1162537"/>
          <a:ext cx="4612744" cy="43688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19</xdr:row>
      <xdr:rowOff>176590</xdr:rowOff>
    </xdr:from>
    <xdr:to>
      <xdr:col>25</xdr:col>
      <xdr:colOff>297542</xdr:colOff>
      <xdr:row>27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8BAE33-0F01-4A49-B45F-D88E5322D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25DD80-229F-D747-8669-155892EC5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18</xdr:row>
      <xdr:rowOff>234151</xdr:rowOff>
    </xdr:from>
    <xdr:to>
      <xdr:col>17</xdr:col>
      <xdr:colOff>816354</xdr:colOff>
      <xdr:row>26</xdr:row>
      <xdr:rowOff>134998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CA18EBC-627F-FE4B-AEE1-C8384004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49737" y="5618951"/>
          <a:ext cx="5091817" cy="2390047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29</xdr:row>
      <xdr:rowOff>235857</xdr:rowOff>
    </xdr:from>
    <xdr:to>
      <xdr:col>21</xdr:col>
      <xdr:colOff>186873</xdr:colOff>
      <xdr:row>33</xdr:row>
      <xdr:rowOff>154215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0935854-C424-D14C-AAA7-6F496819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9036957"/>
          <a:ext cx="5069115" cy="1086758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33</xdr:row>
      <xdr:rowOff>235858</xdr:rowOff>
    </xdr:from>
    <xdr:to>
      <xdr:col>18</xdr:col>
      <xdr:colOff>593271</xdr:colOff>
      <xdr:row>36</xdr:row>
      <xdr:rowOff>47172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5E205F3-74A1-DE41-AFFE-0EE3555E3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10205358"/>
          <a:ext cx="3253014" cy="738414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34</xdr:row>
      <xdr:rowOff>217714</xdr:rowOff>
    </xdr:from>
    <xdr:to>
      <xdr:col>25</xdr:col>
      <xdr:colOff>405302</xdr:colOff>
      <xdr:row>38</xdr:row>
      <xdr:rowOff>253999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E4D5FD9-D342-A244-90F3-BA0FFCC003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10479314"/>
          <a:ext cx="4269052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37</xdr:row>
      <xdr:rowOff>208643</xdr:rowOff>
    </xdr:from>
    <xdr:to>
      <xdr:col>25</xdr:col>
      <xdr:colOff>351693</xdr:colOff>
      <xdr:row>50</xdr:row>
      <xdr:rowOff>268133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3BA992D-A449-AC4A-A179-3EC0E1B4D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6572" y="11448143"/>
          <a:ext cx="10115021" cy="4059990"/>
        </a:xfrm>
        <a:prstGeom prst="rect">
          <a:avLst/>
        </a:prstGeom>
      </xdr:spPr>
    </xdr:pic>
    <xdr:clientData/>
  </xdr:twoCellAnchor>
  <xdr:twoCellAnchor editAs="oneCell">
    <xdr:from>
      <xdr:col>16</xdr:col>
      <xdr:colOff>267955</xdr:colOff>
      <xdr:row>3</xdr:row>
      <xdr:rowOff>260486</xdr:rowOff>
    </xdr:from>
    <xdr:to>
      <xdr:col>22</xdr:col>
      <xdr:colOff>551263</xdr:colOff>
      <xdr:row>18</xdr:row>
      <xdr:rowOff>188643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B0A6C2A-2CE8-C280-D849-A1E6695F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00098" y="1113200"/>
          <a:ext cx="4737379" cy="44457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68035</xdr:colOff>
      <xdr:row>5</xdr:row>
      <xdr:rowOff>84366</xdr:rowOff>
    </xdr:from>
    <xdr:to>
      <xdr:col>14</xdr:col>
      <xdr:colOff>512535</xdr:colOff>
      <xdr:row>18</xdr:row>
      <xdr:rowOff>33566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4BB901-BA29-1202-C597-657D680E4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81643</xdr:colOff>
      <xdr:row>20</xdr:row>
      <xdr:rowOff>90714</xdr:rowOff>
    </xdr:from>
    <xdr:to>
      <xdr:col>14</xdr:col>
      <xdr:colOff>471714</xdr:colOff>
      <xdr:row>40</xdr:row>
      <xdr:rowOff>187778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892DE2-B946-715B-C975-87C94ABF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689429</xdr:colOff>
      <xdr:row>20</xdr:row>
      <xdr:rowOff>99787</xdr:rowOff>
    </xdr:from>
    <xdr:to>
      <xdr:col>20</xdr:col>
      <xdr:colOff>308429</xdr:colOff>
      <xdr:row>40</xdr:row>
      <xdr:rowOff>166915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B1B9BEF-5E81-9C4E-B175-4CF7EA4F5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C8F2-C30C-5A4A-8EC4-D52F58782D34}">
  <dimension ref="B1:L40"/>
  <sheetViews>
    <sheetView zoomScale="140" zoomScaleNormal="140" workbookViewId="0">
      <pane xSplit="25" topLeftCell="Z1" activePane="topRight" state="frozen"/>
      <selection pane="topRight" activeCell="N16" sqref="N16"/>
    </sheetView>
  </sheetViews>
  <sheetFormatPr baseColWidth="10" defaultRowHeight="16" x14ac:dyDescent="0.2"/>
  <cols>
    <col min="1" max="1" width="3.5" style="1" customWidth="1"/>
    <col min="2" max="2" width="4.1640625" style="1" customWidth="1"/>
    <col min="3" max="3" width="12.5" style="1" customWidth="1"/>
    <col min="4" max="4" width="5.6640625" style="1" customWidth="1"/>
    <col min="5" max="5" width="4.83203125" style="1" customWidth="1"/>
    <col min="6" max="6" width="31.83203125" style="1" customWidth="1"/>
    <col min="7" max="11" width="27.6640625" style="1" customWidth="1"/>
    <col min="12" max="12" width="4.33203125" style="1" customWidth="1"/>
    <col min="13" max="16384" width="10.83203125" style="1"/>
  </cols>
  <sheetData>
    <row r="1" spans="2:12" ht="17" thickBot="1" x14ac:dyDescent="0.25"/>
    <row r="2" spans="2:12" ht="17" thickTop="1" x14ac:dyDescent="0.2">
      <c r="B2" s="6"/>
      <c r="C2" s="7"/>
      <c r="D2" s="7"/>
      <c r="E2" s="7"/>
      <c r="F2" s="7"/>
      <c r="G2" s="7"/>
      <c r="H2" s="7"/>
      <c r="I2" s="7"/>
      <c r="J2" s="7"/>
      <c r="K2" s="7"/>
      <c r="L2" s="8"/>
    </row>
    <row r="3" spans="2:12" x14ac:dyDescent="0.2"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2:12" ht="23" x14ac:dyDescent="0.25">
      <c r="B4" s="9"/>
      <c r="C4" s="12"/>
      <c r="D4" s="10"/>
      <c r="E4" s="10"/>
      <c r="F4" s="10"/>
      <c r="G4" s="10"/>
      <c r="H4" s="10"/>
      <c r="I4" s="10"/>
      <c r="J4" s="10"/>
      <c r="K4" s="10"/>
      <c r="L4" s="11"/>
    </row>
    <row r="5" spans="2:12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1"/>
    </row>
    <row r="6" spans="2:12" x14ac:dyDescent="0.2">
      <c r="B6" s="9"/>
      <c r="C6" s="13" t="s">
        <v>0</v>
      </c>
      <c r="D6" s="10"/>
      <c r="E6" s="10"/>
      <c r="F6" s="10"/>
      <c r="G6" s="10"/>
      <c r="H6" s="10"/>
      <c r="I6" s="10"/>
      <c r="J6" s="10"/>
      <c r="K6" s="10"/>
      <c r="L6" s="11"/>
    </row>
    <row r="7" spans="2:12" x14ac:dyDescent="0.2">
      <c r="B7" s="9"/>
      <c r="C7" s="13" t="s">
        <v>1</v>
      </c>
      <c r="D7" s="10"/>
      <c r="E7" s="10"/>
      <c r="F7" s="10"/>
      <c r="G7" s="10"/>
      <c r="H7" s="10"/>
      <c r="I7" s="10"/>
      <c r="J7" s="10"/>
      <c r="K7" s="10"/>
      <c r="L7" s="11"/>
    </row>
    <row r="8" spans="2:12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1"/>
    </row>
    <row r="9" spans="2:12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2:12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2:12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2:12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2:12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2:12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2:12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2:12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2:12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2:12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2:12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2:12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1"/>
    </row>
    <row r="21" spans="2:12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spans="2:12" ht="18" x14ac:dyDescent="0.2">
      <c r="B22" s="9"/>
      <c r="C22" s="14" t="s">
        <v>2</v>
      </c>
      <c r="D22" s="10"/>
      <c r="E22" s="10"/>
      <c r="F22" s="10"/>
      <c r="G22" s="10"/>
      <c r="H22" s="10"/>
      <c r="I22" s="10"/>
      <c r="J22" s="10"/>
      <c r="K22" s="10"/>
      <c r="L22" s="11"/>
    </row>
    <row r="23" spans="2:12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1"/>
    </row>
    <row r="24" spans="2:12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1"/>
    </row>
    <row r="25" spans="2:12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1"/>
    </row>
    <row r="26" spans="2:12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2:12" ht="33" x14ac:dyDescent="0.35">
      <c r="B27" s="9"/>
      <c r="C27" s="12" t="s">
        <v>3</v>
      </c>
      <c r="D27" s="10"/>
      <c r="E27" s="15" t="s">
        <v>82</v>
      </c>
      <c r="F27" s="16"/>
      <c r="G27" s="10"/>
      <c r="H27" s="10"/>
      <c r="I27" s="10"/>
      <c r="J27" s="10"/>
      <c r="K27" s="10"/>
      <c r="L27" s="11"/>
    </row>
    <row r="28" spans="2:12" ht="10" customHeight="1" x14ac:dyDescent="0.25">
      <c r="B28" s="9"/>
      <c r="C28" s="10"/>
      <c r="D28" s="10"/>
      <c r="E28" s="16"/>
      <c r="F28" s="16"/>
      <c r="G28" s="10"/>
      <c r="H28" s="10"/>
      <c r="I28" s="10"/>
      <c r="J28" s="10"/>
      <c r="K28" s="10"/>
      <c r="L28" s="11"/>
    </row>
    <row r="29" spans="2:12" ht="19" customHeight="1" x14ac:dyDescent="0.2">
      <c r="B29" s="9"/>
      <c r="C29" s="10"/>
      <c r="D29" s="10"/>
      <c r="E29" s="10"/>
      <c r="F29" s="17" t="s">
        <v>114</v>
      </c>
      <c r="G29" s="10"/>
      <c r="H29" s="10"/>
      <c r="I29" s="10"/>
      <c r="J29" s="10"/>
      <c r="K29" s="10"/>
      <c r="L29" s="11"/>
    </row>
    <row r="30" spans="2:12" ht="19" customHeight="1" x14ac:dyDescent="0.2">
      <c r="B30" s="9"/>
      <c r="C30" s="10"/>
      <c r="D30" s="10"/>
      <c r="E30" s="10"/>
      <c r="F30" s="10" t="s">
        <v>113</v>
      </c>
      <c r="G30" s="10"/>
      <c r="H30" s="10"/>
      <c r="I30" s="10"/>
      <c r="J30" s="10"/>
      <c r="K30" s="10"/>
      <c r="L30" s="11"/>
    </row>
    <row r="31" spans="2:12" ht="19" customHeight="1" x14ac:dyDescent="0.2">
      <c r="B31" s="9"/>
      <c r="C31" s="10"/>
      <c r="D31" s="10"/>
      <c r="E31" s="10"/>
      <c r="F31" s="17" t="s">
        <v>83</v>
      </c>
      <c r="G31" s="10"/>
      <c r="H31" s="10"/>
      <c r="I31" s="10"/>
      <c r="J31" s="10"/>
      <c r="K31" s="10"/>
      <c r="L31" s="11"/>
    </row>
    <row r="32" spans="2:12" ht="19" customHeight="1" x14ac:dyDescent="0.2">
      <c r="B32" s="9"/>
      <c r="C32" s="10"/>
      <c r="D32" s="10"/>
      <c r="E32" s="10"/>
      <c r="F32" s="17" t="s">
        <v>84</v>
      </c>
      <c r="G32" s="10"/>
      <c r="H32" s="10"/>
      <c r="I32" s="10"/>
      <c r="J32" s="10"/>
      <c r="K32" s="10"/>
      <c r="L32" s="11"/>
    </row>
    <row r="33" spans="2:12" ht="19" customHeight="1" x14ac:dyDescent="0.2">
      <c r="B33" s="9"/>
      <c r="C33" s="10"/>
      <c r="D33" s="10"/>
      <c r="E33" s="10"/>
      <c r="F33" s="17" t="s">
        <v>85</v>
      </c>
      <c r="G33" s="10"/>
      <c r="H33" s="10"/>
      <c r="I33" s="10"/>
      <c r="J33" s="10"/>
      <c r="K33" s="10"/>
      <c r="L33" s="11"/>
    </row>
    <row r="34" spans="2:12" ht="19" customHeight="1" x14ac:dyDescent="0.2">
      <c r="B34" s="9"/>
      <c r="C34" s="10"/>
      <c r="D34" s="10"/>
      <c r="E34" s="10"/>
      <c r="F34" s="17"/>
      <c r="G34" s="10"/>
      <c r="H34" s="10"/>
      <c r="I34" s="10"/>
      <c r="J34" s="10"/>
      <c r="K34" s="10"/>
      <c r="L34" s="11"/>
    </row>
    <row r="35" spans="2:12" ht="18" customHeight="1" x14ac:dyDescent="0.2">
      <c r="B35" s="9"/>
      <c r="C35" s="10" t="s">
        <v>86</v>
      </c>
      <c r="D35" s="10"/>
      <c r="E35" s="10"/>
      <c r="F35" s="17"/>
      <c r="G35" s="10"/>
      <c r="H35" s="10"/>
      <c r="I35" s="10"/>
      <c r="J35" s="10"/>
      <c r="K35" s="10"/>
      <c r="L35" s="11"/>
    </row>
    <row r="36" spans="2:12" x14ac:dyDescent="0.2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1"/>
    </row>
    <row r="37" spans="2:12" x14ac:dyDescent="0.2">
      <c r="B37" s="9"/>
      <c r="C37" s="18"/>
      <c r="D37" s="10"/>
      <c r="E37" s="10"/>
      <c r="F37" s="10"/>
      <c r="G37" s="10"/>
      <c r="H37" s="10"/>
      <c r="I37" s="10"/>
      <c r="J37" s="10"/>
      <c r="K37" s="10"/>
      <c r="L37" s="11"/>
    </row>
    <row r="38" spans="2:12" x14ac:dyDescent="0.2">
      <c r="B38" s="9"/>
      <c r="C38" s="19" t="s">
        <v>4</v>
      </c>
      <c r="D38" s="10"/>
      <c r="E38" s="10"/>
      <c r="F38" s="10"/>
      <c r="G38" s="10"/>
      <c r="H38" s="10"/>
      <c r="I38" s="10"/>
      <c r="J38" s="10"/>
      <c r="K38" s="10"/>
      <c r="L38" s="11"/>
    </row>
    <row r="39" spans="2:12" ht="17" thickBot="1" x14ac:dyDescent="0.25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2"/>
    </row>
    <row r="40" spans="2:12" ht="17" thickTop="1" x14ac:dyDescent="0.2"/>
  </sheetData>
  <sheetProtection sheet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2799-A3E0-2642-9A0B-38C1CA6A583B}">
  <dimension ref="B1:AA30"/>
  <sheetViews>
    <sheetView zoomScale="140" zoomScaleNormal="140" workbookViewId="0">
      <pane xSplit="35" topLeftCell="AJ1" activePane="topRight" state="frozen"/>
      <selection pane="topRight" activeCell="H23" sqref="H23"/>
    </sheetView>
  </sheetViews>
  <sheetFormatPr baseColWidth="10" defaultRowHeight="23" x14ac:dyDescent="0.2"/>
  <cols>
    <col min="1" max="1" width="2.83203125" style="2" customWidth="1"/>
    <col min="2" max="3" width="3.83203125" style="2" customWidth="1"/>
    <col min="4" max="4" width="8.83203125" style="2" customWidth="1"/>
    <col min="5" max="5" width="8.5" style="2" customWidth="1"/>
    <col min="6" max="6" width="20.5" style="2" customWidth="1"/>
    <col min="7" max="7" width="10.83203125" style="3" customWidth="1"/>
    <col min="8" max="8" width="11.1640625" style="2" customWidth="1"/>
    <col min="9" max="9" width="10.83203125" style="49"/>
    <col min="10" max="10" width="4.6640625" style="2" customWidth="1"/>
    <col min="11" max="11" width="2.5" style="2" customWidth="1"/>
    <col min="12" max="12" width="7.5" style="23" customWidth="1"/>
    <col min="13" max="13" width="17.1640625" style="2" customWidth="1"/>
    <col min="14" max="26" width="9.1640625" style="2" customWidth="1"/>
    <col min="27" max="27" width="3.6640625" style="2" customWidth="1"/>
    <col min="28" max="16384" width="10.83203125" style="2"/>
  </cols>
  <sheetData>
    <row r="1" spans="2:27" ht="15" customHeight="1" thickBot="1" x14ac:dyDescent="0.25"/>
    <row r="2" spans="2:27" ht="24" thickTop="1" x14ac:dyDescent="0.2">
      <c r="B2" s="24"/>
      <c r="C2" s="25"/>
      <c r="D2" s="25"/>
      <c r="E2" s="25"/>
      <c r="F2" s="25"/>
      <c r="G2" s="26"/>
      <c r="H2" s="25"/>
      <c r="I2" s="79"/>
      <c r="J2" s="25"/>
      <c r="K2" s="25"/>
      <c r="L2" s="56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27" s="4" customFormat="1" ht="28" x14ac:dyDescent="0.2">
      <c r="B3" s="28"/>
      <c r="C3" s="29" t="s">
        <v>39</v>
      </c>
      <c r="D3" s="29"/>
      <c r="E3" s="29"/>
      <c r="F3" s="29"/>
      <c r="G3" s="30"/>
      <c r="H3" s="31"/>
      <c r="I3" s="80"/>
      <c r="J3" s="32"/>
      <c r="K3" s="32"/>
      <c r="L3" s="58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</row>
    <row r="4" spans="2:27" x14ac:dyDescent="0.2">
      <c r="B4" s="34"/>
      <c r="C4" s="51" t="s">
        <v>48</v>
      </c>
      <c r="D4" s="35"/>
      <c r="E4" s="35"/>
      <c r="F4" s="35"/>
      <c r="G4" s="36"/>
      <c r="H4" s="35"/>
      <c r="I4" s="47"/>
      <c r="J4" s="35"/>
      <c r="K4" s="35"/>
      <c r="L4" s="6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7"/>
    </row>
    <row r="5" spans="2:27" x14ac:dyDescent="0.2">
      <c r="B5" s="34"/>
      <c r="C5" s="38"/>
      <c r="D5" s="38"/>
      <c r="E5" s="38"/>
      <c r="F5" s="38"/>
      <c r="G5" s="39"/>
      <c r="H5" s="38"/>
      <c r="I5" s="81"/>
      <c r="J5" s="35"/>
      <c r="K5" s="40"/>
      <c r="L5" s="62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37"/>
    </row>
    <row r="6" spans="2:27" x14ac:dyDescent="0.2">
      <c r="B6" s="34"/>
      <c r="C6" s="38"/>
      <c r="D6" s="38" t="s">
        <v>8</v>
      </c>
      <c r="E6" s="38"/>
      <c r="F6" s="38"/>
      <c r="G6" s="77" t="s">
        <v>11</v>
      </c>
      <c r="H6" s="72">
        <v>866</v>
      </c>
      <c r="I6" s="81" t="s">
        <v>12</v>
      </c>
      <c r="J6" s="35"/>
      <c r="K6" s="40"/>
      <c r="L6" s="62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37"/>
    </row>
    <row r="7" spans="2:27" ht="27" x14ac:dyDescent="0.2">
      <c r="B7" s="34"/>
      <c r="C7" s="38"/>
      <c r="D7" s="38" t="s">
        <v>5</v>
      </c>
      <c r="E7" s="38"/>
      <c r="F7" s="38"/>
      <c r="G7" s="77" t="s">
        <v>59</v>
      </c>
      <c r="H7" s="72">
        <v>212</v>
      </c>
      <c r="I7" s="81" t="s">
        <v>14</v>
      </c>
      <c r="J7" s="35"/>
      <c r="K7" s="40"/>
      <c r="L7" s="62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7"/>
    </row>
    <row r="8" spans="2:27" ht="27" x14ac:dyDescent="0.2">
      <c r="B8" s="34"/>
      <c r="C8" s="38"/>
      <c r="D8" s="38" t="s">
        <v>6</v>
      </c>
      <c r="E8" s="38"/>
      <c r="F8" s="38"/>
      <c r="G8" s="77" t="s">
        <v>69</v>
      </c>
      <c r="H8" s="72">
        <v>50</v>
      </c>
      <c r="I8" s="81" t="s">
        <v>14</v>
      </c>
      <c r="J8" s="35"/>
      <c r="K8" s="40"/>
      <c r="L8" s="6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7"/>
    </row>
    <row r="9" spans="2:27" x14ac:dyDescent="0.2">
      <c r="B9" s="34"/>
      <c r="C9" s="38"/>
      <c r="D9" s="38" t="s">
        <v>7</v>
      </c>
      <c r="E9" s="38"/>
      <c r="F9" s="38"/>
      <c r="G9" s="77" t="s">
        <v>24</v>
      </c>
      <c r="H9" s="73">
        <v>7.1999999999999995E-2</v>
      </c>
      <c r="I9" s="81" t="s">
        <v>13</v>
      </c>
      <c r="J9" s="35"/>
      <c r="K9" s="40"/>
      <c r="L9" s="62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37"/>
    </row>
    <row r="10" spans="2:27" x14ac:dyDescent="0.2">
      <c r="B10" s="34"/>
      <c r="C10" s="38"/>
      <c r="D10" s="38"/>
      <c r="E10" s="38"/>
      <c r="F10" s="38"/>
      <c r="G10" s="77"/>
      <c r="H10" s="38"/>
      <c r="I10" s="81"/>
      <c r="J10" s="35"/>
      <c r="K10" s="40"/>
      <c r="L10" s="62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37"/>
    </row>
    <row r="11" spans="2:27" x14ac:dyDescent="0.2">
      <c r="B11" s="34"/>
      <c r="C11" s="51" t="s">
        <v>49</v>
      </c>
      <c r="D11" s="35"/>
      <c r="E11" s="35"/>
      <c r="F11" s="35"/>
      <c r="G11" s="48"/>
      <c r="H11" s="35"/>
      <c r="I11" s="47"/>
      <c r="J11" s="35"/>
      <c r="K11" s="35"/>
      <c r="L11" s="60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</row>
    <row r="12" spans="2:27" x14ac:dyDescent="0.2">
      <c r="B12" s="34"/>
      <c r="C12" s="38"/>
      <c r="D12" s="38"/>
      <c r="E12" s="38"/>
      <c r="F12" s="38"/>
      <c r="G12" s="77"/>
      <c r="H12" s="38"/>
      <c r="I12" s="81"/>
      <c r="J12" s="35"/>
      <c r="K12" s="40"/>
      <c r="L12" s="62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37"/>
    </row>
    <row r="13" spans="2:27" x14ac:dyDescent="0.2">
      <c r="B13" s="34"/>
      <c r="C13" s="38"/>
      <c r="D13" s="38" t="s">
        <v>19</v>
      </c>
      <c r="E13" s="38"/>
      <c r="F13" s="38"/>
      <c r="G13" s="77"/>
      <c r="H13" s="61">
        <f>H9/H14</f>
        <v>0.20784</v>
      </c>
      <c r="I13" s="81" t="s">
        <v>18</v>
      </c>
      <c r="J13" s="35"/>
      <c r="K13" s="40"/>
      <c r="L13" s="64" t="s">
        <v>16</v>
      </c>
      <c r="M13" s="38">
        <f>TAN(2 * PI() * H13)</f>
        <v>3.6863068167574164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37"/>
    </row>
    <row r="14" spans="2:27" x14ac:dyDescent="0.2">
      <c r="B14" s="34"/>
      <c r="C14" s="38"/>
      <c r="D14" s="38" t="s">
        <v>9</v>
      </c>
      <c r="E14" s="38"/>
      <c r="F14" s="38"/>
      <c r="G14" s="77" t="s">
        <v>15</v>
      </c>
      <c r="H14" s="61">
        <f>300/H6</f>
        <v>0.3464203233256351</v>
      </c>
      <c r="I14" s="81" t="s">
        <v>13</v>
      </c>
      <c r="J14" s="35"/>
      <c r="K14" s="40"/>
      <c r="L14" s="62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37"/>
    </row>
    <row r="15" spans="2:27" ht="27" x14ac:dyDescent="0.2">
      <c r="B15" s="34"/>
      <c r="C15" s="38"/>
      <c r="D15" s="38" t="s">
        <v>10</v>
      </c>
      <c r="E15" s="38"/>
      <c r="F15" s="38"/>
      <c r="G15" s="77" t="s">
        <v>67</v>
      </c>
      <c r="H15" s="61">
        <f>H7*(H8*H7 + H8*H7*M13*M13)/(H7*H7 + H8*H8*M13*M13)</f>
        <v>415.42933494624918</v>
      </c>
      <c r="I15" s="81" t="s">
        <v>14</v>
      </c>
      <c r="J15" s="35"/>
      <c r="K15" s="40"/>
      <c r="L15" s="62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37"/>
    </row>
    <row r="16" spans="2:27" ht="27" x14ac:dyDescent="0.2">
      <c r="B16" s="34"/>
      <c r="C16" s="38"/>
      <c r="D16" s="38"/>
      <c r="E16" s="38"/>
      <c r="F16" s="38"/>
      <c r="G16" s="77" t="s">
        <v>68</v>
      </c>
      <c r="H16" s="61">
        <f>(H7*H7*M13 - H8*H8*M13)/(H7*H7 + H8*H8*M13*M13)</f>
        <v>1.9826311433712489</v>
      </c>
      <c r="I16" s="81" t="s">
        <v>14</v>
      </c>
      <c r="J16" s="35"/>
      <c r="K16" s="40"/>
      <c r="L16" s="62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37"/>
    </row>
    <row r="17" spans="2:27" x14ac:dyDescent="0.2">
      <c r="B17" s="34"/>
      <c r="C17" s="38"/>
      <c r="D17" s="38"/>
      <c r="E17" s="38"/>
      <c r="F17" s="38"/>
      <c r="G17" s="77"/>
      <c r="H17" s="38"/>
      <c r="I17" s="81"/>
      <c r="J17" s="35"/>
      <c r="K17" s="40"/>
      <c r="L17" s="62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37"/>
    </row>
    <row r="18" spans="2:27" x14ac:dyDescent="0.2">
      <c r="B18" s="34"/>
      <c r="C18" s="35"/>
      <c r="D18" s="35"/>
      <c r="E18" s="35"/>
      <c r="F18" s="35"/>
      <c r="G18" s="48"/>
      <c r="H18" s="35"/>
      <c r="I18" s="47"/>
      <c r="J18" s="35"/>
      <c r="K18" s="35"/>
      <c r="L18" s="60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7"/>
    </row>
    <row r="19" spans="2:27" s="4" customFormat="1" ht="28" x14ac:dyDescent="0.2">
      <c r="B19" s="28"/>
      <c r="C19" s="29" t="s">
        <v>47</v>
      </c>
      <c r="D19" s="29"/>
      <c r="E19" s="29"/>
      <c r="F19" s="29"/>
      <c r="G19" s="78"/>
      <c r="H19" s="31"/>
      <c r="I19" s="80"/>
      <c r="J19" s="32"/>
      <c r="K19" s="32"/>
      <c r="L19" s="58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3"/>
    </row>
    <row r="20" spans="2:27" x14ac:dyDescent="0.2">
      <c r="B20" s="34"/>
      <c r="C20" s="51" t="s">
        <v>48</v>
      </c>
      <c r="D20" s="35"/>
      <c r="E20" s="35"/>
      <c r="F20" s="35"/>
      <c r="G20" s="48"/>
      <c r="H20" s="35"/>
      <c r="I20" s="47"/>
      <c r="J20" s="35"/>
      <c r="K20" s="35"/>
      <c r="L20" s="60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7"/>
    </row>
    <row r="21" spans="2:27" x14ac:dyDescent="0.2">
      <c r="B21" s="34"/>
      <c r="C21" s="38"/>
      <c r="D21" s="38"/>
      <c r="E21" s="38"/>
      <c r="F21" s="38"/>
      <c r="G21" s="77"/>
      <c r="H21" s="38"/>
      <c r="I21" s="81"/>
      <c r="J21" s="35"/>
      <c r="K21" s="40"/>
      <c r="L21" s="62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7"/>
    </row>
    <row r="22" spans="2:27" ht="27" x14ac:dyDescent="0.2">
      <c r="B22" s="34"/>
      <c r="C22" s="38"/>
      <c r="D22" s="38" t="s">
        <v>5</v>
      </c>
      <c r="E22" s="38"/>
      <c r="F22" s="38"/>
      <c r="G22" s="77" t="s">
        <v>60</v>
      </c>
      <c r="H22" s="72">
        <v>212</v>
      </c>
      <c r="I22" s="81" t="s">
        <v>14</v>
      </c>
      <c r="J22" s="35"/>
      <c r="K22" s="40"/>
      <c r="L22" s="62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37"/>
    </row>
    <row r="23" spans="2:27" ht="27" x14ac:dyDescent="0.2">
      <c r="B23" s="34"/>
      <c r="C23" s="38"/>
      <c r="D23" s="38" t="s">
        <v>46</v>
      </c>
      <c r="E23" s="38"/>
      <c r="F23" s="38"/>
      <c r="G23" s="77" t="s">
        <v>61</v>
      </c>
      <c r="H23" s="72">
        <v>895</v>
      </c>
      <c r="I23" s="81" t="s">
        <v>14</v>
      </c>
      <c r="J23" s="35"/>
      <c r="K23" s="40"/>
      <c r="L23" s="6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37"/>
    </row>
    <row r="24" spans="2:27" x14ac:dyDescent="0.2">
      <c r="B24" s="34"/>
      <c r="C24" s="38"/>
      <c r="D24" s="38"/>
      <c r="E24" s="38"/>
      <c r="F24" s="38"/>
      <c r="G24" s="77"/>
      <c r="H24" s="38"/>
      <c r="I24" s="81"/>
      <c r="J24" s="35"/>
      <c r="K24" s="40"/>
      <c r="L24" s="62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37"/>
    </row>
    <row r="25" spans="2:27" x14ac:dyDescent="0.2">
      <c r="B25" s="34"/>
      <c r="C25" s="51" t="s">
        <v>49</v>
      </c>
      <c r="D25" s="35"/>
      <c r="E25" s="35"/>
      <c r="F25" s="35"/>
      <c r="G25" s="48"/>
      <c r="H25" s="35"/>
      <c r="I25" s="47"/>
      <c r="J25" s="35"/>
      <c r="K25" s="40"/>
      <c r="L25" s="6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7"/>
    </row>
    <row r="26" spans="2:27" x14ac:dyDescent="0.2">
      <c r="B26" s="34"/>
      <c r="C26" s="38"/>
      <c r="D26" s="38"/>
      <c r="E26" s="38"/>
      <c r="F26" s="38"/>
      <c r="G26" s="77"/>
      <c r="H26" s="38"/>
      <c r="I26" s="81"/>
      <c r="J26" s="35"/>
      <c r="K26" s="40"/>
      <c r="L26" s="62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7"/>
    </row>
    <row r="27" spans="2:27" ht="27" x14ac:dyDescent="0.2">
      <c r="B27" s="34"/>
      <c r="C27" s="38"/>
      <c r="D27" s="38" t="s">
        <v>10</v>
      </c>
      <c r="E27" s="38"/>
      <c r="F27" s="38"/>
      <c r="G27" s="77" t="s">
        <v>62</v>
      </c>
      <c r="H27" s="67">
        <f>H22*H22/H23</f>
        <v>50.216759776536314</v>
      </c>
      <c r="I27" s="81" t="s">
        <v>14</v>
      </c>
      <c r="J27" s="35"/>
      <c r="K27" s="35"/>
      <c r="L27" s="60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7"/>
    </row>
    <row r="28" spans="2:27" x14ac:dyDescent="0.2">
      <c r="B28" s="34"/>
      <c r="C28" s="38"/>
      <c r="D28" s="38"/>
      <c r="E28" s="38"/>
      <c r="F28" s="38"/>
      <c r="G28" s="77"/>
      <c r="H28" s="38"/>
      <c r="I28" s="81"/>
      <c r="J28" s="35"/>
      <c r="K28" s="35"/>
      <c r="L28" s="60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7"/>
    </row>
    <row r="29" spans="2:27" ht="24" thickBot="1" x14ac:dyDescent="0.25">
      <c r="B29" s="42"/>
      <c r="C29" s="43"/>
      <c r="D29" s="43"/>
      <c r="E29" s="43"/>
      <c r="F29" s="43"/>
      <c r="G29" s="44"/>
      <c r="H29" s="43"/>
      <c r="I29" s="82"/>
      <c r="J29" s="43"/>
      <c r="K29" s="43"/>
      <c r="L29" s="66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5"/>
    </row>
    <row r="30" spans="2:27" ht="24" thickTop="1" x14ac:dyDescent="0.2"/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EAB1-8BEE-6A40-A538-440F74C5C326}">
  <dimension ref="B1:AA28"/>
  <sheetViews>
    <sheetView zoomScale="140" zoomScaleNormal="140" workbookViewId="0">
      <pane xSplit="36" topLeftCell="AK1" activePane="topRight" state="frozen"/>
      <selection activeCell="A4" sqref="A4"/>
      <selection pane="topRight" activeCell="H25" sqref="H25"/>
    </sheetView>
  </sheetViews>
  <sheetFormatPr baseColWidth="10" defaultRowHeight="23" x14ac:dyDescent="0.2"/>
  <cols>
    <col min="1" max="1" width="2.83203125" style="2" customWidth="1"/>
    <col min="2" max="3" width="3.83203125" style="2" customWidth="1"/>
    <col min="4" max="4" width="7.5" style="2" customWidth="1"/>
    <col min="5" max="5" width="8.5" style="2" customWidth="1"/>
    <col min="6" max="6" width="21.6640625" style="2" customWidth="1"/>
    <col min="7" max="7" width="10.83203125" style="84" customWidth="1"/>
    <col min="8" max="8" width="11.1640625" style="2" customWidth="1"/>
    <col min="9" max="9" width="10.83203125" style="49"/>
    <col min="10" max="10" width="4.6640625" style="2" customWidth="1"/>
    <col min="11" max="26" width="9.1640625" style="2" customWidth="1"/>
    <col min="27" max="27" width="3.6640625" style="2" customWidth="1"/>
    <col min="28" max="16384" width="10.83203125" style="2"/>
  </cols>
  <sheetData>
    <row r="1" spans="2:27" ht="15" customHeight="1" thickBot="1" x14ac:dyDescent="0.25"/>
    <row r="2" spans="2:27" ht="24" thickTop="1" x14ac:dyDescent="0.2">
      <c r="B2" s="24"/>
      <c r="C2" s="25"/>
      <c r="D2" s="25"/>
      <c r="E2" s="25"/>
      <c r="F2" s="25"/>
      <c r="G2" s="85"/>
      <c r="H2" s="25"/>
      <c r="I2" s="79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27" s="4" customFormat="1" ht="28" x14ac:dyDescent="0.2">
      <c r="B3" s="28"/>
      <c r="C3" s="29" t="s">
        <v>44</v>
      </c>
      <c r="D3" s="29"/>
      <c r="E3" s="29"/>
      <c r="F3" s="29"/>
      <c r="G3" s="78"/>
      <c r="H3" s="31"/>
      <c r="I3" s="83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</row>
    <row r="4" spans="2:27" s="54" customFormat="1" x14ac:dyDescent="0.2">
      <c r="B4" s="50"/>
      <c r="C4" s="51" t="s">
        <v>48</v>
      </c>
      <c r="D4" s="51"/>
      <c r="E4" s="51"/>
      <c r="F4" s="51"/>
      <c r="G4" s="52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3"/>
    </row>
    <row r="5" spans="2:27" x14ac:dyDescent="0.2">
      <c r="B5" s="34"/>
      <c r="C5" s="38"/>
      <c r="D5" s="38"/>
      <c r="E5" s="38"/>
      <c r="F5" s="38"/>
      <c r="G5" s="77"/>
      <c r="H5" s="38"/>
      <c r="I5" s="81"/>
      <c r="J5" s="35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37"/>
    </row>
    <row r="6" spans="2:27" x14ac:dyDescent="0.2">
      <c r="B6" s="34"/>
      <c r="C6" s="38"/>
      <c r="D6" s="38" t="s">
        <v>27</v>
      </c>
      <c r="E6" s="38"/>
      <c r="F6" s="38"/>
      <c r="G6" s="77" t="s">
        <v>16</v>
      </c>
      <c r="H6" s="71">
        <v>9</v>
      </c>
      <c r="I6" s="81" t="s">
        <v>29</v>
      </c>
      <c r="J6" s="35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37"/>
    </row>
    <row r="7" spans="2:27" x14ac:dyDescent="0.2">
      <c r="B7" s="34"/>
      <c r="C7" s="38"/>
      <c r="D7" s="38" t="s">
        <v>28</v>
      </c>
      <c r="E7" s="38"/>
      <c r="F7" s="38"/>
      <c r="G7" s="77" t="s">
        <v>21</v>
      </c>
      <c r="H7" s="71">
        <v>2.5230000000000001</v>
      </c>
      <c r="I7" s="81" t="s">
        <v>29</v>
      </c>
      <c r="J7" s="35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7"/>
    </row>
    <row r="8" spans="2:27" ht="27" x14ac:dyDescent="0.2">
      <c r="B8" s="34"/>
      <c r="C8" s="38"/>
      <c r="D8" s="38" t="s">
        <v>42</v>
      </c>
      <c r="E8" s="38"/>
      <c r="F8" s="38"/>
      <c r="G8" s="86" t="s">
        <v>63</v>
      </c>
      <c r="H8" s="71">
        <v>1</v>
      </c>
      <c r="I8" s="81"/>
      <c r="J8" s="35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7"/>
    </row>
    <row r="9" spans="2:27" x14ac:dyDescent="0.2">
      <c r="B9" s="34"/>
      <c r="C9" s="38"/>
      <c r="D9" s="38"/>
      <c r="E9" s="38"/>
      <c r="F9" s="38"/>
      <c r="G9" s="77"/>
      <c r="H9" s="38"/>
      <c r="I9" s="81"/>
      <c r="J9" s="35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37"/>
    </row>
    <row r="10" spans="2:27" x14ac:dyDescent="0.2">
      <c r="B10" s="34"/>
      <c r="C10" s="51" t="s">
        <v>49</v>
      </c>
      <c r="D10" s="35"/>
      <c r="E10" s="35"/>
      <c r="F10" s="35"/>
      <c r="G10" s="48"/>
      <c r="H10" s="35"/>
      <c r="I10" s="47"/>
      <c r="J10" s="35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37"/>
    </row>
    <row r="11" spans="2:27" x14ac:dyDescent="0.2">
      <c r="B11" s="34"/>
      <c r="C11" s="38"/>
      <c r="D11" s="38"/>
      <c r="E11" s="38"/>
      <c r="F11" s="38"/>
      <c r="G11" s="77"/>
      <c r="H11" s="38"/>
      <c r="I11" s="81"/>
      <c r="J11" s="35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7"/>
    </row>
    <row r="12" spans="2:27" ht="27" x14ac:dyDescent="0.2">
      <c r="B12" s="34"/>
      <c r="C12" s="38"/>
      <c r="D12" s="38"/>
      <c r="E12" s="38"/>
      <c r="F12" s="38"/>
      <c r="G12" s="77" t="s">
        <v>60</v>
      </c>
      <c r="H12" s="38">
        <f>120/ SQRT(H8)* ACOSH(H6/H7)</f>
        <v>233.36048933670881</v>
      </c>
      <c r="I12" s="81" t="s">
        <v>14</v>
      </c>
      <c r="J12" s="35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37"/>
    </row>
    <row r="13" spans="2:27" x14ac:dyDescent="0.2">
      <c r="B13" s="34"/>
      <c r="C13" s="38"/>
      <c r="D13" s="38"/>
      <c r="E13" s="38"/>
      <c r="F13" s="38"/>
      <c r="G13" s="77"/>
      <c r="H13" s="38"/>
      <c r="I13" s="81"/>
      <c r="J13" s="35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37"/>
    </row>
    <row r="14" spans="2:27" x14ac:dyDescent="0.2">
      <c r="B14" s="34"/>
      <c r="C14" s="35"/>
      <c r="D14" s="35"/>
      <c r="E14" s="35"/>
      <c r="F14" s="35"/>
      <c r="G14" s="48"/>
      <c r="H14" s="35"/>
      <c r="I14" s="47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</row>
    <row r="15" spans="2:27" x14ac:dyDescent="0.2">
      <c r="B15" s="34"/>
      <c r="C15" s="35"/>
      <c r="D15" s="35"/>
      <c r="E15" s="35"/>
      <c r="F15" s="35"/>
      <c r="G15" s="48"/>
      <c r="H15" s="35"/>
      <c r="I15" s="47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</row>
    <row r="16" spans="2:27" s="4" customFormat="1" ht="28" x14ac:dyDescent="0.2">
      <c r="B16" s="28"/>
      <c r="C16" s="29" t="s">
        <v>45</v>
      </c>
      <c r="D16" s="29"/>
      <c r="E16" s="29"/>
      <c r="F16" s="29"/>
      <c r="G16" s="78"/>
      <c r="H16" s="31"/>
      <c r="I16" s="83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3"/>
    </row>
    <row r="17" spans="2:27" x14ac:dyDescent="0.2">
      <c r="B17" s="34"/>
      <c r="C17" s="51" t="s">
        <v>48</v>
      </c>
      <c r="D17" s="35"/>
      <c r="E17" s="35"/>
      <c r="F17" s="35"/>
      <c r="G17" s="48"/>
      <c r="H17" s="35"/>
      <c r="I17" s="47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7"/>
    </row>
    <row r="18" spans="2:27" x14ac:dyDescent="0.2">
      <c r="B18" s="34"/>
      <c r="C18" s="38"/>
      <c r="D18" s="38"/>
      <c r="E18" s="38"/>
      <c r="F18" s="38"/>
      <c r="G18" s="77"/>
      <c r="H18" s="38"/>
      <c r="I18" s="81"/>
      <c r="J18" s="35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37"/>
    </row>
    <row r="19" spans="2:27" x14ac:dyDescent="0.2">
      <c r="B19" s="34"/>
      <c r="C19" s="38"/>
      <c r="D19" s="38"/>
      <c r="E19" s="38"/>
      <c r="F19" s="38"/>
      <c r="G19" s="77" t="s">
        <v>21</v>
      </c>
      <c r="H19" s="71">
        <v>12.5</v>
      </c>
      <c r="I19" s="81" t="s">
        <v>29</v>
      </c>
      <c r="J19" s="35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37"/>
    </row>
    <row r="20" spans="2:27" x14ac:dyDescent="0.2">
      <c r="B20" s="34"/>
      <c r="C20" s="38"/>
      <c r="D20" s="38" t="s">
        <v>41</v>
      </c>
      <c r="E20" s="38">
        <f>H20/H19</f>
        <v>0.28000000000000003</v>
      </c>
      <c r="F20" s="38"/>
      <c r="G20" s="77" t="s">
        <v>40</v>
      </c>
      <c r="H20" s="71">
        <v>3.5</v>
      </c>
      <c r="I20" s="81" t="s">
        <v>29</v>
      </c>
      <c r="J20" s="35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37"/>
    </row>
    <row r="21" spans="2:27" ht="27" x14ac:dyDescent="0.2">
      <c r="B21" s="34"/>
      <c r="C21" s="38"/>
      <c r="D21" s="41" t="s">
        <v>43</v>
      </c>
      <c r="E21" s="41"/>
      <c r="F21" s="41"/>
      <c r="G21" s="77" t="s">
        <v>63</v>
      </c>
      <c r="H21" s="71">
        <v>1.1200000000000001</v>
      </c>
      <c r="I21" s="81"/>
      <c r="J21" s="35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7"/>
    </row>
    <row r="22" spans="2:27" x14ac:dyDescent="0.2">
      <c r="B22" s="34"/>
      <c r="C22" s="38"/>
      <c r="D22" s="38"/>
      <c r="E22" s="38"/>
      <c r="F22" s="38"/>
      <c r="G22" s="77"/>
      <c r="H22" s="38"/>
      <c r="I22" s="81"/>
      <c r="J22" s="35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37"/>
    </row>
    <row r="23" spans="2:27" x14ac:dyDescent="0.2">
      <c r="B23" s="34"/>
      <c r="C23" s="51" t="s">
        <v>49</v>
      </c>
      <c r="D23" s="35"/>
      <c r="E23" s="35"/>
      <c r="F23" s="35"/>
      <c r="G23" s="48"/>
      <c r="H23" s="35"/>
      <c r="I23" s="47"/>
      <c r="J23" s="35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37"/>
    </row>
    <row r="24" spans="2:27" x14ac:dyDescent="0.2">
      <c r="B24" s="34"/>
      <c r="C24" s="38"/>
      <c r="D24" s="38"/>
      <c r="E24" s="38"/>
      <c r="F24" s="38"/>
      <c r="G24" s="77"/>
      <c r="H24" s="38"/>
      <c r="I24" s="81"/>
      <c r="J24" s="35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37"/>
    </row>
    <row r="25" spans="2:27" ht="27" x14ac:dyDescent="0.2">
      <c r="B25" s="34"/>
      <c r="C25" s="38"/>
      <c r="D25" s="38"/>
      <c r="E25" s="38"/>
      <c r="F25" s="38"/>
      <c r="G25" s="77" t="s">
        <v>60</v>
      </c>
      <c r="H25" s="38">
        <f>120 / SQRT(H21) * (LN(2) + 2 * ATANH(SQRT(H20/H19)))</f>
        <v>212.16003563156082</v>
      </c>
      <c r="I25" s="81" t="s">
        <v>14</v>
      </c>
      <c r="J25" s="35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7"/>
    </row>
    <row r="26" spans="2:27" x14ac:dyDescent="0.2">
      <c r="B26" s="34"/>
      <c r="C26" s="38"/>
      <c r="D26" s="38"/>
      <c r="E26" s="38"/>
      <c r="F26" s="38"/>
      <c r="G26" s="77"/>
      <c r="H26" s="38"/>
      <c r="I26" s="81"/>
      <c r="J26" s="35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7"/>
    </row>
    <row r="27" spans="2:27" ht="24" thickBot="1" x14ac:dyDescent="0.25">
      <c r="B27" s="42"/>
      <c r="C27" s="43"/>
      <c r="D27" s="43"/>
      <c r="E27" s="43"/>
      <c r="F27" s="43"/>
      <c r="G27" s="87"/>
      <c r="H27" s="43"/>
      <c r="I27" s="82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5"/>
    </row>
    <row r="28" spans="2:27" ht="24" thickTop="1" x14ac:dyDescent="0.2"/>
  </sheetData>
  <sheetProtection sheet="1" objects="1" scenarios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BB06-C11D-E747-81C8-7DE10321608A}">
  <dimension ref="B1:BA50"/>
  <sheetViews>
    <sheetView zoomScale="140" zoomScaleNormal="140" workbookViewId="0">
      <pane xSplit="30" topLeftCell="AE1" activePane="topRight" state="frozen"/>
      <selection pane="topRight" activeCell="H10" sqref="H10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7.1640625" style="2" customWidth="1"/>
    <col min="6" max="6" width="7.83203125" style="2" customWidth="1"/>
    <col min="7" max="7" width="10.83203125" style="84" customWidth="1"/>
    <col min="8" max="8" width="11.1640625" style="46" customWidth="1"/>
    <col min="9" max="9" width="10.83203125" style="88"/>
    <col min="10" max="10" width="4.6640625" style="2" customWidth="1"/>
    <col min="11" max="11" width="2.5" style="2" customWidth="1"/>
    <col min="12" max="12" width="7.5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53" ht="15" customHeight="1" thickBot="1" x14ac:dyDescent="0.25"/>
    <row r="2" spans="2:53" ht="24" thickTop="1" x14ac:dyDescent="0.2">
      <c r="B2" s="24"/>
      <c r="C2" s="25"/>
      <c r="D2" s="25"/>
      <c r="E2" s="25"/>
      <c r="F2" s="25"/>
      <c r="G2" s="85"/>
      <c r="H2" s="55"/>
      <c r="I2" s="89"/>
      <c r="J2" s="25"/>
      <c r="K2" s="25"/>
      <c r="L2" s="56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53" s="4" customFormat="1" ht="28" x14ac:dyDescent="0.2">
      <c r="B3" s="28"/>
      <c r="C3" s="29" t="s">
        <v>38</v>
      </c>
      <c r="D3" s="29"/>
      <c r="E3" s="29"/>
      <c r="F3" s="29"/>
      <c r="G3" s="78"/>
      <c r="H3" s="57"/>
      <c r="I3" s="90"/>
      <c r="J3" s="32"/>
      <c r="K3" s="32"/>
      <c r="L3" s="58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  <c r="AF3" s="5"/>
    </row>
    <row r="4" spans="2:53" x14ac:dyDescent="0.2">
      <c r="B4" s="34"/>
      <c r="C4" s="51" t="s">
        <v>48</v>
      </c>
      <c r="D4" s="35"/>
      <c r="E4" s="35"/>
      <c r="F4" s="35"/>
      <c r="G4" s="48"/>
      <c r="H4" s="59"/>
      <c r="I4" s="91"/>
      <c r="J4" s="35"/>
      <c r="K4" s="35"/>
      <c r="L4" s="6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7"/>
    </row>
    <row r="5" spans="2:53" x14ac:dyDescent="0.2">
      <c r="B5" s="34"/>
      <c r="C5" s="38"/>
      <c r="D5" s="38"/>
      <c r="E5" s="38"/>
      <c r="F5" s="38"/>
      <c r="G5" s="77"/>
      <c r="H5" s="61"/>
      <c r="I5" s="92"/>
      <c r="J5" s="35"/>
      <c r="K5" s="40"/>
      <c r="L5" s="62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37"/>
    </row>
    <row r="6" spans="2:53" x14ac:dyDescent="0.2">
      <c r="B6" s="34"/>
      <c r="C6" s="38"/>
      <c r="D6" s="38" t="s">
        <v>57</v>
      </c>
      <c r="E6" s="38"/>
      <c r="F6" s="38"/>
      <c r="G6" s="77"/>
      <c r="H6" s="74">
        <v>3</v>
      </c>
      <c r="I6" s="92" t="s">
        <v>31</v>
      </c>
      <c r="J6" s="35"/>
      <c r="K6" s="40"/>
      <c r="L6" s="62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37"/>
    </row>
    <row r="7" spans="2:53" x14ac:dyDescent="0.2">
      <c r="B7" s="34"/>
      <c r="C7" s="38"/>
      <c r="D7" s="38" t="s">
        <v>8</v>
      </c>
      <c r="E7" s="38"/>
      <c r="F7" s="38"/>
      <c r="G7" s="77" t="s">
        <v>75</v>
      </c>
      <c r="H7" s="72">
        <v>866</v>
      </c>
      <c r="I7" s="92" t="s">
        <v>12</v>
      </c>
      <c r="J7" s="35"/>
      <c r="K7" s="40"/>
      <c r="L7" s="62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7"/>
    </row>
    <row r="8" spans="2:53" ht="27" x14ac:dyDescent="0.2">
      <c r="B8" s="34"/>
      <c r="C8" s="38"/>
      <c r="D8" s="38" t="s">
        <v>5</v>
      </c>
      <c r="E8" s="38"/>
      <c r="F8" s="38"/>
      <c r="G8" s="77" t="s">
        <v>59</v>
      </c>
      <c r="H8" s="72">
        <v>213.22387372805997</v>
      </c>
      <c r="I8" s="92" t="s">
        <v>14</v>
      </c>
      <c r="J8" s="35"/>
      <c r="K8" s="40"/>
      <c r="L8" s="6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7"/>
    </row>
    <row r="9" spans="2:53" ht="27" x14ac:dyDescent="0.2">
      <c r="B9" s="34"/>
      <c r="C9" s="38"/>
      <c r="D9" s="38" t="s">
        <v>6</v>
      </c>
      <c r="E9" s="38"/>
      <c r="F9" s="38"/>
      <c r="G9" s="77" t="s">
        <v>71</v>
      </c>
      <c r="H9" s="72">
        <v>1000</v>
      </c>
      <c r="I9" s="92" t="s">
        <v>14</v>
      </c>
      <c r="J9" s="35"/>
      <c r="K9" s="40"/>
      <c r="L9" s="62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37"/>
      <c r="AF9" s="23" t="s">
        <v>16</v>
      </c>
      <c r="AG9" s="2">
        <f>TAN(2 * PI() * AG30)</f>
        <v>1.3739413405209697</v>
      </c>
      <c r="AH9" s="2">
        <f t="shared" ref="AH9:BA9" si="0">TAN(2 * PI() * AH30)</f>
        <v>1.4973889152503128</v>
      </c>
      <c r="AI9" s="2">
        <f t="shared" si="0"/>
        <v>1.6367246424938473</v>
      </c>
      <c r="AJ9" s="2">
        <f t="shared" si="0"/>
        <v>1.7957801807417941</v>
      </c>
      <c r="AK9" s="2">
        <f t="shared" si="0"/>
        <v>1.9797050132106893</v>
      </c>
      <c r="AL9" s="2">
        <f t="shared" si="0"/>
        <v>2.1955888876015539</v>
      </c>
      <c r="AM9" s="2">
        <f t="shared" si="0"/>
        <v>2.4534736372180399</v>
      </c>
      <c r="AN9" s="2">
        <f t="shared" si="0"/>
        <v>2.7680716782200485</v>
      </c>
      <c r="AO9" s="2">
        <f t="shared" si="0"/>
        <v>3.1618428933968765</v>
      </c>
      <c r="AP9" s="2">
        <f t="shared" si="0"/>
        <v>3.6708727127035914</v>
      </c>
      <c r="AQ9" s="2">
        <f t="shared" si="0"/>
        <v>4.35705889004059</v>
      </c>
      <c r="AR9" s="2">
        <f t="shared" si="0"/>
        <v>5.3362272052314355</v>
      </c>
      <c r="AS9" s="2">
        <f t="shared" si="0"/>
        <v>6.8532316500744281</v>
      </c>
      <c r="AT9" s="2">
        <f t="shared" si="0"/>
        <v>9.531003623443647</v>
      </c>
      <c r="AU9" s="2">
        <f t="shared" si="0"/>
        <v>15.559161326612198</v>
      </c>
      <c r="AV9" s="2">
        <f t="shared" si="0"/>
        <v>41.961580921063785</v>
      </c>
      <c r="AW9" s="2">
        <f t="shared" si="0"/>
        <v>-60.494535895526766</v>
      </c>
      <c r="AX9" s="2">
        <f t="shared" si="0"/>
        <v>-17.560472452154194</v>
      </c>
      <c r="AY9" s="2">
        <f t="shared" si="0"/>
        <v>-10.251361196413214</v>
      </c>
      <c r="AZ9" s="2">
        <f t="shared" si="0"/>
        <v>-7.2217248862384089</v>
      </c>
      <c r="BA9" s="2">
        <f t="shared" si="0"/>
        <v>-5.5600557376416795</v>
      </c>
    </row>
    <row r="10" spans="2:53" ht="27" x14ac:dyDescent="0.2">
      <c r="B10" s="34"/>
      <c r="C10" s="38"/>
      <c r="D10" s="38" t="s">
        <v>26</v>
      </c>
      <c r="E10" s="38"/>
      <c r="F10" s="38"/>
      <c r="G10" s="77" t="s">
        <v>72</v>
      </c>
      <c r="H10" s="72">
        <v>0</v>
      </c>
      <c r="I10" s="92" t="s">
        <v>14</v>
      </c>
      <c r="J10" s="35"/>
      <c r="K10" s="40"/>
      <c r="L10" s="62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37"/>
      <c r="AF10" s="23" t="s">
        <v>17</v>
      </c>
      <c r="AG10" s="2">
        <f>TAN(2 * PI() *AG37)</f>
        <v>0.1591837695425837</v>
      </c>
      <c r="AH10" s="2">
        <f t="shared" ref="AH10:BA10" si="1">TAN(2 * PI() *AH37)</f>
        <v>0.16612818462177503</v>
      </c>
      <c r="AI10" s="2">
        <f t="shared" si="1"/>
        <v>0.1730882274852491</v>
      </c>
      <c r="AJ10" s="2">
        <f t="shared" si="1"/>
        <v>0.18006459028037108</v>
      </c>
      <c r="AK10" s="2">
        <f t="shared" si="1"/>
        <v>0.18705797139950034</v>
      </c>
      <c r="AL10" s="2">
        <f t="shared" si="1"/>
        <v>0.19406907577027327</v>
      </c>
      <c r="AM10" s="2">
        <f t="shared" si="1"/>
        <v>0.20109861515130414</v>
      </c>
      <c r="AN10" s="2">
        <f t="shared" si="1"/>
        <v>0.20814730843357743</v>
      </c>
      <c r="AO10" s="2">
        <f t="shared" si="1"/>
        <v>0.21521588194781302</v>
      </c>
      <c r="AP10" s="2">
        <f t="shared" si="1"/>
        <v>0.22230506977809247</v>
      </c>
      <c r="AQ10" s="2">
        <f t="shared" si="1"/>
        <v>0.22941561408204642</v>
      </c>
      <c r="AR10" s="2">
        <f t="shared" si="1"/>
        <v>0.23654826541791099</v>
      </c>
      <c r="AS10" s="2">
        <f t="shared" si="1"/>
        <v>0.243703783078772</v>
      </c>
      <c r="AT10" s="2">
        <f t="shared" si="1"/>
        <v>0.25088293543432649</v>
      </c>
      <c r="AU10" s="2">
        <f t="shared" si="1"/>
        <v>0.25808650028050256</v>
      </c>
      <c r="AV10" s="2">
        <f t="shared" si="1"/>
        <v>0.26531526519729048</v>
      </c>
      <c r="AW10" s="2">
        <f t="shared" si="1"/>
        <v>0.27257002791515006</v>
      </c>
      <c r="AX10" s="2">
        <f t="shared" si="1"/>
        <v>0.27985159669037357</v>
      </c>
      <c r="AY10" s="2">
        <f t="shared" si="1"/>
        <v>0.28716079068979589</v>
      </c>
      <c r="AZ10" s="2">
        <f t="shared" si="1"/>
        <v>0.29449844038526124</v>
      </c>
      <c r="BA10" s="2">
        <f t="shared" si="1"/>
        <v>0.30186538795826567</v>
      </c>
    </row>
    <row r="11" spans="2:53" x14ac:dyDescent="0.2">
      <c r="B11" s="34"/>
      <c r="C11" s="38"/>
      <c r="D11" s="38" t="s">
        <v>23</v>
      </c>
      <c r="E11" s="38"/>
      <c r="F11" s="38"/>
      <c r="G11" s="77" t="s">
        <v>73</v>
      </c>
      <c r="H11" s="75">
        <v>8.6599999999999996E-2</v>
      </c>
      <c r="I11" s="92" t="s">
        <v>13</v>
      </c>
      <c r="J11" s="35"/>
      <c r="K11" s="40"/>
      <c r="L11" s="6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7"/>
      <c r="AF11" s="23" t="s">
        <v>20</v>
      </c>
      <c r="AG11" s="2">
        <f>AG31/AG18</f>
        <v>0.31850628676644754</v>
      </c>
      <c r="AH11" s="2">
        <f t="shared" ref="AH11:BA11" si="2">AH31/AH18</f>
        <v>0.30219327157272169</v>
      </c>
      <c r="AI11" s="2">
        <f t="shared" si="2"/>
        <v>0.28793201345785158</v>
      </c>
      <c r="AJ11" s="2">
        <f t="shared" si="2"/>
        <v>0.27545985869383993</v>
      </c>
      <c r="AK11" s="2">
        <f t="shared" si="2"/>
        <v>0.26455939994387012</v>
      </c>
      <c r="AL11" s="2">
        <f t="shared" si="2"/>
        <v>0.25505014533121423</v>
      </c>
      <c r="AM11" s="2">
        <f t="shared" si="2"/>
        <v>0.2467819717031354</v>
      </c>
      <c r="AN11" s="2">
        <f t="shared" si="2"/>
        <v>0.23962995644612053</v>
      </c>
      <c r="AO11" s="2">
        <f t="shared" si="2"/>
        <v>0.23349028334715707</v>
      </c>
      <c r="AP11" s="2">
        <f t="shared" si="2"/>
        <v>0.22827699277849656</v>
      </c>
      <c r="AQ11" s="2">
        <f t="shared" si="2"/>
        <v>0.22391940219967191</v>
      </c>
      <c r="AR11" s="2">
        <f t="shared" si="2"/>
        <v>0.22036006484053003</v>
      </c>
      <c r="AS11" s="2">
        <f t="shared" si="2"/>
        <v>0.21755316621104509</v>
      </c>
      <c r="AT11" s="2">
        <f t="shared" si="2"/>
        <v>0.21546328250335636</v>
      </c>
      <c r="AU11" s="2">
        <f t="shared" si="2"/>
        <v>0.21406444400480043</v>
      </c>
      <c r="AV11" s="2">
        <f t="shared" si="2"/>
        <v>0.21333946180873503</v>
      </c>
      <c r="AW11" s="2">
        <f t="shared" si="2"/>
        <v>0.21327948851225192</v>
      </c>
      <c r="AX11" s="2">
        <f t="shared" si="2"/>
        <v>0.2138837940958554</v>
      </c>
      <c r="AY11" s="2">
        <f t="shared" si="2"/>
        <v>0.21515974749179995</v>
      </c>
      <c r="AZ11" s="2">
        <f t="shared" si="2"/>
        <v>0.21712300306342658</v>
      </c>
      <c r="BA11" s="2">
        <f t="shared" si="2"/>
        <v>0.21979789988489071</v>
      </c>
    </row>
    <row r="12" spans="2:53" ht="27" x14ac:dyDescent="0.2">
      <c r="B12" s="34"/>
      <c r="C12" s="38"/>
      <c r="D12" s="38" t="s">
        <v>22</v>
      </c>
      <c r="E12" s="38"/>
      <c r="F12" s="38"/>
      <c r="G12" s="77" t="s">
        <v>74</v>
      </c>
      <c r="H12" s="75">
        <v>1.2433564146820486E-2</v>
      </c>
      <c r="I12" s="92" t="s">
        <v>13</v>
      </c>
      <c r="J12" s="35"/>
      <c r="K12" s="40"/>
      <c r="L12" s="62"/>
      <c r="M12" s="40"/>
      <c r="N12" s="94">
        <f>H32</f>
        <v>49.999941481318075</v>
      </c>
      <c r="O12" s="95" t="s">
        <v>66</v>
      </c>
      <c r="P12" s="96">
        <f>H33</f>
        <v>7.0829494818177218E-5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37"/>
      <c r="AF12" s="23" t="s">
        <v>21</v>
      </c>
      <c r="AG12" s="2">
        <f>AG32/AG18</f>
        <v>-0.67840367578974659</v>
      </c>
      <c r="AH12" s="2">
        <f t="shared" ref="AH12:BA12" si="3">AH32/AH18</f>
        <v>-0.62479771987914956</v>
      </c>
      <c r="AI12" s="2">
        <f t="shared" si="3"/>
        <v>-0.57346605308640075</v>
      </c>
      <c r="AJ12" s="2">
        <f t="shared" si="3"/>
        <v>-0.52415400947564805</v>
      </c>
      <c r="AK12" s="2">
        <f t="shared" si="3"/>
        <v>-0.47663142418500087</v>
      </c>
      <c r="AL12" s="2">
        <f t="shared" si="3"/>
        <v>-0.4306895636780888</v>
      </c>
      <c r="AM12" s="2">
        <f t="shared" si="3"/>
        <v>-0.38613832146223109</v>
      </c>
      <c r="AN12" s="2">
        <f t="shared" si="3"/>
        <v>-0.34280368528442368</v>
      </c>
      <c r="AO12" s="2">
        <f t="shared" si="3"/>
        <v>-0.30052546231543115</v>
      </c>
      <c r="AP12" s="2">
        <f t="shared" si="3"/>
        <v>-0.25915523903200849</v>
      </c>
      <c r="AQ12" s="2">
        <f t="shared" si="3"/>
        <v>-0.21855454830706758</v>
      </c>
      <c r="AR12" s="2">
        <f t="shared" si="3"/>
        <v>-0.17859321515122834</v>
      </c>
      <c r="AS12" s="2">
        <f t="shared" si="3"/>
        <v>-0.13914785313704084</v>
      </c>
      <c r="AT12" s="2">
        <f t="shared" si="3"/>
        <v>-0.10010048489665353</v>
      </c>
      <c r="AU12" s="2">
        <f t="shared" si="3"/>
        <v>-6.1337261693503599E-2</v>
      </c>
      <c r="AV12" s="2">
        <f t="shared" si="3"/>
        <v>-2.2747258625209203E-2</v>
      </c>
      <c r="AW12" s="2">
        <f t="shared" si="3"/>
        <v>1.5778676654716845E-2</v>
      </c>
      <c r="AX12" s="2">
        <f t="shared" si="3"/>
        <v>5.4349042800277754E-2</v>
      </c>
      <c r="AY12" s="2">
        <f t="shared" si="3"/>
        <v>9.307279168968112E-2</v>
      </c>
      <c r="AZ12" s="2">
        <f t="shared" si="3"/>
        <v>0.13206044362458458</v>
      </c>
      <c r="BA12" s="2">
        <f t="shared" si="3"/>
        <v>0.17142523120703948</v>
      </c>
    </row>
    <row r="13" spans="2:53" x14ac:dyDescent="0.2">
      <c r="B13" s="34"/>
      <c r="C13" s="38"/>
      <c r="D13" s="38"/>
      <c r="E13" s="38"/>
      <c r="F13" s="38"/>
      <c r="G13" s="77"/>
      <c r="H13" s="61"/>
      <c r="I13" s="92"/>
      <c r="J13" s="35"/>
      <c r="K13" s="40"/>
      <c r="L13" s="6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37"/>
    </row>
    <row r="14" spans="2:53" x14ac:dyDescent="0.2">
      <c r="B14" s="34"/>
      <c r="C14" s="51" t="s">
        <v>49</v>
      </c>
      <c r="D14" s="35"/>
      <c r="E14" s="35"/>
      <c r="F14" s="35"/>
      <c r="G14" s="48"/>
      <c r="H14" s="59"/>
      <c r="I14" s="91"/>
      <c r="J14" s="35"/>
      <c r="K14" s="35"/>
      <c r="L14" s="60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Q14" s="2" t="s">
        <v>30</v>
      </c>
    </row>
    <row r="15" spans="2:53" x14ac:dyDescent="0.2">
      <c r="B15" s="34"/>
      <c r="C15" s="38"/>
      <c r="D15" s="38"/>
      <c r="E15" s="38"/>
      <c r="F15" s="38"/>
      <c r="G15" s="77"/>
      <c r="H15" s="61"/>
      <c r="I15" s="92"/>
      <c r="J15" s="35"/>
      <c r="K15" s="40"/>
      <c r="L15" s="62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37"/>
      <c r="AQ15" s="2">
        <f>H6</f>
        <v>3</v>
      </c>
    </row>
    <row r="16" spans="2:53" x14ac:dyDescent="0.2">
      <c r="B16" s="34"/>
      <c r="C16" s="38"/>
      <c r="D16" s="38" t="s">
        <v>9</v>
      </c>
      <c r="E16" s="38"/>
      <c r="F16" s="38"/>
      <c r="G16" s="77" t="s">
        <v>15</v>
      </c>
      <c r="H16" s="63">
        <f>300/H7</f>
        <v>0.3464203233256351</v>
      </c>
      <c r="I16" s="92" t="s">
        <v>13</v>
      </c>
      <c r="J16" s="35"/>
      <c r="K16" s="40"/>
      <c r="L16" s="64" t="s">
        <v>16</v>
      </c>
      <c r="M16" s="64">
        <f>TAN(2 * PI() * H21)</f>
        <v>4.35705889004059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37"/>
      <c r="AF16" s="23" t="s">
        <v>33</v>
      </c>
      <c r="AG16" s="2">
        <f t="shared" ref="AG16:AO16" si="4">AH16-$AQ15</f>
        <v>-30</v>
      </c>
      <c r="AH16" s="2">
        <f t="shared" si="4"/>
        <v>-27</v>
      </c>
      <c r="AI16" s="2">
        <f t="shared" si="4"/>
        <v>-24</v>
      </c>
      <c r="AJ16" s="2">
        <f t="shared" si="4"/>
        <v>-21</v>
      </c>
      <c r="AK16" s="2">
        <f t="shared" si="4"/>
        <v>-18</v>
      </c>
      <c r="AL16" s="2">
        <f t="shared" si="4"/>
        <v>-15</v>
      </c>
      <c r="AM16" s="2">
        <f t="shared" si="4"/>
        <v>-12</v>
      </c>
      <c r="AN16" s="2">
        <f t="shared" si="4"/>
        <v>-9</v>
      </c>
      <c r="AO16" s="2">
        <f t="shared" si="4"/>
        <v>-6</v>
      </c>
      <c r="AP16" s="2">
        <f>-1*$AQ15</f>
        <v>-3</v>
      </c>
      <c r="AQ16" s="2">
        <v>0</v>
      </c>
      <c r="AR16" s="2">
        <f>AQ15</f>
        <v>3</v>
      </c>
      <c r="AS16" s="2">
        <f t="shared" ref="AS16:BA16" si="5">AR16+$AQ15</f>
        <v>6</v>
      </c>
      <c r="AT16" s="2">
        <f t="shared" si="5"/>
        <v>9</v>
      </c>
      <c r="AU16" s="2">
        <f t="shared" si="5"/>
        <v>12</v>
      </c>
      <c r="AV16" s="2">
        <f t="shared" si="5"/>
        <v>15</v>
      </c>
      <c r="AW16" s="2">
        <f t="shared" si="5"/>
        <v>18</v>
      </c>
      <c r="AX16" s="2">
        <f t="shared" si="5"/>
        <v>21</v>
      </c>
      <c r="AY16" s="2">
        <f t="shared" si="5"/>
        <v>24</v>
      </c>
      <c r="AZ16" s="2">
        <f t="shared" si="5"/>
        <v>27</v>
      </c>
      <c r="BA16" s="2">
        <f t="shared" si="5"/>
        <v>30</v>
      </c>
    </row>
    <row r="17" spans="2:53" x14ac:dyDescent="0.2">
      <c r="B17" s="34"/>
      <c r="C17" s="38"/>
      <c r="D17" s="38" t="s">
        <v>25</v>
      </c>
      <c r="E17" s="38"/>
      <c r="F17" s="38"/>
      <c r="G17" s="77" t="s">
        <v>15</v>
      </c>
      <c r="H17" s="63">
        <f>H27+H21</f>
        <v>0.24998533333333334</v>
      </c>
      <c r="I17" s="92"/>
      <c r="J17" s="35"/>
      <c r="K17" s="40"/>
      <c r="L17" s="64" t="s">
        <v>17</v>
      </c>
      <c r="M17" s="64">
        <f>TAN(2 * PI() * H27)</f>
        <v>0.22941561408204642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37"/>
      <c r="AG17" s="2">
        <f t="shared" ref="AG17:AP17" si="6">$AQ17 + AG16*$AQ17/100</f>
        <v>606.20000000000005</v>
      </c>
      <c r="AH17" s="2">
        <f t="shared" si="6"/>
        <v>632.18000000000006</v>
      </c>
      <c r="AI17" s="2">
        <f t="shared" si="6"/>
        <v>658.16</v>
      </c>
      <c r="AJ17" s="2">
        <f t="shared" si="6"/>
        <v>684.14</v>
      </c>
      <c r="AK17" s="2">
        <f t="shared" si="6"/>
        <v>710.12</v>
      </c>
      <c r="AL17" s="2">
        <f t="shared" si="6"/>
        <v>736.1</v>
      </c>
      <c r="AM17" s="2">
        <f t="shared" si="6"/>
        <v>762.08</v>
      </c>
      <c r="AN17" s="2">
        <f t="shared" si="6"/>
        <v>788.06</v>
      </c>
      <c r="AO17" s="2">
        <f t="shared" si="6"/>
        <v>814.04</v>
      </c>
      <c r="AP17" s="2">
        <f t="shared" si="6"/>
        <v>840.02</v>
      </c>
      <c r="AQ17" s="2">
        <f t="shared" ref="AQ17:AQ22" si="7">$H7</f>
        <v>866</v>
      </c>
      <c r="AR17" s="2">
        <f t="shared" ref="AR17:BA17" si="8">$AQ17 + AR16*$AQ17/100</f>
        <v>891.98</v>
      </c>
      <c r="AS17" s="2">
        <f t="shared" si="8"/>
        <v>917.96</v>
      </c>
      <c r="AT17" s="2">
        <f t="shared" si="8"/>
        <v>943.94</v>
      </c>
      <c r="AU17" s="2">
        <f t="shared" si="8"/>
        <v>969.92</v>
      </c>
      <c r="AV17" s="2">
        <f t="shared" si="8"/>
        <v>995.9</v>
      </c>
      <c r="AW17" s="2">
        <f t="shared" si="8"/>
        <v>1021.88</v>
      </c>
      <c r="AX17" s="2">
        <f t="shared" si="8"/>
        <v>1047.8600000000001</v>
      </c>
      <c r="AY17" s="2">
        <f t="shared" si="8"/>
        <v>1073.8399999999999</v>
      </c>
      <c r="AZ17" s="2">
        <f t="shared" si="8"/>
        <v>1099.82</v>
      </c>
      <c r="BA17" s="2">
        <f t="shared" si="8"/>
        <v>1125.8</v>
      </c>
    </row>
    <row r="18" spans="2:53" x14ac:dyDescent="0.2">
      <c r="B18" s="34"/>
      <c r="C18" s="38"/>
      <c r="D18" s="38"/>
      <c r="E18" s="38"/>
      <c r="F18" s="38"/>
      <c r="G18" s="77"/>
      <c r="H18" s="61"/>
      <c r="I18" s="92"/>
      <c r="J18" s="35"/>
      <c r="K18" s="40"/>
      <c r="L18" s="64" t="s">
        <v>20</v>
      </c>
      <c r="M18" s="64">
        <f>H22/H8</f>
        <v>0.22391940219967191</v>
      </c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37"/>
      <c r="AG18" s="2">
        <f t="shared" ref="AG18:AP18" si="9">$H8</f>
        <v>213.22387372805997</v>
      </c>
      <c r="AH18" s="2">
        <f t="shared" si="9"/>
        <v>213.22387372805997</v>
      </c>
      <c r="AI18" s="2">
        <f t="shared" si="9"/>
        <v>213.22387372805997</v>
      </c>
      <c r="AJ18" s="2">
        <f t="shared" si="9"/>
        <v>213.22387372805997</v>
      </c>
      <c r="AK18" s="2">
        <f t="shared" si="9"/>
        <v>213.22387372805997</v>
      </c>
      <c r="AL18" s="2">
        <f t="shared" si="9"/>
        <v>213.22387372805997</v>
      </c>
      <c r="AM18" s="2">
        <f t="shared" si="9"/>
        <v>213.22387372805997</v>
      </c>
      <c r="AN18" s="2">
        <f t="shared" si="9"/>
        <v>213.22387372805997</v>
      </c>
      <c r="AO18" s="2">
        <f t="shared" si="9"/>
        <v>213.22387372805997</v>
      </c>
      <c r="AP18" s="2">
        <f t="shared" si="9"/>
        <v>213.22387372805997</v>
      </c>
      <c r="AQ18" s="2">
        <f t="shared" si="7"/>
        <v>213.22387372805997</v>
      </c>
      <c r="AR18" s="2">
        <f t="shared" ref="AR18:BA18" si="10">$H8</f>
        <v>213.22387372805997</v>
      </c>
      <c r="AS18" s="2">
        <f t="shared" si="10"/>
        <v>213.22387372805997</v>
      </c>
      <c r="AT18" s="2">
        <f t="shared" si="10"/>
        <v>213.22387372805997</v>
      </c>
      <c r="AU18" s="2">
        <f t="shared" si="10"/>
        <v>213.22387372805997</v>
      </c>
      <c r="AV18" s="2">
        <f t="shared" si="10"/>
        <v>213.22387372805997</v>
      </c>
      <c r="AW18" s="2">
        <f t="shared" si="10"/>
        <v>213.22387372805997</v>
      </c>
      <c r="AX18" s="2">
        <f t="shared" si="10"/>
        <v>213.22387372805997</v>
      </c>
      <c r="AY18" s="2">
        <f t="shared" si="10"/>
        <v>213.22387372805997</v>
      </c>
      <c r="AZ18" s="2">
        <f t="shared" si="10"/>
        <v>213.22387372805997</v>
      </c>
      <c r="BA18" s="2">
        <f t="shared" si="10"/>
        <v>213.22387372805997</v>
      </c>
    </row>
    <row r="19" spans="2:53" x14ac:dyDescent="0.2">
      <c r="B19" s="34"/>
      <c r="C19" s="38" t="s">
        <v>50</v>
      </c>
      <c r="D19" s="38"/>
      <c r="E19" s="38"/>
      <c r="F19" s="38"/>
      <c r="G19" s="77"/>
      <c r="H19" s="61"/>
      <c r="I19" s="92"/>
      <c r="J19" s="35"/>
      <c r="K19" s="40"/>
      <c r="L19" s="64" t="s">
        <v>21</v>
      </c>
      <c r="M19" s="64">
        <f>H23/H8</f>
        <v>-0.21855454830706758</v>
      </c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37"/>
      <c r="AG19" s="2">
        <f t="shared" ref="AG19:AP19" si="11">$H9</f>
        <v>1000</v>
      </c>
      <c r="AH19" s="2">
        <f t="shared" si="11"/>
        <v>1000</v>
      </c>
      <c r="AI19" s="2">
        <f t="shared" si="11"/>
        <v>1000</v>
      </c>
      <c r="AJ19" s="2">
        <f t="shared" si="11"/>
        <v>1000</v>
      </c>
      <c r="AK19" s="2">
        <f t="shared" si="11"/>
        <v>1000</v>
      </c>
      <c r="AL19" s="2">
        <f t="shared" si="11"/>
        <v>1000</v>
      </c>
      <c r="AM19" s="2">
        <f t="shared" si="11"/>
        <v>1000</v>
      </c>
      <c r="AN19" s="2">
        <f t="shared" si="11"/>
        <v>1000</v>
      </c>
      <c r="AO19" s="2">
        <f t="shared" si="11"/>
        <v>1000</v>
      </c>
      <c r="AP19" s="2">
        <f t="shared" si="11"/>
        <v>1000</v>
      </c>
      <c r="AQ19" s="2">
        <f t="shared" si="7"/>
        <v>1000</v>
      </c>
      <c r="AR19" s="2">
        <f t="shared" ref="AR19:BA19" si="12">$H9</f>
        <v>1000</v>
      </c>
      <c r="AS19" s="2">
        <f t="shared" si="12"/>
        <v>1000</v>
      </c>
      <c r="AT19" s="2">
        <f t="shared" si="12"/>
        <v>1000</v>
      </c>
      <c r="AU19" s="2">
        <f t="shared" si="12"/>
        <v>1000</v>
      </c>
      <c r="AV19" s="2">
        <f t="shared" si="12"/>
        <v>1000</v>
      </c>
      <c r="AW19" s="2">
        <f t="shared" si="12"/>
        <v>1000</v>
      </c>
      <c r="AX19" s="2">
        <f t="shared" si="12"/>
        <v>1000</v>
      </c>
      <c r="AY19" s="2">
        <f t="shared" si="12"/>
        <v>1000</v>
      </c>
      <c r="AZ19" s="2">
        <f t="shared" si="12"/>
        <v>1000</v>
      </c>
      <c r="BA19" s="2">
        <f t="shared" si="12"/>
        <v>1000</v>
      </c>
    </row>
    <row r="20" spans="2:53" ht="27" x14ac:dyDescent="0.2">
      <c r="B20" s="34"/>
      <c r="C20" s="38"/>
      <c r="D20" s="38" t="s">
        <v>7</v>
      </c>
      <c r="E20" s="38"/>
      <c r="F20" s="38"/>
      <c r="G20" s="77" t="s">
        <v>65</v>
      </c>
      <c r="H20" s="63">
        <f>H11-H12</f>
        <v>7.4166435853179516E-2</v>
      </c>
      <c r="I20" s="92" t="s">
        <v>13</v>
      </c>
      <c r="J20" s="35"/>
      <c r="K20" s="40"/>
      <c r="L20" s="62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37"/>
      <c r="AG20" s="2">
        <f t="shared" ref="AG20:AP20" si="13">$H10</f>
        <v>0</v>
      </c>
      <c r="AH20" s="2">
        <f t="shared" si="13"/>
        <v>0</v>
      </c>
      <c r="AI20" s="2">
        <f t="shared" si="13"/>
        <v>0</v>
      </c>
      <c r="AJ20" s="2">
        <f t="shared" si="13"/>
        <v>0</v>
      </c>
      <c r="AK20" s="2">
        <f t="shared" si="13"/>
        <v>0</v>
      </c>
      <c r="AL20" s="2">
        <f t="shared" si="13"/>
        <v>0</v>
      </c>
      <c r="AM20" s="2">
        <f t="shared" si="13"/>
        <v>0</v>
      </c>
      <c r="AN20" s="2">
        <f t="shared" si="13"/>
        <v>0</v>
      </c>
      <c r="AO20" s="2">
        <f t="shared" si="13"/>
        <v>0</v>
      </c>
      <c r="AP20" s="2">
        <f t="shared" si="13"/>
        <v>0</v>
      </c>
      <c r="AQ20" s="2">
        <f t="shared" si="7"/>
        <v>0</v>
      </c>
      <c r="AR20" s="2">
        <f t="shared" ref="AR20:BA20" si="14">$H10</f>
        <v>0</v>
      </c>
      <c r="AS20" s="2">
        <f t="shared" si="14"/>
        <v>0</v>
      </c>
      <c r="AT20" s="2">
        <f t="shared" si="14"/>
        <v>0</v>
      </c>
      <c r="AU20" s="2">
        <f t="shared" si="14"/>
        <v>0</v>
      </c>
      <c r="AV20" s="2">
        <f t="shared" si="14"/>
        <v>0</v>
      </c>
      <c r="AW20" s="2">
        <f t="shared" si="14"/>
        <v>0</v>
      </c>
      <c r="AX20" s="2">
        <f t="shared" si="14"/>
        <v>0</v>
      </c>
      <c r="AY20" s="2">
        <f t="shared" si="14"/>
        <v>0</v>
      </c>
      <c r="AZ20" s="2">
        <f t="shared" si="14"/>
        <v>0</v>
      </c>
      <c r="BA20" s="2">
        <f t="shared" si="14"/>
        <v>0</v>
      </c>
    </row>
    <row r="21" spans="2:53" x14ac:dyDescent="0.2">
      <c r="B21" s="34"/>
      <c r="C21" s="38"/>
      <c r="D21" s="38" t="s">
        <v>19</v>
      </c>
      <c r="E21" s="38"/>
      <c r="F21" s="38"/>
      <c r="G21" s="77"/>
      <c r="H21" s="63">
        <f>H20/H16</f>
        <v>0.21409377816284486</v>
      </c>
      <c r="I21" s="92" t="s">
        <v>18</v>
      </c>
      <c r="J21" s="35"/>
      <c r="K21" s="40"/>
      <c r="L21" s="62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7"/>
      <c r="AG21" s="2">
        <f t="shared" ref="AG21:AP21" si="15">$H11</f>
        <v>8.6599999999999996E-2</v>
      </c>
      <c r="AH21" s="2">
        <f t="shared" si="15"/>
        <v>8.6599999999999996E-2</v>
      </c>
      <c r="AI21" s="2">
        <f t="shared" si="15"/>
        <v>8.6599999999999996E-2</v>
      </c>
      <c r="AJ21" s="2">
        <f t="shared" si="15"/>
        <v>8.6599999999999996E-2</v>
      </c>
      <c r="AK21" s="2">
        <f t="shared" si="15"/>
        <v>8.6599999999999996E-2</v>
      </c>
      <c r="AL21" s="2">
        <f t="shared" si="15"/>
        <v>8.6599999999999996E-2</v>
      </c>
      <c r="AM21" s="2">
        <f t="shared" si="15"/>
        <v>8.6599999999999996E-2</v>
      </c>
      <c r="AN21" s="2">
        <f t="shared" si="15"/>
        <v>8.6599999999999996E-2</v>
      </c>
      <c r="AO21" s="2">
        <f t="shared" si="15"/>
        <v>8.6599999999999996E-2</v>
      </c>
      <c r="AP21" s="2">
        <f t="shared" si="15"/>
        <v>8.6599999999999996E-2</v>
      </c>
      <c r="AQ21" s="2">
        <f t="shared" si="7"/>
        <v>8.6599999999999996E-2</v>
      </c>
      <c r="AR21" s="2">
        <f t="shared" ref="AR21:BA21" si="16">$H11</f>
        <v>8.6599999999999996E-2</v>
      </c>
      <c r="AS21" s="2">
        <f t="shared" si="16"/>
        <v>8.6599999999999996E-2</v>
      </c>
      <c r="AT21" s="2">
        <f t="shared" si="16"/>
        <v>8.6599999999999996E-2</v>
      </c>
      <c r="AU21" s="2">
        <f t="shared" si="16"/>
        <v>8.6599999999999996E-2</v>
      </c>
      <c r="AV21" s="2">
        <f t="shared" si="16"/>
        <v>8.6599999999999996E-2</v>
      </c>
      <c r="AW21" s="2">
        <f t="shared" si="16"/>
        <v>8.6599999999999996E-2</v>
      </c>
      <c r="AX21" s="2">
        <f t="shared" si="16"/>
        <v>8.6599999999999996E-2</v>
      </c>
      <c r="AY21" s="2">
        <f t="shared" si="16"/>
        <v>8.6599999999999996E-2</v>
      </c>
      <c r="AZ21" s="2">
        <f t="shared" si="16"/>
        <v>8.6599999999999996E-2</v>
      </c>
      <c r="BA21" s="2">
        <f t="shared" si="16"/>
        <v>8.6599999999999996E-2</v>
      </c>
    </row>
    <row r="22" spans="2:53" ht="27" x14ac:dyDescent="0.2">
      <c r="B22" s="34"/>
      <c r="C22" s="38"/>
      <c r="D22" s="38" t="s">
        <v>10</v>
      </c>
      <c r="E22" s="38"/>
      <c r="F22" s="38"/>
      <c r="G22" s="77" t="s">
        <v>70</v>
      </c>
      <c r="H22" s="61">
        <f>H8*(H9*H8 + H9*H8*M16*M16)/(H8*H8 + H9*H9*M16*M16)</f>
        <v>47.744962339885518</v>
      </c>
      <c r="I22" s="92" t="s">
        <v>14</v>
      </c>
      <c r="J22" s="35"/>
      <c r="K22" s="40"/>
      <c r="L22" s="62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37"/>
      <c r="AF22" s="23" t="s">
        <v>56</v>
      </c>
      <c r="AG22" s="2">
        <f t="shared" ref="AG22:AP22" si="17">$H12</f>
        <v>1.2433564146820486E-2</v>
      </c>
      <c r="AH22" s="2">
        <f t="shared" si="17"/>
        <v>1.2433564146820486E-2</v>
      </c>
      <c r="AI22" s="2">
        <f t="shared" si="17"/>
        <v>1.2433564146820486E-2</v>
      </c>
      <c r="AJ22" s="2">
        <f t="shared" si="17"/>
        <v>1.2433564146820486E-2</v>
      </c>
      <c r="AK22" s="2">
        <f t="shared" si="17"/>
        <v>1.2433564146820486E-2</v>
      </c>
      <c r="AL22" s="2">
        <f t="shared" si="17"/>
        <v>1.2433564146820486E-2</v>
      </c>
      <c r="AM22" s="2">
        <f t="shared" si="17"/>
        <v>1.2433564146820486E-2</v>
      </c>
      <c r="AN22" s="2">
        <f t="shared" si="17"/>
        <v>1.2433564146820486E-2</v>
      </c>
      <c r="AO22" s="2">
        <f t="shared" si="17"/>
        <v>1.2433564146820486E-2</v>
      </c>
      <c r="AP22" s="2">
        <f t="shared" si="17"/>
        <v>1.2433564146820486E-2</v>
      </c>
      <c r="AQ22" s="2">
        <f t="shared" si="7"/>
        <v>1.2433564146820486E-2</v>
      </c>
      <c r="AR22" s="2">
        <f t="shared" ref="AR22:BA22" si="18">$H12</f>
        <v>1.2433564146820486E-2</v>
      </c>
      <c r="AS22" s="2">
        <f t="shared" si="18"/>
        <v>1.2433564146820486E-2</v>
      </c>
      <c r="AT22" s="2">
        <f t="shared" si="18"/>
        <v>1.2433564146820486E-2</v>
      </c>
      <c r="AU22" s="2">
        <f t="shared" si="18"/>
        <v>1.2433564146820486E-2</v>
      </c>
      <c r="AV22" s="2">
        <f t="shared" si="18"/>
        <v>1.2433564146820486E-2</v>
      </c>
      <c r="AW22" s="2">
        <f t="shared" si="18"/>
        <v>1.2433564146820486E-2</v>
      </c>
      <c r="AX22" s="2">
        <f t="shared" si="18"/>
        <v>1.2433564146820486E-2</v>
      </c>
      <c r="AY22" s="2">
        <f t="shared" si="18"/>
        <v>1.2433564146820486E-2</v>
      </c>
      <c r="AZ22" s="2">
        <f t="shared" si="18"/>
        <v>1.2433564146820486E-2</v>
      </c>
      <c r="BA22" s="2">
        <f t="shared" si="18"/>
        <v>1.2433564146820486E-2</v>
      </c>
    </row>
    <row r="23" spans="2:53" ht="27" x14ac:dyDescent="0.2">
      <c r="B23" s="34"/>
      <c r="C23" s="38"/>
      <c r="D23" s="38"/>
      <c r="E23" s="38"/>
      <c r="F23" s="38"/>
      <c r="G23" s="77" t="s">
        <v>76</v>
      </c>
      <c r="H23" s="61">
        <f>H8*(H8*H8*M16 - H9*H9*M16)/(H8*H8 + H9*H9*M16*M16)</f>
        <v>-46.601047410919364</v>
      </c>
      <c r="I23" s="92" t="s">
        <v>14</v>
      </c>
      <c r="J23" s="35"/>
      <c r="K23" s="40"/>
      <c r="L23" s="6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37"/>
    </row>
    <row r="24" spans="2:53" x14ac:dyDescent="0.2">
      <c r="B24" s="34"/>
      <c r="C24" s="38"/>
      <c r="D24" s="38"/>
      <c r="E24" s="38"/>
      <c r="F24" s="38"/>
      <c r="G24" s="77"/>
      <c r="H24" s="61"/>
      <c r="I24" s="92"/>
      <c r="J24" s="35"/>
      <c r="K24" s="40"/>
      <c r="L24" s="62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37"/>
    </row>
    <row r="25" spans="2:53" x14ac:dyDescent="0.2">
      <c r="B25" s="34"/>
      <c r="C25" s="38" t="s">
        <v>51</v>
      </c>
      <c r="D25" s="38"/>
      <c r="E25" s="38"/>
      <c r="F25" s="38"/>
      <c r="G25" s="77"/>
      <c r="H25" s="61"/>
      <c r="I25" s="92"/>
      <c r="J25" s="35"/>
      <c r="K25" s="40"/>
      <c r="L25" s="6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7"/>
      <c r="AG25" s="2">
        <f>300/AG17</f>
        <v>0.49488617617947867</v>
      </c>
      <c r="AH25" s="2">
        <f t="shared" ref="AH25:BA25" si="19">300/AH17</f>
        <v>0.47454838811730832</v>
      </c>
      <c r="AI25" s="2">
        <f t="shared" si="19"/>
        <v>0.45581621490215146</v>
      </c>
      <c r="AJ25" s="2">
        <f t="shared" si="19"/>
        <v>0.43850673838687987</v>
      </c>
      <c r="AK25" s="2">
        <f t="shared" si="19"/>
        <v>0.42246380893370133</v>
      </c>
      <c r="AL25" s="2">
        <f t="shared" si="19"/>
        <v>0.40755332155957069</v>
      </c>
      <c r="AM25" s="2">
        <f t="shared" si="19"/>
        <v>0.39365945832458532</v>
      </c>
      <c r="AN25" s="2">
        <f t="shared" si="19"/>
        <v>0.38068167398421443</v>
      </c>
      <c r="AO25" s="2">
        <f t="shared" si="19"/>
        <v>0.36853225885705865</v>
      </c>
      <c r="AP25" s="2">
        <f t="shared" si="19"/>
        <v>0.35713435394395371</v>
      </c>
      <c r="AQ25" s="2">
        <f t="shared" si="19"/>
        <v>0.3464203233256351</v>
      </c>
      <c r="AR25" s="2">
        <f t="shared" si="19"/>
        <v>0.33633041099576222</v>
      </c>
      <c r="AS25" s="2">
        <f t="shared" si="19"/>
        <v>0.32681162577890105</v>
      </c>
      <c r="AT25" s="2">
        <f t="shared" si="19"/>
        <v>0.31781681039049092</v>
      </c>
      <c r="AU25" s="2">
        <f t="shared" si="19"/>
        <v>0.3093038601121742</v>
      </c>
      <c r="AV25" s="2">
        <f t="shared" si="19"/>
        <v>0.30123506376142184</v>
      </c>
      <c r="AW25" s="2">
        <f t="shared" si="19"/>
        <v>0.29357654519121618</v>
      </c>
      <c r="AX25" s="2">
        <f t="shared" si="19"/>
        <v>0.28629778787242566</v>
      </c>
      <c r="AY25" s="2">
        <f t="shared" si="19"/>
        <v>0.27937122848841545</v>
      </c>
      <c r="AZ25" s="2">
        <f t="shared" si="19"/>
        <v>0.27277190813042135</v>
      </c>
      <c r="BA25" s="2">
        <f t="shared" si="19"/>
        <v>0.26647717178895008</v>
      </c>
    </row>
    <row r="26" spans="2:53" ht="27" x14ac:dyDescent="0.2">
      <c r="B26" s="34"/>
      <c r="C26" s="38"/>
      <c r="D26" s="38" t="s">
        <v>7</v>
      </c>
      <c r="E26" s="38"/>
      <c r="F26" s="38"/>
      <c r="G26" s="77" t="s">
        <v>64</v>
      </c>
      <c r="H26" s="63">
        <f>H12</f>
        <v>1.2433564146820486E-2</v>
      </c>
      <c r="I26" s="92" t="s">
        <v>13</v>
      </c>
      <c r="J26" s="35"/>
      <c r="K26" s="40"/>
      <c r="L26" s="62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7"/>
      <c r="AG26" s="2">
        <f>AG37+AG30</f>
        <v>0.17498973333333334</v>
      </c>
      <c r="AH26" s="2">
        <f t="shared" ref="AH26:BA26" si="20">AH37+AH30</f>
        <v>0.18248929333333333</v>
      </c>
      <c r="AI26" s="2">
        <f t="shared" si="20"/>
        <v>0.18998885333333332</v>
      </c>
      <c r="AJ26" s="2">
        <f t="shared" si="20"/>
        <v>0.19748841333333333</v>
      </c>
      <c r="AK26" s="2">
        <f t="shared" si="20"/>
        <v>0.20498797333333335</v>
      </c>
      <c r="AL26" s="2">
        <f t="shared" si="20"/>
        <v>0.21248753333333334</v>
      </c>
      <c r="AM26" s="2">
        <f t="shared" si="20"/>
        <v>0.21998709333333336</v>
      </c>
      <c r="AN26" s="2">
        <f t="shared" si="20"/>
        <v>0.22748665333333332</v>
      </c>
      <c r="AO26" s="2">
        <f t="shared" si="20"/>
        <v>0.2349862133333333</v>
      </c>
      <c r="AP26" s="2">
        <f t="shared" si="20"/>
        <v>0.24248577333333332</v>
      </c>
      <c r="AQ26" s="2">
        <f t="shared" si="20"/>
        <v>0.24998533333333334</v>
      </c>
      <c r="AR26" s="2">
        <f t="shared" si="20"/>
        <v>0.25748489333333335</v>
      </c>
      <c r="AS26" s="2">
        <f t="shared" si="20"/>
        <v>0.26498445333333331</v>
      </c>
      <c r="AT26" s="2">
        <f t="shared" si="20"/>
        <v>0.27248401333333333</v>
      </c>
      <c r="AU26" s="2">
        <f t="shared" si="20"/>
        <v>0.27998357333333335</v>
      </c>
      <c r="AV26" s="2">
        <f t="shared" si="20"/>
        <v>0.28748313333333331</v>
      </c>
      <c r="AW26" s="2">
        <f t="shared" si="20"/>
        <v>0.29498269333333338</v>
      </c>
      <c r="AX26" s="2">
        <f t="shared" si="20"/>
        <v>0.3024822533333334</v>
      </c>
      <c r="AY26" s="2">
        <f t="shared" si="20"/>
        <v>0.3099818133333333</v>
      </c>
      <c r="AZ26" s="2">
        <f t="shared" si="20"/>
        <v>0.31748137333333332</v>
      </c>
      <c r="BA26" s="2">
        <f t="shared" si="20"/>
        <v>0.32498093333333333</v>
      </c>
    </row>
    <row r="27" spans="2:53" x14ac:dyDescent="0.2">
      <c r="B27" s="34"/>
      <c r="C27" s="38"/>
      <c r="D27" s="38" t="s">
        <v>19</v>
      </c>
      <c r="E27" s="38"/>
      <c r="F27" s="38"/>
      <c r="G27" s="77"/>
      <c r="H27" s="63">
        <f>H26/H16</f>
        <v>3.5891555170488469E-2</v>
      </c>
      <c r="I27" s="92" t="s">
        <v>18</v>
      </c>
      <c r="J27" s="35"/>
      <c r="K27" s="40"/>
      <c r="L27" s="62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37"/>
    </row>
    <row r="28" spans="2:53" ht="27" x14ac:dyDescent="0.2">
      <c r="B28" s="34"/>
      <c r="C28" s="38"/>
      <c r="D28" s="38" t="s">
        <v>10</v>
      </c>
      <c r="E28" s="38"/>
      <c r="F28" s="38"/>
      <c r="G28" s="77" t="s">
        <v>77</v>
      </c>
      <c r="H28" s="61">
        <v>0</v>
      </c>
      <c r="I28" s="92" t="s">
        <v>14</v>
      </c>
      <c r="J28" s="35"/>
      <c r="K28" s="40"/>
      <c r="L28" s="62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37"/>
    </row>
    <row r="29" spans="2:53" ht="27" x14ac:dyDescent="0.2">
      <c r="B29" s="34"/>
      <c r="C29" s="38"/>
      <c r="D29" s="38"/>
      <c r="E29" s="38"/>
      <c r="F29" s="38"/>
      <c r="G29" s="77" t="s">
        <v>78</v>
      </c>
      <c r="H29" s="61">
        <f>H8*(H8*H8*M17 - H10*H10*M17)/(H8*H8 + H10*H10*M17*M17)</f>
        <v>48.916885928275597</v>
      </c>
      <c r="I29" s="92" t="s">
        <v>14</v>
      </c>
      <c r="J29" s="35"/>
      <c r="K29" s="40"/>
      <c r="L29" s="62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37"/>
      <c r="AG29" s="2">
        <f>AG21-AG22</f>
        <v>7.4166435853179516E-2</v>
      </c>
      <c r="AH29" s="2">
        <f t="shared" ref="AH29:BA29" si="21">AH21-AH22</f>
        <v>7.4166435853179516E-2</v>
      </c>
      <c r="AI29" s="2">
        <f t="shared" si="21"/>
        <v>7.4166435853179516E-2</v>
      </c>
      <c r="AJ29" s="2">
        <f t="shared" si="21"/>
        <v>7.4166435853179516E-2</v>
      </c>
      <c r="AK29" s="2">
        <f t="shared" si="21"/>
        <v>7.4166435853179516E-2</v>
      </c>
      <c r="AL29" s="2">
        <f t="shared" si="21"/>
        <v>7.4166435853179516E-2</v>
      </c>
      <c r="AM29" s="2">
        <f t="shared" si="21"/>
        <v>7.4166435853179516E-2</v>
      </c>
      <c r="AN29" s="2">
        <f t="shared" si="21"/>
        <v>7.4166435853179516E-2</v>
      </c>
      <c r="AO29" s="2">
        <f t="shared" si="21"/>
        <v>7.4166435853179516E-2</v>
      </c>
      <c r="AP29" s="2">
        <f t="shared" si="21"/>
        <v>7.4166435853179516E-2</v>
      </c>
      <c r="AQ29" s="2">
        <f t="shared" si="21"/>
        <v>7.4166435853179516E-2</v>
      </c>
      <c r="AR29" s="2">
        <f t="shared" si="21"/>
        <v>7.4166435853179516E-2</v>
      </c>
      <c r="AS29" s="2">
        <f t="shared" si="21"/>
        <v>7.4166435853179516E-2</v>
      </c>
      <c r="AT29" s="2">
        <f t="shared" si="21"/>
        <v>7.4166435853179516E-2</v>
      </c>
      <c r="AU29" s="2">
        <f t="shared" si="21"/>
        <v>7.4166435853179516E-2</v>
      </c>
      <c r="AV29" s="2">
        <f t="shared" si="21"/>
        <v>7.4166435853179516E-2</v>
      </c>
      <c r="AW29" s="2">
        <f t="shared" si="21"/>
        <v>7.4166435853179516E-2</v>
      </c>
      <c r="AX29" s="2">
        <f t="shared" si="21"/>
        <v>7.4166435853179516E-2</v>
      </c>
      <c r="AY29" s="2">
        <f t="shared" si="21"/>
        <v>7.4166435853179516E-2</v>
      </c>
      <c r="AZ29" s="2">
        <f t="shared" si="21"/>
        <v>7.4166435853179516E-2</v>
      </c>
      <c r="BA29" s="2">
        <f t="shared" si="21"/>
        <v>7.4166435853179516E-2</v>
      </c>
    </row>
    <row r="30" spans="2:53" x14ac:dyDescent="0.2">
      <c r="B30" s="34"/>
      <c r="C30" s="38"/>
      <c r="D30" s="38"/>
      <c r="E30" s="38"/>
      <c r="F30" s="38"/>
      <c r="G30" s="77"/>
      <c r="H30" s="61"/>
      <c r="I30" s="92"/>
      <c r="J30" s="35"/>
      <c r="K30" s="40"/>
      <c r="L30" s="62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37"/>
      <c r="AG30" s="2">
        <f>AG29/AG25</f>
        <v>0.14986564471399141</v>
      </c>
      <c r="AH30" s="2">
        <f t="shared" ref="AH30:BA30" si="22">AH29/AH25</f>
        <v>0.15628845805887676</v>
      </c>
      <c r="AI30" s="2">
        <f t="shared" si="22"/>
        <v>0.1627112714037621</v>
      </c>
      <c r="AJ30" s="2">
        <f t="shared" si="22"/>
        <v>0.16913408474864744</v>
      </c>
      <c r="AK30" s="2">
        <f t="shared" si="22"/>
        <v>0.17555689809353281</v>
      </c>
      <c r="AL30" s="2">
        <f t="shared" si="22"/>
        <v>0.18197971143841815</v>
      </c>
      <c r="AM30" s="2">
        <f t="shared" si="22"/>
        <v>0.18840252478330349</v>
      </c>
      <c r="AN30" s="2">
        <f t="shared" si="22"/>
        <v>0.19482533812818881</v>
      </c>
      <c r="AO30" s="2">
        <f t="shared" si="22"/>
        <v>0.20124815147307415</v>
      </c>
      <c r="AP30" s="2">
        <f t="shared" si="22"/>
        <v>0.20767096481795952</v>
      </c>
      <c r="AQ30" s="2">
        <f t="shared" si="22"/>
        <v>0.21409377816284486</v>
      </c>
      <c r="AR30" s="2">
        <f t="shared" si="22"/>
        <v>0.22051659150773023</v>
      </c>
      <c r="AS30" s="2">
        <f t="shared" si="22"/>
        <v>0.22693940485261554</v>
      </c>
      <c r="AT30" s="2">
        <f t="shared" si="22"/>
        <v>0.23336221819750091</v>
      </c>
      <c r="AU30" s="2">
        <f t="shared" si="22"/>
        <v>0.23978503154238626</v>
      </c>
      <c r="AV30" s="2">
        <f t="shared" si="22"/>
        <v>0.2462078448872716</v>
      </c>
      <c r="AW30" s="2">
        <f t="shared" si="22"/>
        <v>0.25263065823215697</v>
      </c>
      <c r="AX30" s="2">
        <f t="shared" si="22"/>
        <v>0.25905347157704234</v>
      </c>
      <c r="AY30" s="2">
        <f t="shared" si="22"/>
        <v>0.2654762849219276</v>
      </c>
      <c r="AZ30" s="2">
        <f t="shared" si="22"/>
        <v>0.27189909826681297</v>
      </c>
      <c r="BA30" s="2">
        <f t="shared" si="22"/>
        <v>0.27832191161169834</v>
      </c>
    </row>
    <row r="31" spans="2:53" x14ac:dyDescent="0.2">
      <c r="B31" s="34"/>
      <c r="C31" s="38"/>
      <c r="D31" s="38"/>
      <c r="E31" s="38"/>
      <c r="F31" s="38"/>
      <c r="G31" s="77"/>
      <c r="H31" s="61"/>
      <c r="I31" s="92"/>
      <c r="J31" s="35"/>
      <c r="K31" s="40"/>
      <c r="L31" s="62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37"/>
      <c r="AG31" s="2">
        <f t="shared" ref="AG31:BA31" si="23">AG18*(AG19*AG18 + AG19*AG18*AG9*AG9)/(AG18*AG18 + AG19*AG19*AG9*AG9)</f>
        <v>67.913144271082274</v>
      </c>
      <c r="AH31" s="2">
        <f t="shared" si="23"/>
        <v>64.434819979291348</v>
      </c>
      <c r="AI31" s="2">
        <f t="shared" si="23"/>
        <v>61.393979279803013</v>
      </c>
      <c r="AJ31" s="2">
        <f t="shared" si="23"/>
        <v>58.73461812728457</v>
      </c>
      <c r="AK31" s="2">
        <f t="shared" si="23"/>
        <v>56.410380087203073</v>
      </c>
      <c r="AL31" s="2">
        <f t="shared" si="23"/>
        <v>54.382779982426172</v>
      </c>
      <c r="AM31" s="2">
        <f t="shared" si="23"/>
        <v>52.619807972791008</v>
      </c>
      <c r="AN31" s="2">
        <f t="shared" si="23"/>
        <v>51.094827574728114</v>
      </c>
      <c r="AO31" s="2">
        <f t="shared" si="23"/>
        <v>49.785702693143165</v>
      </c>
      <c r="AP31" s="2">
        <f t="shared" si="23"/>
        <v>48.674104683223405</v>
      </c>
      <c r="AQ31" s="2">
        <f t="shared" si="23"/>
        <v>47.744962339885518</v>
      </c>
      <c r="AR31" s="2">
        <f t="shared" si="23"/>
        <v>46.986026640264285</v>
      </c>
      <c r="AS31" s="2">
        <f t="shared" si="23"/>
        <v>46.387528841323522</v>
      </c>
      <c r="AT31" s="2">
        <f t="shared" si="23"/>
        <v>45.941915741528973</v>
      </c>
      <c r="AU31" s="2">
        <f t="shared" si="23"/>
        <v>45.643649978146932</v>
      </c>
      <c r="AV31" s="2">
        <f t="shared" si="23"/>
        <v>45.489066465917993</v>
      </c>
      <c r="AW31" s="2">
        <f t="shared" si="23"/>
        <v>45.47627872732162</v>
      </c>
      <c r="AX31" s="2">
        <f t="shared" si="23"/>
        <v>45.605131104773051</v>
      </c>
      <c r="AY31" s="2">
        <f t="shared" si="23"/>
        <v>45.877194830552817</v>
      </c>
      <c r="AZ31" s="2">
        <f t="shared" si="23"/>
        <v>46.295807788653249</v>
      </c>
      <c r="BA31" s="2">
        <f t="shared" si="23"/>
        <v>46.866159650748706</v>
      </c>
    </row>
    <row r="32" spans="2:53" x14ac:dyDescent="0.2">
      <c r="B32" s="34"/>
      <c r="C32" s="38"/>
      <c r="D32" s="38" t="s">
        <v>55</v>
      </c>
      <c r="E32" s="38"/>
      <c r="F32" s="38"/>
      <c r="G32" s="77" t="s">
        <v>79</v>
      </c>
      <c r="H32" s="69">
        <f>H8*(M17*M17*M18)/((M17+M19)*(M17+M19) + M18*M18)</f>
        <v>49.999941481318075</v>
      </c>
      <c r="I32" s="92" t="s">
        <v>14</v>
      </c>
      <c r="J32" s="35"/>
      <c r="K32" s="40"/>
      <c r="L32" s="62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37"/>
      <c r="AG32" s="2">
        <f t="shared" ref="AG32:BA32" si="24">AG18*(AG18*AG18*AG9 - AG19*AG19*AG9)/(AG18*AG18 + AG19*AG19*AG9*AG9)</f>
        <v>-144.65185970324467</v>
      </c>
      <c r="AH32" s="2">
        <f t="shared" si="24"/>
        <v>-133.22179012909157</v>
      </c>
      <c r="AI32" s="2">
        <f t="shared" si="24"/>
        <v>-122.27665329062366</v>
      </c>
      <c r="AJ32" s="2">
        <f t="shared" si="24"/>
        <v>-111.76214833049194</v>
      </c>
      <c r="AK32" s="2">
        <f t="shared" si="24"/>
        <v>-101.62919860524802</v>
      </c>
      <c r="AL32" s="2">
        <f t="shared" si="24"/>
        <v>-91.833297141690053</v>
      </c>
      <c r="AM32" s="2">
        <f t="shared" si="24"/>
        <v>-82.333908697027795</v>
      </c>
      <c r="AN32" s="2">
        <f t="shared" si="24"/>
        <v>-73.09392970459956</v>
      </c>
      <c r="AO32" s="2">
        <f t="shared" si="24"/>
        <v>-64.079203228812332</v>
      </c>
      <c r="AP32" s="2">
        <f t="shared" si="24"/>
        <v>-55.258083963326179</v>
      </c>
      <c r="AQ32" s="2">
        <f t="shared" si="24"/>
        <v>-46.601047410919364</v>
      </c>
      <c r="AR32" s="2">
        <f t="shared" si="24"/>
        <v>-38.080337156093755</v>
      </c>
      <c r="AS32" s="2">
        <f t="shared" si="24"/>
        <v>-29.669644266823028</v>
      </c>
      <c r="AT32" s="2">
        <f t="shared" si="24"/>
        <v>-21.343813151721626</v>
      </c>
      <c r="AU32" s="2">
        <f t="shared" si="24"/>
        <v>-13.078568542160582</v>
      </c>
      <c r="AV32" s="2">
        <f t="shared" si="24"/>
        <v>-4.8502586007611299</v>
      </c>
      <c r="AW32" s="2">
        <f t="shared" si="24"/>
        <v>3.3643905586212322</v>
      </c>
      <c r="AX32" s="2">
        <f t="shared" si="24"/>
        <v>11.58851343928735</v>
      </c>
      <c r="AY32" s="2">
        <f t="shared" si="24"/>
        <v>19.845341182758595</v>
      </c>
      <c r="AZ32" s="2">
        <f t="shared" si="24"/>
        <v>28.158439355880002</v>
      </c>
      <c r="BA32" s="2">
        <f t="shared" si="24"/>
        <v>36.551951852693271</v>
      </c>
    </row>
    <row r="33" spans="2:53" x14ac:dyDescent="0.2">
      <c r="B33" s="34"/>
      <c r="C33" s="38"/>
      <c r="D33" s="38"/>
      <c r="E33" s="38"/>
      <c r="F33" s="38"/>
      <c r="G33" s="77" t="s">
        <v>80</v>
      </c>
      <c r="H33" s="70">
        <f>H8*(M17*M18*M18+M17*M17*M19)/((M17+M19)*(M17+M19)+M18*M18)</f>
        <v>7.0829494818177218E-5</v>
      </c>
      <c r="I33" s="92" t="s">
        <v>14</v>
      </c>
      <c r="J33" s="35"/>
      <c r="K33" s="40"/>
      <c r="L33" s="62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37"/>
    </row>
    <row r="34" spans="2:53" x14ac:dyDescent="0.2">
      <c r="B34" s="34"/>
      <c r="C34" s="38"/>
      <c r="D34" s="38"/>
      <c r="E34" s="38"/>
      <c r="F34" s="38"/>
      <c r="G34" s="77"/>
      <c r="H34" s="61"/>
      <c r="I34" s="92"/>
      <c r="J34" s="35"/>
      <c r="K34" s="40"/>
      <c r="L34" s="62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37"/>
    </row>
    <row r="35" spans="2:53" x14ac:dyDescent="0.2">
      <c r="B35" s="34"/>
      <c r="C35" s="38"/>
      <c r="D35" s="38"/>
      <c r="E35" s="38"/>
      <c r="F35" s="38"/>
      <c r="G35" s="77" t="s">
        <v>32</v>
      </c>
      <c r="H35" s="61">
        <f>SQRT(H32*H32 + H33*H33)</f>
        <v>49.999941481368246</v>
      </c>
      <c r="I35" s="92" t="s">
        <v>14</v>
      </c>
      <c r="J35" s="35"/>
      <c r="K35" s="40"/>
      <c r="L35" s="62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37"/>
    </row>
    <row r="36" spans="2:53" x14ac:dyDescent="0.2">
      <c r="B36" s="34"/>
      <c r="C36" s="38"/>
      <c r="D36" s="38"/>
      <c r="E36" s="38"/>
      <c r="F36" s="38"/>
      <c r="G36" s="77"/>
      <c r="H36" s="61"/>
      <c r="I36" s="92"/>
      <c r="J36" s="35"/>
      <c r="K36" s="40"/>
      <c r="L36" s="62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37"/>
      <c r="AG36" s="2">
        <f>AG22</f>
        <v>1.2433564146820486E-2</v>
      </c>
      <c r="AH36" s="2">
        <f t="shared" ref="AH36:BA36" si="25">AH22</f>
        <v>1.2433564146820486E-2</v>
      </c>
      <c r="AI36" s="2">
        <f t="shared" si="25"/>
        <v>1.2433564146820486E-2</v>
      </c>
      <c r="AJ36" s="2">
        <f t="shared" si="25"/>
        <v>1.2433564146820486E-2</v>
      </c>
      <c r="AK36" s="2">
        <f t="shared" si="25"/>
        <v>1.2433564146820486E-2</v>
      </c>
      <c r="AL36" s="2">
        <f t="shared" si="25"/>
        <v>1.2433564146820486E-2</v>
      </c>
      <c r="AM36" s="2">
        <f t="shared" si="25"/>
        <v>1.2433564146820486E-2</v>
      </c>
      <c r="AN36" s="2">
        <f t="shared" si="25"/>
        <v>1.2433564146820486E-2</v>
      </c>
      <c r="AO36" s="2">
        <f t="shared" si="25"/>
        <v>1.2433564146820486E-2</v>
      </c>
      <c r="AP36" s="2">
        <f t="shared" si="25"/>
        <v>1.2433564146820486E-2</v>
      </c>
      <c r="AQ36" s="2">
        <f t="shared" si="25"/>
        <v>1.2433564146820486E-2</v>
      </c>
      <c r="AR36" s="2">
        <f t="shared" si="25"/>
        <v>1.2433564146820486E-2</v>
      </c>
      <c r="AS36" s="2">
        <f t="shared" si="25"/>
        <v>1.2433564146820486E-2</v>
      </c>
      <c r="AT36" s="2">
        <f t="shared" si="25"/>
        <v>1.2433564146820486E-2</v>
      </c>
      <c r="AU36" s="2">
        <f t="shared" si="25"/>
        <v>1.2433564146820486E-2</v>
      </c>
      <c r="AV36" s="2">
        <f t="shared" si="25"/>
        <v>1.2433564146820486E-2</v>
      </c>
      <c r="AW36" s="2">
        <f t="shared" si="25"/>
        <v>1.2433564146820486E-2</v>
      </c>
      <c r="AX36" s="2">
        <f t="shared" si="25"/>
        <v>1.2433564146820486E-2</v>
      </c>
      <c r="AY36" s="2">
        <f t="shared" si="25"/>
        <v>1.2433564146820486E-2</v>
      </c>
      <c r="AZ36" s="2">
        <f t="shared" si="25"/>
        <v>1.2433564146820486E-2</v>
      </c>
      <c r="BA36" s="2">
        <f t="shared" si="25"/>
        <v>1.2433564146820486E-2</v>
      </c>
    </row>
    <row r="37" spans="2:53" x14ac:dyDescent="0.2">
      <c r="B37" s="34"/>
      <c r="C37" s="35"/>
      <c r="D37" s="35"/>
      <c r="E37" s="35"/>
      <c r="F37" s="35"/>
      <c r="G37" s="48"/>
      <c r="H37" s="59"/>
      <c r="I37" s="91"/>
      <c r="J37" s="35"/>
      <c r="K37" s="35"/>
      <c r="L37" s="60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7"/>
      <c r="AG37" s="2">
        <f>AG36/AG25</f>
        <v>2.5124088619341931E-2</v>
      </c>
      <c r="AH37" s="2">
        <f t="shared" ref="AH37:BA37" si="26">AH36/AH25</f>
        <v>2.6200835274456585E-2</v>
      </c>
      <c r="AI37" s="2">
        <f t="shared" si="26"/>
        <v>2.7277581929571235E-2</v>
      </c>
      <c r="AJ37" s="2">
        <f t="shared" si="26"/>
        <v>2.8354328584685892E-2</v>
      </c>
      <c r="AK37" s="2">
        <f t="shared" si="26"/>
        <v>2.9431075239800545E-2</v>
      </c>
      <c r="AL37" s="2">
        <f t="shared" si="26"/>
        <v>3.0507821894915198E-2</v>
      </c>
      <c r="AM37" s="2">
        <f t="shared" si="26"/>
        <v>3.1584568550029855E-2</v>
      </c>
      <c r="AN37" s="2">
        <f t="shared" si="26"/>
        <v>3.2661315205144502E-2</v>
      </c>
      <c r="AO37" s="2">
        <f t="shared" si="26"/>
        <v>3.3738061860259155E-2</v>
      </c>
      <c r="AP37" s="2">
        <f t="shared" si="26"/>
        <v>3.4814808515373816E-2</v>
      </c>
      <c r="AQ37" s="2">
        <f t="shared" si="26"/>
        <v>3.5891555170488469E-2</v>
      </c>
      <c r="AR37" s="2">
        <f t="shared" si="26"/>
        <v>3.6968301825603123E-2</v>
      </c>
      <c r="AS37" s="2">
        <f t="shared" si="26"/>
        <v>3.8045048480717776E-2</v>
      </c>
      <c r="AT37" s="2">
        <f t="shared" si="26"/>
        <v>3.912179513583243E-2</v>
      </c>
      <c r="AU37" s="2">
        <f t="shared" si="26"/>
        <v>4.0198541790947083E-2</v>
      </c>
      <c r="AV37" s="2">
        <f t="shared" si="26"/>
        <v>4.1275288446061736E-2</v>
      </c>
      <c r="AW37" s="2">
        <f t="shared" si="26"/>
        <v>4.2352035101176397E-2</v>
      </c>
      <c r="AX37" s="2">
        <f t="shared" si="26"/>
        <v>4.3428781756291057E-2</v>
      </c>
      <c r="AY37" s="2">
        <f t="shared" si="26"/>
        <v>4.4505528411405697E-2</v>
      </c>
      <c r="AZ37" s="2">
        <f t="shared" si="26"/>
        <v>4.5582275066520357E-2</v>
      </c>
      <c r="BA37" s="2">
        <f t="shared" si="26"/>
        <v>4.6659021721635011E-2</v>
      </c>
    </row>
    <row r="38" spans="2:53" s="4" customFormat="1" ht="28" x14ac:dyDescent="0.2">
      <c r="B38" s="28"/>
      <c r="C38" s="29" t="s">
        <v>52</v>
      </c>
      <c r="D38" s="29"/>
      <c r="E38" s="29"/>
      <c r="F38" s="29"/>
      <c r="G38" s="78"/>
      <c r="H38" s="57"/>
      <c r="I38" s="90"/>
      <c r="J38" s="32"/>
      <c r="K38" s="32"/>
      <c r="L38" s="58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3"/>
      <c r="AF38" s="5"/>
      <c r="AG38" s="4">
        <f>AG18*(AG20*AG18 + AG20*AG18*AK30*AK30)/(AG18*AG18 + AG20*AG20*AK30*AK30)</f>
        <v>0</v>
      </c>
      <c r="AH38" s="4">
        <f t="shared" ref="AH38:AW38" si="27">AH18*(AH20*AH18 + AH20*AH18*AL30*AL30)/(AH18*AH18 + AH20*AH20*AL30*AL30)</f>
        <v>0</v>
      </c>
      <c r="AI38" s="4">
        <f t="shared" si="27"/>
        <v>0</v>
      </c>
      <c r="AJ38" s="4">
        <f t="shared" si="27"/>
        <v>0</v>
      </c>
      <c r="AK38" s="4">
        <f t="shared" si="27"/>
        <v>0</v>
      </c>
      <c r="AL38" s="4">
        <f t="shared" si="27"/>
        <v>0</v>
      </c>
      <c r="AM38" s="4">
        <f t="shared" si="27"/>
        <v>0</v>
      </c>
      <c r="AN38" s="4">
        <f t="shared" si="27"/>
        <v>0</v>
      </c>
      <c r="AO38" s="4">
        <f t="shared" si="27"/>
        <v>0</v>
      </c>
      <c r="AP38" s="4">
        <f t="shared" si="27"/>
        <v>0</v>
      </c>
      <c r="AQ38" s="4">
        <f t="shared" si="27"/>
        <v>0</v>
      </c>
      <c r="AR38" s="4">
        <f t="shared" si="27"/>
        <v>0</v>
      </c>
      <c r="AS38" s="4">
        <f t="shared" si="27"/>
        <v>0</v>
      </c>
      <c r="AT38" s="4">
        <f t="shared" si="27"/>
        <v>0</v>
      </c>
      <c r="AU38" s="4">
        <f t="shared" si="27"/>
        <v>0</v>
      </c>
      <c r="AV38" s="4">
        <f t="shared" si="27"/>
        <v>0</v>
      </c>
      <c r="AW38" s="4">
        <f t="shared" si="27"/>
        <v>0</v>
      </c>
      <c r="AX38" s="4">
        <f>AX18*(AX20*AX18 + AX20*AX18*BB23*BB23)/(AX18*AX18 + AX20*AX20*BB23*BB23)</f>
        <v>0</v>
      </c>
      <c r="AY38" s="4">
        <f>AY18*(AY20*AY18 + AY20*AY18*BC23*BC23)/(AY18*AY18 + AY20*AY20*BC23*BC23)</f>
        <v>0</v>
      </c>
      <c r="AZ38" s="4">
        <f>AZ18*(AZ20*AZ18 + AZ20*AZ18*BD23*BD23)/(AZ18*AZ18 + AZ20*AZ20*BD23*BD23)</f>
        <v>0</v>
      </c>
      <c r="BA38" s="4">
        <f>BA18*(BA20*BA18 + BA20*BA18*BE23*BE23)/(BA18*BA18 + BA20*BA20*BE23*BE23)</f>
        <v>0</v>
      </c>
    </row>
    <row r="39" spans="2:53" x14ac:dyDescent="0.2">
      <c r="B39" s="34"/>
      <c r="C39" s="51" t="s">
        <v>48</v>
      </c>
      <c r="D39" s="35"/>
      <c r="E39" s="51" t="s">
        <v>49</v>
      </c>
      <c r="F39" s="35"/>
      <c r="G39" s="48"/>
      <c r="H39" s="59"/>
      <c r="I39" s="91"/>
      <c r="J39" s="35"/>
      <c r="K39" s="35"/>
      <c r="L39" s="60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7"/>
      <c r="AG39" s="2">
        <f>AG18*(AG18*AG18*AG10 - AG20*AG20*AG10)/(AG18*AG18 + AG20*AG20*AG10*AG10)</f>
        <v>33.941779976504463</v>
      </c>
      <c r="AH39" s="2">
        <f t="shared" ref="AH39:BA39" si="28">AH18*(AH18*AH18*AH10 - AH20*AH20*AH10)/(AH18*AH18 + AH20*AH20*AH10*AH10)</f>
        <v>35.422495060465195</v>
      </c>
      <c r="AI39" s="2">
        <f t="shared" si="28"/>
        <v>36.906542361128473</v>
      </c>
      <c r="AJ39" s="2">
        <f t="shared" si="28"/>
        <v>38.394069460836704</v>
      </c>
      <c r="AK39" s="2">
        <f t="shared" si="28"/>
        <v>39.885225273514116</v>
      </c>
      <c r="AL39" s="2">
        <f t="shared" si="28"/>
        <v>41.380160106562052</v>
      </c>
      <c r="AM39" s="2">
        <f t="shared" si="28"/>
        <v>42.8790257239094</v>
      </c>
      <c r="AN39" s="2">
        <f t="shared" si="28"/>
        <v>44.381975410276667</v>
      </c>
      <c r="AO39" s="2">
        <f t="shared" si="28"/>
        <v>45.889164036713545</v>
      </c>
      <c r="AP39" s="2">
        <f t="shared" si="28"/>
        <v>47.400748127471545</v>
      </c>
      <c r="AQ39" s="2">
        <f t="shared" si="28"/>
        <v>48.916885928275597</v>
      </c>
      <c r="AR39" s="2">
        <f t="shared" si="28"/>
        <v>50.437737476060263</v>
      </c>
      <c r="AS39" s="2">
        <f t="shared" si="28"/>
        <v>51.963464670238601</v>
      </c>
      <c r="AT39" s="2">
        <f t="shared" si="28"/>
        <v>53.494231345573851</v>
      </c>
      <c r="AU39" s="2">
        <f t="shared" si="28"/>
        <v>55.0302033467268</v>
      </c>
      <c r="AV39" s="2">
        <f t="shared" si="28"/>
        <v>56.571548604553819</v>
      </c>
      <c r="AW39" s="2">
        <f t="shared" si="28"/>
        <v>58.118437214233737</v>
      </c>
      <c r="AX39" s="2">
        <f t="shared" si="28"/>
        <v>59.671041515304175</v>
      </c>
      <c r="AY39" s="2">
        <f t="shared" si="28"/>
        <v>61.229536173690889</v>
      </c>
      <c r="AZ39" s="2">
        <f t="shared" si="28"/>
        <v>62.794098265817546</v>
      </c>
      <c r="BA39" s="2">
        <f t="shared" si="28"/>
        <v>64.364907364885084</v>
      </c>
    </row>
    <row r="40" spans="2:53" x14ac:dyDescent="0.2">
      <c r="B40" s="34"/>
      <c r="C40" s="38"/>
      <c r="D40" s="38"/>
      <c r="E40" s="38"/>
      <c r="F40" s="38"/>
      <c r="G40" s="77"/>
      <c r="H40" s="61"/>
      <c r="I40" s="92"/>
      <c r="J40" s="35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7"/>
    </row>
    <row r="41" spans="2:53" x14ac:dyDescent="0.2">
      <c r="B41" s="34"/>
      <c r="C41" s="38"/>
      <c r="D41" s="38" t="s">
        <v>34</v>
      </c>
      <c r="E41" s="38"/>
      <c r="F41" s="38"/>
      <c r="G41" s="77"/>
      <c r="H41" s="76">
        <v>50</v>
      </c>
      <c r="I41" s="92" t="s">
        <v>14</v>
      </c>
      <c r="J41" s="35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7"/>
    </row>
    <row r="42" spans="2:53" x14ac:dyDescent="0.2">
      <c r="B42" s="34"/>
      <c r="C42" s="38"/>
      <c r="D42" s="38" t="s">
        <v>35</v>
      </c>
      <c r="E42" s="38"/>
      <c r="F42" s="38"/>
      <c r="G42" s="77"/>
      <c r="H42" s="76">
        <v>0</v>
      </c>
      <c r="I42" s="92" t="s">
        <v>14</v>
      </c>
      <c r="J42" s="35"/>
      <c r="K42" s="68"/>
      <c r="L42" s="68" t="s">
        <v>58</v>
      </c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7"/>
    </row>
    <row r="43" spans="2:53" x14ac:dyDescent="0.2">
      <c r="B43" s="34"/>
      <c r="C43" s="38"/>
      <c r="D43" s="38"/>
      <c r="E43" s="38"/>
      <c r="F43" s="38"/>
      <c r="G43" s="77"/>
      <c r="H43" s="61"/>
      <c r="I43" s="92"/>
      <c r="J43" s="35"/>
      <c r="K43" s="68"/>
      <c r="L43" s="68" t="s">
        <v>81</v>
      </c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7"/>
      <c r="AF43" s="23" t="s">
        <v>36</v>
      </c>
      <c r="AG43" s="2">
        <f t="shared" ref="AG43:BA43" si="29">AG18*(AG10*AG10*AG11)/((AG10+AG12)*(AG10+AG12) + AG11*AG11)</f>
        <v>4.6380547028896908</v>
      </c>
      <c r="AH43" s="2">
        <f t="shared" si="29"/>
        <v>5.8943250816507424</v>
      </c>
      <c r="AI43" s="2">
        <f t="shared" si="29"/>
        <v>7.5628298829666551</v>
      </c>
      <c r="AJ43" s="2">
        <f t="shared" si="29"/>
        <v>9.8023992197989198</v>
      </c>
      <c r="AK43" s="2">
        <f t="shared" si="29"/>
        <v>12.830087043671455</v>
      </c>
      <c r="AL43" s="2">
        <f t="shared" si="29"/>
        <v>16.921769212682211</v>
      </c>
      <c r="AM43" s="2">
        <f t="shared" si="29"/>
        <v>22.366578289312077</v>
      </c>
      <c r="AN43" s="2">
        <f t="shared" si="29"/>
        <v>29.29922651215217</v>
      </c>
      <c r="AO43" s="2">
        <f t="shared" si="29"/>
        <v>37.316153279413662</v>
      </c>
      <c r="AP43" s="2">
        <f t="shared" si="29"/>
        <v>44.98836025095558</v>
      </c>
      <c r="AQ43" s="2">
        <f t="shared" si="29"/>
        <v>49.999941481318075</v>
      </c>
      <c r="AR43" s="2">
        <f t="shared" si="29"/>
        <v>50.640242012596566</v>
      </c>
      <c r="AS43" s="2">
        <f t="shared" si="29"/>
        <v>47.287400413852964</v>
      </c>
      <c r="AT43" s="2">
        <f t="shared" si="29"/>
        <v>41.811695953464245</v>
      </c>
      <c r="AU43" s="2">
        <f t="shared" si="29"/>
        <v>35.965019425147844</v>
      </c>
      <c r="AV43" s="2">
        <f t="shared" si="29"/>
        <v>30.685041337246187</v>
      </c>
      <c r="AW43" s="2">
        <f t="shared" si="29"/>
        <v>26.265660597252861</v>
      </c>
      <c r="AX43" s="2">
        <f t="shared" si="29"/>
        <v>22.686332269135146</v>
      </c>
      <c r="AY43" s="2">
        <f t="shared" si="29"/>
        <v>19.820130878998274</v>
      </c>
      <c r="AZ43" s="2">
        <f t="shared" si="29"/>
        <v>17.526382326255209</v>
      </c>
      <c r="BA43" s="2">
        <f t="shared" si="29"/>
        <v>15.682461847282212</v>
      </c>
    </row>
    <row r="44" spans="2:53" x14ac:dyDescent="0.2">
      <c r="B44" s="34"/>
      <c r="C44" s="38"/>
      <c r="D44" s="38" t="s">
        <v>54</v>
      </c>
      <c r="E44" s="38"/>
      <c r="F44" s="38"/>
      <c r="G44" s="77"/>
      <c r="H44" s="97">
        <f>(H32-H41)*(H32-H41)</f>
        <v>3.4244361342486103E-9</v>
      </c>
      <c r="I44" s="92"/>
      <c r="J44" s="35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7"/>
      <c r="AF44" s="23" t="s">
        <v>37</v>
      </c>
      <c r="AG44" s="2">
        <f t="shared" ref="AG44:BA44" si="30">AG18*(AG10*AG11*AG11+AG10*AG10*AG12)/((AG10+AG12)*(AG10+AG12)+AG11*AG11)</f>
        <v>-0.59869021374964104</v>
      </c>
      <c r="AH44" s="2">
        <f t="shared" si="30"/>
        <v>-1.4647793385484833</v>
      </c>
      <c r="AI44" s="2">
        <f t="shared" si="30"/>
        <v>-2.4819180644529903</v>
      </c>
      <c r="AJ44" s="2">
        <f t="shared" si="30"/>
        <v>-3.6567755113157636</v>
      </c>
      <c r="AK44" s="2">
        <f t="shared" si="30"/>
        <v>-4.9689242585118727</v>
      </c>
      <c r="AL44" s="2">
        <f t="shared" si="30"/>
        <v>-6.3359010160239473</v>
      </c>
      <c r="AM44" s="2">
        <f t="shared" si="30"/>
        <v>-7.5492856030246891</v>
      </c>
      <c r="AN44" s="2">
        <f t="shared" si="30"/>
        <v>-8.1833507344439589</v>
      </c>
      <c r="AO44" s="2">
        <f t="shared" si="30"/>
        <v>-7.5448990159567755</v>
      </c>
      <c r="AP44" s="2">
        <f t="shared" si="30"/>
        <v>-4.8768702256533585</v>
      </c>
      <c r="AQ44" s="2">
        <f t="shared" si="30"/>
        <v>7.0829494818177218E-5</v>
      </c>
      <c r="AR44" s="2">
        <f t="shared" si="30"/>
        <v>6.1327369480916722</v>
      </c>
      <c r="AS44" s="2">
        <f t="shared" si="30"/>
        <v>11.96802369040085</v>
      </c>
      <c r="AT44" s="2">
        <f t="shared" si="30"/>
        <v>16.483735661047255</v>
      </c>
      <c r="AU44" s="2">
        <f t="shared" si="30"/>
        <v>19.525144058365854</v>
      </c>
      <c r="AV44" s="2">
        <f t="shared" si="30"/>
        <v>21.401995257627647</v>
      </c>
      <c r="AW44" s="2">
        <f t="shared" si="30"/>
        <v>22.495413038974505</v>
      </c>
      <c r="AX44" s="2">
        <f t="shared" si="30"/>
        <v>23.103335233108059</v>
      </c>
      <c r="AY44" s="2">
        <f t="shared" si="30"/>
        <v>23.424244388897751</v>
      </c>
      <c r="AZ44" s="2">
        <f t="shared" si="30"/>
        <v>23.581613958146473</v>
      </c>
      <c r="BA44" s="2">
        <f t="shared" si="30"/>
        <v>23.650002945191144</v>
      </c>
    </row>
    <row r="45" spans="2:53" x14ac:dyDescent="0.2">
      <c r="B45" s="34"/>
      <c r="C45" s="38"/>
      <c r="D45" s="38" t="s">
        <v>54</v>
      </c>
      <c r="E45" s="38"/>
      <c r="F45" s="38"/>
      <c r="G45" s="77"/>
      <c r="H45" s="97">
        <f>(H33-H42)*(H33-H42)</f>
        <v>5.0168173361981937E-9</v>
      </c>
      <c r="I45" s="92"/>
      <c r="J45" s="35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7"/>
    </row>
    <row r="46" spans="2:53" x14ac:dyDescent="0.2">
      <c r="B46" s="34"/>
      <c r="C46" s="38"/>
      <c r="D46" s="38"/>
      <c r="E46" s="38"/>
      <c r="F46" s="38"/>
      <c r="G46" s="77"/>
      <c r="H46" s="97"/>
      <c r="I46" s="92"/>
      <c r="J46" s="35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7"/>
    </row>
    <row r="47" spans="2:53" x14ac:dyDescent="0.2">
      <c r="B47" s="34"/>
      <c r="C47" s="38"/>
      <c r="D47" s="38" t="s">
        <v>53</v>
      </c>
      <c r="E47" s="38"/>
      <c r="F47" s="38"/>
      <c r="G47" s="77"/>
      <c r="H47" s="98">
        <f>SUM(H44:H46)</f>
        <v>8.4412534704468044E-9</v>
      </c>
      <c r="I47" s="92"/>
      <c r="J47" s="35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7"/>
    </row>
    <row r="48" spans="2:53" x14ac:dyDescent="0.2">
      <c r="B48" s="34"/>
      <c r="C48" s="38"/>
      <c r="D48" s="38"/>
      <c r="E48" s="38"/>
      <c r="F48" s="38"/>
      <c r="G48" s="77"/>
      <c r="H48" s="61"/>
      <c r="I48" s="92"/>
      <c r="J48" s="35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7"/>
    </row>
    <row r="49" spans="2:27" ht="24" thickBot="1" x14ac:dyDescent="0.25">
      <c r="B49" s="42"/>
      <c r="C49" s="43"/>
      <c r="D49" s="43"/>
      <c r="E49" s="43"/>
      <c r="F49" s="43"/>
      <c r="G49" s="87"/>
      <c r="H49" s="65"/>
      <c r="I49" s="93"/>
      <c r="J49" s="43"/>
      <c r="K49" s="43"/>
      <c r="L49" s="66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5"/>
    </row>
    <row r="50" spans="2:27" ht="24" thickTop="1" x14ac:dyDescent="0.2"/>
  </sheetData>
  <sheetProtection sheet="1" objects="1" scenarios="1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3B15-EC08-DD4B-82D5-4D054C2B1C76}">
  <dimension ref="B1:BA65"/>
  <sheetViews>
    <sheetView topLeftCell="A3" zoomScale="140" zoomScaleNormal="140" workbookViewId="0">
      <pane xSplit="30" topLeftCell="AE1" activePane="topRight" state="frozen"/>
      <selection pane="topRight" activeCell="H8" sqref="H8"/>
    </sheetView>
  </sheetViews>
  <sheetFormatPr baseColWidth="10" defaultRowHeight="23" x14ac:dyDescent="0.2"/>
  <cols>
    <col min="1" max="2" width="2.83203125" style="105" customWidth="1"/>
    <col min="3" max="3" width="3.1640625" style="105" customWidth="1"/>
    <col min="4" max="4" width="8.83203125" style="105" customWidth="1"/>
    <col min="5" max="5" width="24.83203125" style="105" customWidth="1"/>
    <col min="6" max="6" width="7.83203125" style="105" customWidth="1"/>
    <col min="7" max="7" width="10.83203125" style="106" customWidth="1"/>
    <col min="8" max="8" width="13" style="107" customWidth="1"/>
    <col min="9" max="9" width="10.83203125" style="108"/>
    <col min="10" max="10" width="4.6640625" style="105" customWidth="1"/>
    <col min="11" max="11" width="2.5" style="105" customWidth="1"/>
    <col min="12" max="12" width="8" style="109" customWidth="1"/>
    <col min="13" max="13" width="13" style="105" customWidth="1"/>
    <col min="14" max="14" width="9.1640625" style="105" customWidth="1"/>
    <col min="15" max="15" width="5.33203125" style="105" customWidth="1"/>
    <col min="16" max="17" width="9.1640625" style="105" customWidth="1"/>
    <col min="18" max="18" width="12.6640625" style="105" customWidth="1"/>
    <col min="19" max="26" width="9.1640625" style="105" customWidth="1"/>
    <col min="27" max="27" width="3.6640625" style="105" customWidth="1"/>
    <col min="28" max="31" width="10.83203125" style="105"/>
    <col min="32" max="32" width="15.1640625" style="109" customWidth="1"/>
    <col min="33" max="53" width="17" style="105" customWidth="1"/>
    <col min="54" max="16384" width="10.83203125" style="105"/>
  </cols>
  <sheetData>
    <row r="1" spans="2:32" ht="15" customHeight="1" thickBot="1" x14ac:dyDescent="0.25"/>
    <row r="2" spans="2:32" ht="24" thickTop="1" x14ac:dyDescent="0.2">
      <c r="B2" s="110"/>
      <c r="C2" s="111"/>
      <c r="D2" s="111"/>
      <c r="E2" s="111"/>
      <c r="F2" s="111"/>
      <c r="G2" s="112"/>
      <c r="H2" s="113"/>
      <c r="I2" s="114"/>
      <c r="J2" s="111"/>
      <c r="K2" s="111"/>
      <c r="L2" s="115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6"/>
    </row>
    <row r="3" spans="2:32" s="125" customFormat="1" ht="28" x14ac:dyDescent="0.2">
      <c r="B3" s="117"/>
      <c r="C3" s="118" t="s">
        <v>96</v>
      </c>
      <c r="D3" s="118"/>
      <c r="E3" s="118"/>
      <c r="F3" s="118"/>
      <c r="G3" s="119"/>
      <c r="H3" s="120"/>
      <c r="I3" s="121"/>
      <c r="J3" s="122"/>
      <c r="K3" s="122"/>
      <c r="L3" s="123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4"/>
      <c r="AF3" s="126"/>
    </row>
    <row r="4" spans="2:32" x14ac:dyDescent="0.2">
      <c r="B4" s="127"/>
      <c r="C4" s="128" t="s">
        <v>48</v>
      </c>
      <c r="D4" s="129"/>
      <c r="E4" s="129"/>
      <c r="F4" s="129"/>
      <c r="G4" s="130"/>
      <c r="H4" s="131"/>
      <c r="I4" s="132"/>
      <c r="J4" s="129"/>
      <c r="K4" s="129"/>
      <c r="L4" s="133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34"/>
    </row>
    <row r="5" spans="2:32" x14ac:dyDescent="0.2">
      <c r="B5" s="127"/>
      <c r="C5" s="135"/>
      <c r="D5" s="135"/>
      <c r="E5" s="135"/>
      <c r="F5" s="135"/>
      <c r="G5" s="136"/>
      <c r="H5" s="137"/>
      <c r="I5" s="138"/>
      <c r="J5" s="129"/>
      <c r="K5" s="139"/>
      <c r="L5" s="140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4"/>
    </row>
    <row r="6" spans="2:32" x14ac:dyDescent="0.2">
      <c r="B6" s="127"/>
      <c r="C6" s="135"/>
      <c r="D6" s="135" t="s">
        <v>8</v>
      </c>
      <c r="E6" s="135"/>
      <c r="F6" s="135"/>
      <c r="G6" s="136" t="s">
        <v>75</v>
      </c>
      <c r="H6" s="72">
        <v>2400</v>
      </c>
      <c r="I6" s="138" t="s">
        <v>12</v>
      </c>
      <c r="J6" s="129"/>
      <c r="K6" s="139"/>
      <c r="L6" s="140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4"/>
    </row>
    <row r="7" spans="2:32" x14ac:dyDescent="0.2">
      <c r="B7" s="127"/>
      <c r="C7" s="135"/>
      <c r="D7" s="135" t="s">
        <v>98</v>
      </c>
      <c r="E7" s="135"/>
      <c r="F7" s="135"/>
      <c r="G7" s="136" t="s">
        <v>87</v>
      </c>
      <c r="H7" s="73">
        <v>1</v>
      </c>
      <c r="I7" s="138" t="s">
        <v>29</v>
      </c>
      <c r="J7" s="129"/>
      <c r="K7" s="139"/>
      <c r="L7" s="140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4"/>
    </row>
    <row r="8" spans="2:32" x14ac:dyDescent="0.2">
      <c r="B8" s="127"/>
      <c r="C8" s="135"/>
      <c r="D8" s="135" t="s">
        <v>27</v>
      </c>
      <c r="E8" s="135"/>
      <c r="F8" s="135"/>
      <c r="G8" s="136" t="s">
        <v>102</v>
      </c>
      <c r="H8" s="74">
        <v>3.1845122061650297</v>
      </c>
      <c r="I8" s="138" t="s">
        <v>29</v>
      </c>
      <c r="J8" s="129"/>
      <c r="K8" s="139"/>
      <c r="L8" s="140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4"/>
    </row>
    <row r="9" spans="2:32" x14ac:dyDescent="0.2">
      <c r="B9" s="127"/>
      <c r="C9" s="135"/>
      <c r="D9" s="135" t="s">
        <v>106</v>
      </c>
      <c r="E9" s="135"/>
      <c r="F9" s="135"/>
      <c r="G9" s="141" t="s">
        <v>107</v>
      </c>
      <c r="H9" s="74">
        <v>12.595201574590932</v>
      </c>
      <c r="I9" s="138" t="s">
        <v>108</v>
      </c>
      <c r="J9" s="129"/>
      <c r="K9" s="139"/>
      <c r="L9" s="140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4"/>
    </row>
    <row r="10" spans="2:32" ht="27" x14ac:dyDescent="0.2">
      <c r="B10" s="127"/>
      <c r="C10" s="135"/>
      <c r="D10" s="135" t="s">
        <v>42</v>
      </c>
      <c r="E10" s="135"/>
      <c r="F10" s="135"/>
      <c r="G10" s="141" t="s">
        <v>63</v>
      </c>
      <c r="H10" s="74">
        <v>1</v>
      </c>
      <c r="I10" s="138"/>
      <c r="J10" s="129"/>
      <c r="K10" s="139"/>
      <c r="L10" s="140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4"/>
    </row>
    <row r="11" spans="2:32" x14ac:dyDescent="0.2">
      <c r="B11" s="127"/>
      <c r="C11" s="135"/>
      <c r="D11" s="135"/>
      <c r="E11" s="135"/>
      <c r="F11" s="135"/>
      <c r="G11" s="136"/>
      <c r="H11" s="137"/>
      <c r="I11" s="138"/>
      <c r="J11" s="129"/>
      <c r="K11" s="139"/>
      <c r="L11" s="140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4"/>
    </row>
    <row r="12" spans="2:32" x14ac:dyDescent="0.2">
      <c r="B12" s="127"/>
      <c r="C12" s="128" t="s">
        <v>49</v>
      </c>
      <c r="D12" s="129"/>
      <c r="E12" s="129"/>
      <c r="F12" s="129"/>
      <c r="G12" s="130"/>
      <c r="H12" s="131"/>
      <c r="I12" s="132"/>
      <c r="J12" s="129"/>
      <c r="K12" s="139"/>
      <c r="L12" s="140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4"/>
    </row>
    <row r="13" spans="2:32" x14ac:dyDescent="0.2">
      <c r="B13" s="127"/>
      <c r="C13" s="135"/>
      <c r="D13" s="135"/>
      <c r="E13" s="135"/>
      <c r="F13" s="135"/>
      <c r="G13" s="136"/>
      <c r="H13" s="137"/>
      <c r="I13" s="138"/>
      <c r="J13" s="129"/>
      <c r="K13" s="139"/>
      <c r="L13" s="140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4"/>
    </row>
    <row r="14" spans="2:32" x14ac:dyDescent="0.2">
      <c r="B14" s="127"/>
      <c r="C14" s="135"/>
      <c r="D14" s="135" t="s">
        <v>110</v>
      </c>
      <c r="E14" s="135"/>
      <c r="F14" s="135"/>
      <c r="G14" s="136" t="s">
        <v>109</v>
      </c>
      <c r="H14" s="137">
        <f>H31*1000 / SQRT(H10)</f>
        <v>125</v>
      </c>
      <c r="I14" s="138" t="s">
        <v>29</v>
      </c>
      <c r="J14" s="129"/>
      <c r="K14" s="139"/>
      <c r="L14" s="140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4"/>
    </row>
    <row r="15" spans="2:32" x14ac:dyDescent="0.2">
      <c r="B15" s="127"/>
      <c r="C15" s="135"/>
      <c r="D15" s="135" t="s">
        <v>99</v>
      </c>
      <c r="E15" s="135"/>
      <c r="F15" s="135"/>
      <c r="G15" s="136" t="s">
        <v>97</v>
      </c>
      <c r="H15" s="137">
        <f>H14/PI()</f>
        <v>39.788735772973837</v>
      </c>
      <c r="I15" s="138" t="s">
        <v>29</v>
      </c>
      <c r="J15" s="129"/>
      <c r="K15" s="139"/>
      <c r="L15" s="142" t="s">
        <v>103</v>
      </c>
      <c r="M15" s="142">
        <v>541.93345087277214</v>
      </c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4"/>
    </row>
    <row r="16" spans="2:32" ht="27" x14ac:dyDescent="0.2">
      <c r="B16" s="127"/>
      <c r="C16" s="135"/>
      <c r="D16" s="135" t="s">
        <v>101</v>
      </c>
      <c r="E16" s="135"/>
      <c r="F16" s="135"/>
      <c r="G16" s="136" t="s">
        <v>71</v>
      </c>
      <c r="H16" s="137">
        <f>M$15 *  POWER(M17, -M$16)</f>
        <v>1051.5014072305869</v>
      </c>
      <c r="I16" s="138" t="s">
        <v>14</v>
      </c>
      <c r="J16" s="129"/>
      <c r="K16" s="139"/>
      <c r="L16" s="142" t="s">
        <v>104</v>
      </c>
      <c r="M16" s="142">
        <v>0.17994191272575752</v>
      </c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4"/>
    </row>
    <row r="17" spans="2:53" ht="27" x14ac:dyDescent="0.2">
      <c r="B17" s="127"/>
      <c r="C17" s="135"/>
      <c r="D17" s="135" t="s">
        <v>100</v>
      </c>
      <c r="E17" s="135"/>
      <c r="F17" s="135"/>
      <c r="G17" s="136" t="s">
        <v>59</v>
      </c>
      <c r="H17" s="137">
        <f>120/ SQRT(H10)* ACOSH(H8/H7)</f>
        <v>219.09950171189641</v>
      </c>
      <c r="I17" s="138" t="s">
        <v>14</v>
      </c>
      <c r="J17" s="129"/>
      <c r="K17" s="139"/>
      <c r="L17" s="142" t="s">
        <v>105</v>
      </c>
      <c r="M17" s="142">
        <f>H7/H15</f>
        <v>2.5132741228718343E-2</v>
      </c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4"/>
    </row>
    <row r="18" spans="2:53" x14ac:dyDescent="0.2">
      <c r="B18" s="127"/>
      <c r="C18" s="135"/>
      <c r="D18" s="135"/>
      <c r="E18" s="135"/>
      <c r="F18" s="135"/>
      <c r="G18" s="136"/>
      <c r="H18" s="137"/>
      <c r="I18" s="138"/>
      <c r="J18" s="129"/>
      <c r="K18" s="139"/>
      <c r="L18" s="140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4"/>
    </row>
    <row r="19" spans="2:53" x14ac:dyDescent="0.2">
      <c r="B19" s="127"/>
      <c r="C19" s="128" t="s">
        <v>49</v>
      </c>
      <c r="D19" s="129"/>
      <c r="E19" s="129"/>
      <c r="F19" s="129"/>
      <c r="G19" s="130"/>
      <c r="H19" s="131"/>
      <c r="I19" s="132"/>
      <c r="J19" s="129"/>
      <c r="K19" s="129"/>
      <c r="L19" s="133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34"/>
    </row>
    <row r="20" spans="2:53" x14ac:dyDescent="0.2">
      <c r="B20" s="127"/>
      <c r="C20" s="135"/>
      <c r="D20" s="135"/>
      <c r="E20" s="135"/>
      <c r="F20" s="135"/>
      <c r="G20" s="136"/>
      <c r="H20" s="137"/>
      <c r="I20" s="138"/>
      <c r="J20" s="129"/>
      <c r="K20" s="139"/>
      <c r="L20" s="140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4"/>
    </row>
    <row r="21" spans="2:53" x14ac:dyDescent="0.2">
      <c r="B21" s="127"/>
      <c r="C21" s="135"/>
      <c r="D21" s="135" t="s">
        <v>57</v>
      </c>
      <c r="E21" s="135"/>
      <c r="F21" s="135"/>
      <c r="G21" s="136"/>
      <c r="H21" s="74">
        <v>3</v>
      </c>
      <c r="I21" s="138" t="s">
        <v>31</v>
      </c>
      <c r="J21" s="129"/>
      <c r="K21" s="139"/>
      <c r="L21" s="140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4"/>
    </row>
    <row r="22" spans="2:53" x14ac:dyDescent="0.2">
      <c r="B22" s="127"/>
      <c r="C22" s="135"/>
      <c r="D22" s="135" t="s">
        <v>8</v>
      </c>
      <c r="E22" s="135"/>
      <c r="F22" s="135"/>
      <c r="G22" s="136" t="s">
        <v>75</v>
      </c>
      <c r="H22" s="103">
        <f>H6</f>
        <v>2400</v>
      </c>
      <c r="I22" s="138" t="s">
        <v>12</v>
      </c>
      <c r="J22" s="129"/>
      <c r="K22" s="139"/>
      <c r="L22" s="140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4"/>
    </row>
    <row r="23" spans="2:53" ht="27" x14ac:dyDescent="0.2">
      <c r="B23" s="127"/>
      <c r="C23" s="135"/>
      <c r="D23" s="135" t="s">
        <v>5</v>
      </c>
      <c r="E23" s="135"/>
      <c r="F23" s="135"/>
      <c r="G23" s="136" t="s">
        <v>59</v>
      </c>
      <c r="H23" s="103">
        <f>H17</f>
        <v>219.09950171189641</v>
      </c>
      <c r="I23" s="138" t="s">
        <v>14</v>
      </c>
      <c r="J23" s="129"/>
      <c r="K23" s="139"/>
      <c r="L23" s="140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4"/>
    </row>
    <row r="24" spans="2:53" ht="27" x14ac:dyDescent="0.2">
      <c r="B24" s="127"/>
      <c r="C24" s="135"/>
      <c r="D24" s="135" t="s">
        <v>6</v>
      </c>
      <c r="E24" s="135"/>
      <c r="F24" s="135"/>
      <c r="G24" s="136" t="s">
        <v>71</v>
      </c>
      <c r="H24" s="103">
        <f>H16</f>
        <v>1051.5014072305869</v>
      </c>
      <c r="I24" s="138" t="s">
        <v>14</v>
      </c>
      <c r="J24" s="129"/>
      <c r="K24" s="139"/>
      <c r="L24" s="140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4"/>
      <c r="AF24" s="109" t="s">
        <v>16</v>
      </c>
      <c r="AG24" s="105">
        <f>TAN(2 * PI() * AG45)</f>
        <v>1.3856857264883673</v>
      </c>
      <c r="AH24" s="105">
        <f t="shared" ref="AH24:BA24" si="0">TAN(2 * PI() * AH45)</f>
        <v>1.5111505118706694</v>
      </c>
      <c r="AI24" s="105">
        <f t="shared" si="0"/>
        <v>1.6529958084329963</v>
      </c>
      <c r="AJ24" s="105">
        <f t="shared" si="0"/>
        <v>1.815223438090469</v>
      </c>
      <c r="AK24" s="105">
        <f t="shared" si="0"/>
        <v>2.0032318002975966</v>
      </c>
      <c r="AL24" s="105">
        <f t="shared" si="0"/>
        <v>2.2244860279492569</v>
      </c>
      <c r="AM24" s="105">
        <f t="shared" si="0"/>
        <v>2.4896147820426093</v>
      </c>
      <c r="AN24" s="105">
        <f t="shared" si="0"/>
        <v>2.8142882095175592</v>
      </c>
      <c r="AO24" s="105">
        <f t="shared" si="0"/>
        <v>3.2226136212263112</v>
      </c>
      <c r="AP24" s="105">
        <f t="shared" si="0"/>
        <v>3.7537027095737745</v>
      </c>
      <c r="AQ24" s="105">
        <f t="shared" si="0"/>
        <v>4.4755034074910229</v>
      </c>
      <c r="AR24" s="105">
        <f t="shared" si="0"/>
        <v>5.5173911975917713</v>
      </c>
      <c r="AS24" s="105">
        <f t="shared" si="0"/>
        <v>7.1598720719209084</v>
      </c>
      <c r="AT24" s="105">
        <f t="shared" si="0"/>
        <v>10.146326671886314</v>
      </c>
      <c r="AU24" s="105">
        <f t="shared" si="0"/>
        <v>17.308325573838761</v>
      </c>
      <c r="AV24" s="105">
        <f t="shared" si="0"/>
        <v>58.193193791857155</v>
      </c>
      <c r="AW24" s="105">
        <f t="shared" si="0"/>
        <v>-42.82499098890522</v>
      </c>
      <c r="AX24" s="105">
        <f t="shared" si="0"/>
        <v>-15.634116301072856</v>
      </c>
      <c r="AY24" s="105">
        <f t="shared" si="0"/>
        <v>-9.543283768338263</v>
      </c>
      <c r="AZ24" s="105">
        <f t="shared" si="0"/>
        <v>-6.8513236154388695</v>
      </c>
      <c r="BA24" s="105">
        <f t="shared" si="0"/>
        <v>-5.3299525507540277</v>
      </c>
    </row>
    <row r="25" spans="2:53" ht="27" x14ac:dyDescent="0.2">
      <c r="B25" s="127"/>
      <c r="C25" s="135"/>
      <c r="D25" s="135" t="s">
        <v>26</v>
      </c>
      <c r="E25" s="135"/>
      <c r="F25" s="135"/>
      <c r="G25" s="136" t="s">
        <v>72</v>
      </c>
      <c r="H25" s="103">
        <v>0</v>
      </c>
      <c r="I25" s="138" t="s">
        <v>14</v>
      </c>
      <c r="J25" s="129"/>
      <c r="K25" s="139"/>
      <c r="L25" s="140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4"/>
      <c r="AF25" s="109" t="s">
        <v>17</v>
      </c>
      <c r="AG25" s="105">
        <f>TAN(2 * PI() *AG52)</f>
        <v>0.15510559513272335</v>
      </c>
      <c r="AH25" s="105">
        <f t="shared" ref="AH25:BA25" si="1">TAN(2 * PI() *AH52)</f>
        <v>0.16186609734481713</v>
      </c>
      <c r="AI25" s="105">
        <f t="shared" si="1"/>
        <v>0.168641048588697</v>
      </c>
      <c r="AJ25" s="105">
        <f t="shared" si="1"/>
        <v>0.17543108648153261</v>
      </c>
      <c r="AK25" s="105">
        <f t="shared" si="1"/>
        <v>0.18223685411413471</v>
      </c>
      <c r="AL25" s="105">
        <f t="shared" si="1"/>
        <v>0.18905900030346101</v>
      </c>
      <c r="AM25" s="105">
        <f t="shared" si="1"/>
        <v>0.19589817984961985</v>
      </c>
      <c r="AN25" s="105">
        <f t="shared" si="1"/>
        <v>0.20275505379759462</v>
      </c>
      <c r="AO25" s="105">
        <f t="shared" si="1"/>
        <v>0.20963028970391934</v>
      </c>
      <c r="AP25" s="105">
        <f t="shared" si="1"/>
        <v>0.21652456190854191</v>
      </c>
      <c r="AQ25" s="105">
        <f t="shared" si="1"/>
        <v>0.22343855181211919</v>
      </c>
      <c r="AR25" s="105">
        <f t="shared" si="1"/>
        <v>0.23037294815899587</v>
      </c>
      <c r="AS25" s="105">
        <f t="shared" si="1"/>
        <v>0.23732844732612576</v>
      </c>
      <c r="AT25" s="105">
        <f t="shared" si="1"/>
        <v>0.24430575361820492</v>
      </c>
      <c r="AU25" s="105">
        <f t="shared" si="1"/>
        <v>0.25130557956929267</v>
      </c>
      <c r="AV25" s="105">
        <f t="shared" si="1"/>
        <v>0.25832864625120694</v>
      </c>
      <c r="AW25" s="105">
        <f t="shared" si="1"/>
        <v>0.26537568358899044</v>
      </c>
      <c r="AX25" s="105">
        <f t="shared" si="1"/>
        <v>0.2724474306837531</v>
      </c>
      <c r="AY25" s="105">
        <f t="shared" si="1"/>
        <v>0.27954463614320957</v>
      </c>
      <c r="AZ25" s="105">
        <f t="shared" si="1"/>
        <v>0.28666805842023796</v>
      </c>
      <c r="BA25" s="105">
        <f t="shared" si="1"/>
        <v>0.29381846615980389</v>
      </c>
    </row>
    <row r="26" spans="2:53" x14ac:dyDescent="0.2">
      <c r="B26" s="127"/>
      <c r="C26" s="135"/>
      <c r="D26" s="135" t="s">
        <v>23</v>
      </c>
      <c r="E26" s="135"/>
      <c r="F26" s="135"/>
      <c r="G26" s="136" t="s">
        <v>73</v>
      </c>
      <c r="H26" s="104">
        <f>H31/4</f>
        <v>3.125E-2</v>
      </c>
      <c r="I26" s="138" t="s">
        <v>13</v>
      </c>
      <c r="J26" s="129"/>
      <c r="K26" s="139"/>
      <c r="L26" s="140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4"/>
      <c r="AF26" s="109" t="s">
        <v>20</v>
      </c>
      <c r="AG26" s="105">
        <f>AG46/AG33</f>
        <v>0.30987940385609147</v>
      </c>
      <c r="AH26" s="105">
        <f t="shared" ref="AH26:BA26" si="2">AH46/AH33</f>
        <v>0.2940244687102555</v>
      </c>
      <c r="AI26" s="105">
        <f t="shared" si="2"/>
        <v>0.28017477065038382</v>
      </c>
      <c r="AJ26" s="105">
        <f t="shared" si="2"/>
        <v>0.26807297092624688</v>
      </c>
      <c r="AK26" s="105">
        <f t="shared" si="2"/>
        <v>0.25750631334689306</v>
      </c>
      <c r="AL26" s="105">
        <f t="shared" si="2"/>
        <v>0.24829837584083098</v>
      </c>
      <c r="AM26" s="105">
        <f t="shared" si="2"/>
        <v>0.24030260070582921</v>
      </c>
      <c r="AN26" s="105">
        <f t="shared" si="2"/>
        <v>0.2333971962651</v>
      </c>
      <c r="AO26" s="105">
        <f t="shared" si="2"/>
        <v>0.22748110511494163</v>
      </c>
      <c r="AP26" s="105">
        <f t="shared" si="2"/>
        <v>0.22247080963982246</v>
      </c>
      <c r="AQ26" s="105">
        <f t="shared" si="2"/>
        <v>0.2182978015420422</v>
      </c>
      <c r="AR26" s="105">
        <f t="shared" si="2"/>
        <v>0.2149065841628223</v>
      </c>
      <c r="AS26" s="105">
        <f t="shared" si="2"/>
        <v>0.21225310821201024</v>
      </c>
      <c r="AT26" s="105">
        <f t="shared" si="2"/>
        <v>0.21030356595618413</v>
      </c>
      <c r="AU26" s="105">
        <f t="shared" si="2"/>
        <v>0.20903348796999358</v>
      </c>
      <c r="AV26" s="105">
        <f t="shared" si="2"/>
        <v>0.20842710173607537</v>
      </c>
      <c r="AW26" s="105">
        <f t="shared" si="2"/>
        <v>0.20847692382010857</v>
      </c>
      <c r="AX26" s="105">
        <f t="shared" si="2"/>
        <v>0.20918356793223453</v>
      </c>
      <c r="AY26" s="105">
        <f t="shared" si="2"/>
        <v>0.21055576062979275</v>
      </c>
      <c r="AZ26" s="105">
        <f t="shared" si="2"/>
        <v>0.21261056533395922</v>
      </c>
      <c r="BA26" s="105">
        <f t="shared" si="2"/>
        <v>0.21537382429328489</v>
      </c>
    </row>
    <row r="27" spans="2:53" ht="27" x14ac:dyDescent="0.2">
      <c r="B27" s="127"/>
      <c r="C27" s="135"/>
      <c r="D27" s="135" t="s">
        <v>22</v>
      </c>
      <c r="E27" s="135"/>
      <c r="F27" s="135"/>
      <c r="G27" s="136" t="s">
        <v>74</v>
      </c>
      <c r="H27" s="104">
        <f>H31 *H9/360</f>
        <v>4.373333880066296E-3</v>
      </c>
      <c r="I27" s="138" t="s">
        <v>13</v>
      </c>
      <c r="J27" s="129"/>
      <c r="K27" s="139"/>
      <c r="L27" s="140"/>
      <c r="M27" s="139"/>
      <c r="N27" s="143">
        <f>H47</f>
        <v>49.999756050370578</v>
      </c>
      <c r="O27" s="144" t="s">
        <v>66</v>
      </c>
      <c r="P27" s="145">
        <f>H48</f>
        <v>3.9989901361423535E-5</v>
      </c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4"/>
      <c r="AF27" s="109" t="s">
        <v>21</v>
      </c>
      <c r="AG27" s="105">
        <f>AG47/AG33</f>
        <v>-0.67506719229893797</v>
      </c>
      <c r="AH27" s="105">
        <f t="shared" ref="AH27:BA27" si="3">AH47/AH33</f>
        <v>-0.62120525414842243</v>
      </c>
      <c r="AI27" s="105">
        <f t="shared" si="3"/>
        <v>-0.56964480505212811</v>
      </c>
      <c r="AJ27" s="105">
        <f t="shared" si="3"/>
        <v>-0.52012445740391777</v>
      </c>
      <c r="AK27" s="105">
        <f t="shared" si="3"/>
        <v>-0.47240856577211143</v>
      </c>
      <c r="AL27" s="105">
        <f t="shared" si="3"/>
        <v>-0.42628386581964861</v>
      </c>
      <c r="AM27" s="105">
        <f t="shared" si="3"/>
        <v>-0.38155644637535147</v>
      </c>
      <c r="AN27" s="105">
        <f t="shared" si="3"/>
        <v>-0.33804904304372418</v>
      </c>
      <c r="AO27" s="105">
        <f t="shared" si="3"/>
        <v>-0.29559862694244565</v>
      </c>
      <c r="AP27" s="105">
        <f t="shared" si="3"/>
        <v>-0.25405425571875212</v>
      </c>
      <c r="AQ27" s="105">
        <f t="shared" si="3"/>
        <v>-0.21327515220786319</v>
      </c>
      <c r="AR27" s="105">
        <f t="shared" si="3"/>
        <v>-0.17312897676468486</v>
      </c>
      <c r="AS27" s="105">
        <f t="shared" si="3"/>
        <v>-0.13349026113497228</v>
      </c>
      <c r="AT27" s="105">
        <f t="shared" si="3"/>
        <v>-9.4238973984489466E-2</v>
      </c>
      <c r="AU27" s="105">
        <f t="shared" si="3"/>
        <v>-5.5259190446204011E-2</v>
      </c>
      <c r="AV27" s="105">
        <f t="shared" si="3"/>
        <v>-1.6437840037544279E-2</v>
      </c>
      <c r="AW27" s="105">
        <f t="shared" si="3"/>
        <v>2.2336491086058195E-2</v>
      </c>
      <c r="AX27" s="105">
        <f t="shared" si="3"/>
        <v>6.1174726404321728E-2</v>
      </c>
      <c r="AY27" s="105">
        <f t="shared" si="3"/>
        <v>0.10018845599885637</v>
      </c>
      <c r="AZ27" s="105">
        <f t="shared" si="3"/>
        <v>0.1394911061721493</v>
      </c>
      <c r="BA27" s="105">
        <f t="shared" si="3"/>
        <v>0.17919914396028622</v>
      </c>
    </row>
    <row r="28" spans="2:53" x14ac:dyDescent="0.2">
      <c r="B28" s="127"/>
      <c r="C28" s="135"/>
      <c r="D28" s="135"/>
      <c r="E28" s="135"/>
      <c r="F28" s="135"/>
      <c r="G28" s="136"/>
      <c r="H28" s="137"/>
      <c r="I28" s="138"/>
      <c r="J28" s="129"/>
      <c r="K28" s="139"/>
      <c r="L28" s="140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4"/>
    </row>
    <row r="29" spans="2:53" x14ac:dyDescent="0.2">
      <c r="B29" s="127"/>
      <c r="C29" s="128" t="s">
        <v>49</v>
      </c>
      <c r="D29" s="129"/>
      <c r="E29" s="129"/>
      <c r="F29" s="129"/>
      <c r="G29" s="130"/>
      <c r="H29" s="131"/>
      <c r="I29" s="132"/>
      <c r="J29" s="129"/>
      <c r="K29" s="129"/>
      <c r="L29" s="133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34"/>
      <c r="AQ29" s="105" t="s">
        <v>30</v>
      </c>
    </row>
    <row r="30" spans="2:53" x14ac:dyDescent="0.2">
      <c r="B30" s="127"/>
      <c r="C30" s="135"/>
      <c r="D30" s="135"/>
      <c r="E30" s="135"/>
      <c r="F30" s="135"/>
      <c r="G30" s="136"/>
      <c r="H30" s="137"/>
      <c r="I30" s="138"/>
      <c r="J30" s="129"/>
      <c r="K30" s="139"/>
      <c r="L30" s="140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4"/>
      <c r="AQ30" s="105">
        <f>H21</f>
        <v>3</v>
      </c>
    </row>
    <row r="31" spans="2:53" x14ac:dyDescent="0.2">
      <c r="B31" s="127"/>
      <c r="C31" s="135"/>
      <c r="D31" s="135" t="s">
        <v>9</v>
      </c>
      <c r="E31" s="135"/>
      <c r="F31" s="135"/>
      <c r="G31" s="136" t="s">
        <v>15</v>
      </c>
      <c r="H31" s="104">
        <f>300/H22</f>
        <v>0.125</v>
      </c>
      <c r="I31" s="138" t="s">
        <v>13</v>
      </c>
      <c r="J31" s="129"/>
      <c r="K31" s="139"/>
      <c r="L31" s="142" t="s">
        <v>16</v>
      </c>
      <c r="M31" s="142">
        <f>TAN(2 * PI() * H36)</f>
        <v>4.4755034074910229</v>
      </c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4"/>
      <c r="AF31" s="109" t="s">
        <v>33</v>
      </c>
      <c r="AG31" s="105">
        <f t="shared" ref="AG31:AO31" si="4">AH31-$AQ30</f>
        <v>-30</v>
      </c>
      <c r="AH31" s="105">
        <f t="shared" si="4"/>
        <v>-27</v>
      </c>
      <c r="AI31" s="105">
        <f t="shared" si="4"/>
        <v>-24</v>
      </c>
      <c r="AJ31" s="105">
        <f t="shared" si="4"/>
        <v>-21</v>
      </c>
      <c r="AK31" s="105">
        <f t="shared" si="4"/>
        <v>-18</v>
      </c>
      <c r="AL31" s="105">
        <f t="shared" si="4"/>
        <v>-15</v>
      </c>
      <c r="AM31" s="105">
        <f t="shared" si="4"/>
        <v>-12</v>
      </c>
      <c r="AN31" s="105">
        <f t="shared" si="4"/>
        <v>-9</v>
      </c>
      <c r="AO31" s="105">
        <f t="shared" si="4"/>
        <v>-6</v>
      </c>
      <c r="AP31" s="105">
        <f>-1*$AQ30</f>
        <v>-3</v>
      </c>
      <c r="AQ31" s="105">
        <v>0</v>
      </c>
      <c r="AR31" s="105">
        <f>AQ30</f>
        <v>3</v>
      </c>
      <c r="AS31" s="105">
        <f t="shared" ref="AS31:BA31" si="5">AR31+$AQ30</f>
        <v>6</v>
      </c>
      <c r="AT31" s="105">
        <f t="shared" si="5"/>
        <v>9</v>
      </c>
      <c r="AU31" s="105">
        <f t="shared" si="5"/>
        <v>12</v>
      </c>
      <c r="AV31" s="105">
        <f t="shared" si="5"/>
        <v>15</v>
      </c>
      <c r="AW31" s="105">
        <f t="shared" si="5"/>
        <v>18</v>
      </c>
      <c r="AX31" s="105">
        <f t="shared" si="5"/>
        <v>21</v>
      </c>
      <c r="AY31" s="105">
        <f t="shared" si="5"/>
        <v>24</v>
      </c>
      <c r="AZ31" s="105">
        <f t="shared" si="5"/>
        <v>27</v>
      </c>
      <c r="BA31" s="105">
        <f t="shared" si="5"/>
        <v>30</v>
      </c>
    </row>
    <row r="32" spans="2:53" x14ac:dyDescent="0.2">
      <c r="B32" s="127"/>
      <c r="C32" s="135"/>
      <c r="D32" s="135" t="s">
        <v>25</v>
      </c>
      <c r="E32" s="135"/>
      <c r="F32" s="135"/>
      <c r="G32" s="136" t="s">
        <v>15</v>
      </c>
      <c r="H32" s="104">
        <f>H42+H36</f>
        <v>0.25</v>
      </c>
      <c r="I32" s="138"/>
      <c r="J32" s="129"/>
      <c r="K32" s="139"/>
      <c r="L32" s="142" t="s">
        <v>17</v>
      </c>
      <c r="M32" s="142">
        <f>TAN(2 * PI() * H42)</f>
        <v>0.22343855181211919</v>
      </c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4"/>
      <c r="AG32" s="105">
        <f t="shared" ref="AG32:AP32" si="6">$AQ32 + AG31*$AQ32/100</f>
        <v>1680</v>
      </c>
      <c r="AH32" s="105">
        <f t="shared" si="6"/>
        <v>1752</v>
      </c>
      <c r="AI32" s="105">
        <f t="shared" si="6"/>
        <v>1824</v>
      </c>
      <c r="AJ32" s="105">
        <f t="shared" si="6"/>
        <v>1896</v>
      </c>
      <c r="AK32" s="105">
        <f t="shared" si="6"/>
        <v>1968</v>
      </c>
      <c r="AL32" s="105">
        <f t="shared" si="6"/>
        <v>2040</v>
      </c>
      <c r="AM32" s="105">
        <f t="shared" si="6"/>
        <v>2112</v>
      </c>
      <c r="AN32" s="105">
        <f t="shared" si="6"/>
        <v>2184</v>
      </c>
      <c r="AO32" s="105">
        <f t="shared" si="6"/>
        <v>2256</v>
      </c>
      <c r="AP32" s="105">
        <f t="shared" si="6"/>
        <v>2328</v>
      </c>
      <c r="AQ32" s="105">
        <f t="shared" ref="AQ32:BA37" si="7">$H22</f>
        <v>2400</v>
      </c>
      <c r="AR32" s="105">
        <f t="shared" ref="AR32:BA32" si="8">$AQ32 + AR31*$AQ32/100</f>
        <v>2472</v>
      </c>
      <c r="AS32" s="105">
        <f t="shared" si="8"/>
        <v>2544</v>
      </c>
      <c r="AT32" s="105">
        <f t="shared" si="8"/>
        <v>2616</v>
      </c>
      <c r="AU32" s="105">
        <f t="shared" si="8"/>
        <v>2688</v>
      </c>
      <c r="AV32" s="105">
        <f t="shared" si="8"/>
        <v>2760</v>
      </c>
      <c r="AW32" s="105">
        <f t="shared" si="8"/>
        <v>2832</v>
      </c>
      <c r="AX32" s="105">
        <f t="shared" si="8"/>
        <v>2904</v>
      </c>
      <c r="AY32" s="105">
        <f t="shared" si="8"/>
        <v>2976</v>
      </c>
      <c r="AZ32" s="105">
        <f t="shared" si="8"/>
        <v>3048</v>
      </c>
      <c r="BA32" s="105">
        <f t="shared" si="8"/>
        <v>3120</v>
      </c>
    </row>
    <row r="33" spans="2:53" x14ac:dyDescent="0.2">
      <c r="B33" s="127"/>
      <c r="C33" s="135"/>
      <c r="D33" s="135"/>
      <c r="E33" s="135"/>
      <c r="F33" s="135"/>
      <c r="G33" s="136"/>
      <c r="H33" s="137"/>
      <c r="I33" s="138"/>
      <c r="J33" s="129"/>
      <c r="K33" s="139"/>
      <c r="L33" s="142" t="s">
        <v>20</v>
      </c>
      <c r="M33" s="142">
        <f>H37/H23</f>
        <v>0.2182978015420422</v>
      </c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4"/>
      <c r="AG33" s="105">
        <f t="shared" ref="AG33:AP37" si="9">$H23</f>
        <v>219.09950171189641</v>
      </c>
      <c r="AH33" s="105">
        <f t="shared" si="9"/>
        <v>219.09950171189641</v>
      </c>
      <c r="AI33" s="105">
        <f t="shared" si="9"/>
        <v>219.09950171189641</v>
      </c>
      <c r="AJ33" s="105">
        <f t="shared" si="9"/>
        <v>219.09950171189641</v>
      </c>
      <c r="AK33" s="105">
        <f t="shared" si="9"/>
        <v>219.09950171189641</v>
      </c>
      <c r="AL33" s="105">
        <f t="shared" si="9"/>
        <v>219.09950171189641</v>
      </c>
      <c r="AM33" s="105">
        <f t="shared" si="9"/>
        <v>219.09950171189641</v>
      </c>
      <c r="AN33" s="105">
        <f t="shared" si="9"/>
        <v>219.09950171189641</v>
      </c>
      <c r="AO33" s="105">
        <f t="shared" si="9"/>
        <v>219.09950171189641</v>
      </c>
      <c r="AP33" s="105">
        <f t="shared" si="9"/>
        <v>219.09950171189641</v>
      </c>
      <c r="AQ33" s="105">
        <f t="shared" si="7"/>
        <v>219.09950171189641</v>
      </c>
      <c r="AR33" s="105">
        <f t="shared" si="7"/>
        <v>219.09950171189641</v>
      </c>
      <c r="AS33" s="105">
        <f t="shared" si="7"/>
        <v>219.09950171189641</v>
      </c>
      <c r="AT33" s="105">
        <f t="shared" si="7"/>
        <v>219.09950171189641</v>
      </c>
      <c r="AU33" s="105">
        <f t="shared" si="7"/>
        <v>219.09950171189641</v>
      </c>
      <c r="AV33" s="105">
        <f t="shared" si="7"/>
        <v>219.09950171189641</v>
      </c>
      <c r="AW33" s="105">
        <f t="shared" si="7"/>
        <v>219.09950171189641</v>
      </c>
      <c r="AX33" s="105">
        <f t="shared" si="7"/>
        <v>219.09950171189641</v>
      </c>
      <c r="AY33" s="105">
        <f t="shared" si="7"/>
        <v>219.09950171189641</v>
      </c>
      <c r="AZ33" s="105">
        <f t="shared" si="7"/>
        <v>219.09950171189641</v>
      </c>
      <c r="BA33" s="105">
        <f t="shared" si="7"/>
        <v>219.09950171189641</v>
      </c>
    </row>
    <row r="34" spans="2:53" x14ac:dyDescent="0.2">
      <c r="B34" s="127"/>
      <c r="C34" s="135" t="s">
        <v>50</v>
      </c>
      <c r="D34" s="135"/>
      <c r="E34" s="135"/>
      <c r="F34" s="135"/>
      <c r="G34" s="136"/>
      <c r="H34" s="137"/>
      <c r="I34" s="138"/>
      <c r="J34" s="129"/>
      <c r="K34" s="139"/>
      <c r="L34" s="142" t="s">
        <v>21</v>
      </c>
      <c r="M34" s="142">
        <f>H38/H23</f>
        <v>-0.21327515220786319</v>
      </c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4"/>
      <c r="AG34" s="105">
        <f t="shared" si="9"/>
        <v>1051.5014072305869</v>
      </c>
      <c r="AH34" s="105">
        <f t="shared" si="9"/>
        <v>1051.5014072305869</v>
      </c>
      <c r="AI34" s="105">
        <f t="shared" si="9"/>
        <v>1051.5014072305869</v>
      </c>
      <c r="AJ34" s="105">
        <f t="shared" si="9"/>
        <v>1051.5014072305869</v>
      </c>
      <c r="AK34" s="105">
        <f t="shared" si="9"/>
        <v>1051.5014072305869</v>
      </c>
      <c r="AL34" s="105">
        <f t="shared" si="9"/>
        <v>1051.5014072305869</v>
      </c>
      <c r="AM34" s="105">
        <f t="shared" si="9"/>
        <v>1051.5014072305869</v>
      </c>
      <c r="AN34" s="105">
        <f t="shared" si="9"/>
        <v>1051.5014072305869</v>
      </c>
      <c r="AO34" s="105">
        <f t="shared" si="9"/>
        <v>1051.5014072305869</v>
      </c>
      <c r="AP34" s="105">
        <f t="shared" si="9"/>
        <v>1051.5014072305869</v>
      </c>
      <c r="AQ34" s="105">
        <f t="shared" si="7"/>
        <v>1051.5014072305869</v>
      </c>
      <c r="AR34" s="105">
        <f t="shared" si="7"/>
        <v>1051.5014072305869</v>
      </c>
      <c r="AS34" s="105">
        <f t="shared" si="7"/>
        <v>1051.5014072305869</v>
      </c>
      <c r="AT34" s="105">
        <f t="shared" si="7"/>
        <v>1051.5014072305869</v>
      </c>
      <c r="AU34" s="105">
        <f t="shared" si="7"/>
        <v>1051.5014072305869</v>
      </c>
      <c r="AV34" s="105">
        <f t="shared" si="7"/>
        <v>1051.5014072305869</v>
      </c>
      <c r="AW34" s="105">
        <f t="shared" si="7"/>
        <v>1051.5014072305869</v>
      </c>
      <c r="AX34" s="105">
        <f t="shared" si="7"/>
        <v>1051.5014072305869</v>
      </c>
      <c r="AY34" s="105">
        <f t="shared" si="7"/>
        <v>1051.5014072305869</v>
      </c>
      <c r="AZ34" s="105">
        <f t="shared" si="7"/>
        <v>1051.5014072305869</v>
      </c>
      <c r="BA34" s="105">
        <f t="shared" si="7"/>
        <v>1051.5014072305869</v>
      </c>
    </row>
    <row r="35" spans="2:53" ht="27" x14ac:dyDescent="0.2">
      <c r="B35" s="127"/>
      <c r="C35" s="135"/>
      <c r="D35" s="135" t="s">
        <v>7</v>
      </c>
      <c r="E35" s="135"/>
      <c r="F35" s="135"/>
      <c r="G35" s="136" t="s">
        <v>65</v>
      </c>
      <c r="H35" s="104">
        <f>H26-H27</f>
        <v>2.6876666119933702E-2</v>
      </c>
      <c r="I35" s="138" t="s">
        <v>13</v>
      </c>
      <c r="J35" s="129"/>
      <c r="K35" s="139"/>
      <c r="L35" s="140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4"/>
      <c r="AG35" s="105">
        <f t="shared" si="9"/>
        <v>0</v>
      </c>
      <c r="AH35" s="105">
        <f t="shared" si="9"/>
        <v>0</v>
      </c>
      <c r="AI35" s="105">
        <f t="shared" si="9"/>
        <v>0</v>
      </c>
      <c r="AJ35" s="105">
        <f t="shared" si="9"/>
        <v>0</v>
      </c>
      <c r="AK35" s="105">
        <f t="shared" si="9"/>
        <v>0</v>
      </c>
      <c r="AL35" s="105">
        <f t="shared" si="9"/>
        <v>0</v>
      </c>
      <c r="AM35" s="105">
        <f t="shared" si="9"/>
        <v>0</v>
      </c>
      <c r="AN35" s="105">
        <f t="shared" si="9"/>
        <v>0</v>
      </c>
      <c r="AO35" s="105">
        <f t="shared" si="9"/>
        <v>0</v>
      </c>
      <c r="AP35" s="105">
        <f t="shared" si="9"/>
        <v>0</v>
      </c>
      <c r="AQ35" s="105">
        <f t="shared" si="7"/>
        <v>0</v>
      </c>
      <c r="AR35" s="105">
        <f t="shared" si="7"/>
        <v>0</v>
      </c>
      <c r="AS35" s="105">
        <f t="shared" si="7"/>
        <v>0</v>
      </c>
      <c r="AT35" s="105">
        <f t="shared" si="7"/>
        <v>0</v>
      </c>
      <c r="AU35" s="105">
        <f t="shared" si="7"/>
        <v>0</v>
      </c>
      <c r="AV35" s="105">
        <f t="shared" si="7"/>
        <v>0</v>
      </c>
      <c r="AW35" s="105">
        <f t="shared" si="7"/>
        <v>0</v>
      </c>
      <c r="AX35" s="105">
        <f t="shared" si="7"/>
        <v>0</v>
      </c>
      <c r="AY35" s="105">
        <f t="shared" si="7"/>
        <v>0</v>
      </c>
      <c r="AZ35" s="105">
        <f t="shared" si="7"/>
        <v>0</v>
      </c>
      <c r="BA35" s="105">
        <f t="shared" si="7"/>
        <v>0</v>
      </c>
    </row>
    <row r="36" spans="2:53" x14ac:dyDescent="0.2">
      <c r="B36" s="127"/>
      <c r="C36" s="135"/>
      <c r="D36" s="135" t="s">
        <v>19</v>
      </c>
      <c r="E36" s="135"/>
      <c r="F36" s="135"/>
      <c r="G36" s="136"/>
      <c r="H36" s="104">
        <f>H35/H31</f>
        <v>0.21501332895946962</v>
      </c>
      <c r="I36" s="138" t="s">
        <v>18</v>
      </c>
      <c r="J36" s="129"/>
      <c r="K36" s="139"/>
      <c r="L36" s="140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4"/>
      <c r="AG36" s="105">
        <f t="shared" si="9"/>
        <v>3.125E-2</v>
      </c>
      <c r="AH36" s="105">
        <f t="shared" si="9"/>
        <v>3.125E-2</v>
      </c>
      <c r="AI36" s="105">
        <f t="shared" si="9"/>
        <v>3.125E-2</v>
      </c>
      <c r="AJ36" s="105">
        <f t="shared" si="9"/>
        <v>3.125E-2</v>
      </c>
      <c r="AK36" s="105">
        <f t="shared" si="9"/>
        <v>3.125E-2</v>
      </c>
      <c r="AL36" s="105">
        <f t="shared" si="9"/>
        <v>3.125E-2</v>
      </c>
      <c r="AM36" s="105">
        <f t="shared" si="9"/>
        <v>3.125E-2</v>
      </c>
      <c r="AN36" s="105">
        <f t="shared" si="9"/>
        <v>3.125E-2</v>
      </c>
      <c r="AO36" s="105">
        <f t="shared" si="9"/>
        <v>3.125E-2</v>
      </c>
      <c r="AP36" s="105">
        <f t="shared" si="9"/>
        <v>3.125E-2</v>
      </c>
      <c r="AQ36" s="105">
        <f t="shared" si="7"/>
        <v>3.125E-2</v>
      </c>
      <c r="AR36" s="105">
        <f t="shared" si="7"/>
        <v>3.125E-2</v>
      </c>
      <c r="AS36" s="105">
        <f t="shared" si="7"/>
        <v>3.125E-2</v>
      </c>
      <c r="AT36" s="105">
        <f t="shared" si="7"/>
        <v>3.125E-2</v>
      </c>
      <c r="AU36" s="105">
        <f t="shared" si="7"/>
        <v>3.125E-2</v>
      </c>
      <c r="AV36" s="105">
        <f t="shared" si="7"/>
        <v>3.125E-2</v>
      </c>
      <c r="AW36" s="105">
        <f t="shared" si="7"/>
        <v>3.125E-2</v>
      </c>
      <c r="AX36" s="105">
        <f t="shared" si="7"/>
        <v>3.125E-2</v>
      </c>
      <c r="AY36" s="105">
        <f t="shared" si="7"/>
        <v>3.125E-2</v>
      </c>
      <c r="AZ36" s="105">
        <f t="shared" si="7"/>
        <v>3.125E-2</v>
      </c>
      <c r="BA36" s="105">
        <f t="shared" si="7"/>
        <v>3.125E-2</v>
      </c>
    </row>
    <row r="37" spans="2:53" ht="27" x14ac:dyDescent="0.2">
      <c r="B37" s="127"/>
      <c r="C37" s="135"/>
      <c r="D37" s="135" t="s">
        <v>10</v>
      </c>
      <c r="E37" s="135"/>
      <c r="F37" s="135"/>
      <c r="G37" s="136" t="s">
        <v>70</v>
      </c>
      <c r="H37" s="137">
        <f>H23*(H24*H23 + H24*H23*M31*M31)/(H23*H23 + H24*H24*M31*M31)</f>
        <v>47.828939542663896</v>
      </c>
      <c r="I37" s="138" t="s">
        <v>14</v>
      </c>
      <c r="J37" s="129"/>
      <c r="K37" s="139"/>
      <c r="L37" s="140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4"/>
      <c r="AF37" s="109" t="s">
        <v>56</v>
      </c>
      <c r="AG37" s="105">
        <f t="shared" si="9"/>
        <v>4.373333880066296E-3</v>
      </c>
      <c r="AH37" s="105">
        <f t="shared" si="9"/>
        <v>4.373333880066296E-3</v>
      </c>
      <c r="AI37" s="105">
        <f t="shared" si="9"/>
        <v>4.373333880066296E-3</v>
      </c>
      <c r="AJ37" s="105">
        <f t="shared" si="9"/>
        <v>4.373333880066296E-3</v>
      </c>
      <c r="AK37" s="105">
        <f t="shared" si="9"/>
        <v>4.373333880066296E-3</v>
      </c>
      <c r="AL37" s="105">
        <f t="shared" si="9"/>
        <v>4.373333880066296E-3</v>
      </c>
      <c r="AM37" s="105">
        <f t="shared" si="9"/>
        <v>4.373333880066296E-3</v>
      </c>
      <c r="AN37" s="105">
        <f t="shared" si="9"/>
        <v>4.373333880066296E-3</v>
      </c>
      <c r="AO37" s="105">
        <f t="shared" si="9"/>
        <v>4.373333880066296E-3</v>
      </c>
      <c r="AP37" s="105">
        <f t="shared" si="9"/>
        <v>4.373333880066296E-3</v>
      </c>
      <c r="AQ37" s="105">
        <f t="shared" si="7"/>
        <v>4.373333880066296E-3</v>
      </c>
      <c r="AR37" s="105">
        <f t="shared" si="7"/>
        <v>4.373333880066296E-3</v>
      </c>
      <c r="AS37" s="105">
        <f t="shared" si="7"/>
        <v>4.373333880066296E-3</v>
      </c>
      <c r="AT37" s="105">
        <f t="shared" si="7"/>
        <v>4.373333880066296E-3</v>
      </c>
      <c r="AU37" s="105">
        <f t="shared" si="7"/>
        <v>4.373333880066296E-3</v>
      </c>
      <c r="AV37" s="105">
        <f t="shared" si="7"/>
        <v>4.373333880066296E-3</v>
      </c>
      <c r="AW37" s="105">
        <f t="shared" si="7"/>
        <v>4.373333880066296E-3</v>
      </c>
      <c r="AX37" s="105">
        <f t="shared" si="7"/>
        <v>4.373333880066296E-3</v>
      </c>
      <c r="AY37" s="105">
        <f t="shared" si="7"/>
        <v>4.373333880066296E-3</v>
      </c>
      <c r="AZ37" s="105">
        <f t="shared" si="7"/>
        <v>4.373333880066296E-3</v>
      </c>
      <c r="BA37" s="105">
        <f t="shared" si="7"/>
        <v>4.373333880066296E-3</v>
      </c>
    </row>
    <row r="38" spans="2:53" ht="27" x14ac:dyDescent="0.2">
      <c r="B38" s="127"/>
      <c r="C38" s="135"/>
      <c r="D38" s="135"/>
      <c r="E38" s="135"/>
      <c r="F38" s="135"/>
      <c r="G38" s="136" t="s">
        <v>76</v>
      </c>
      <c r="H38" s="137">
        <f>H23*(H23*H23*M31 - H24*H24*M31)/(H23*H23 + H24*H24*M31*M31)</f>
        <v>-46.728479576271688</v>
      </c>
      <c r="I38" s="138" t="s">
        <v>14</v>
      </c>
      <c r="J38" s="129"/>
      <c r="K38" s="139"/>
      <c r="L38" s="140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4"/>
    </row>
    <row r="39" spans="2:53" x14ac:dyDescent="0.2">
      <c r="B39" s="127"/>
      <c r="C39" s="135"/>
      <c r="D39" s="135"/>
      <c r="E39" s="135"/>
      <c r="F39" s="135"/>
      <c r="G39" s="136"/>
      <c r="H39" s="137"/>
      <c r="I39" s="138"/>
      <c r="J39" s="129"/>
      <c r="K39" s="139"/>
      <c r="L39" s="140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4"/>
    </row>
    <row r="40" spans="2:53" x14ac:dyDescent="0.2">
      <c r="B40" s="127"/>
      <c r="C40" s="135" t="s">
        <v>51</v>
      </c>
      <c r="D40" s="135"/>
      <c r="E40" s="135"/>
      <c r="F40" s="135"/>
      <c r="G40" s="136"/>
      <c r="H40" s="137"/>
      <c r="I40" s="138"/>
      <c r="J40" s="129"/>
      <c r="K40" s="139"/>
      <c r="L40" s="140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4"/>
      <c r="AG40" s="105">
        <f>300/AG32</f>
        <v>0.17857142857142858</v>
      </c>
      <c r="AH40" s="105">
        <f t="shared" ref="AH40:BA40" si="10">300/AH32</f>
        <v>0.17123287671232876</v>
      </c>
      <c r="AI40" s="105">
        <f t="shared" si="10"/>
        <v>0.16447368421052633</v>
      </c>
      <c r="AJ40" s="105">
        <f t="shared" si="10"/>
        <v>0.15822784810126583</v>
      </c>
      <c r="AK40" s="105">
        <f t="shared" si="10"/>
        <v>0.1524390243902439</v>
      </c>
      <c r="AL40" s="105">
        <f t="shared" si="10"/>
        <v>0.14705882352941177</v>
      </c>
      <c r="AM40" s="105">
        <f t="shared" si="10"/>
        <v>0.14204545454545456</v>
      </c>
      <c r="AN40" s="105">
        <f t="shared" si="10"/>
        <v>0.13736263736263737</v>
      </c>
      <c r="AO40" s="105">
        <f t="shared" si="10"/>
        <v>0.13297872340425532</v>
      </c>
      <c r="AP40" s="105">
        <f t="shared" si="10"/>
        <v>0.12886597938144329</v>
      </c>
      <c r="AQ40" s="105">
        <f t="shared" si="10"/>
        <v>0.125</v>
      </c>
      <c r="AR40" s="105">
        <f t="shared" si="10"/>
        <v>0.12135922330097088</v>
      </c>
      <c r="AS40" s="105">
        <f t="shared" si="10"/>
        <v>0.11792452830188679</v>
      </c>
      <c r="AT40" s="105">
        <f t="shared" si="10"/>
        <v>0.11467889908256881</v>
      </c>
      <c r="AU40" s="105">
        <f t="shared" si="10"/>
        <v>0.11160714285714286</v>
      </c>
      <c r="AV40" s="105">
        <f t="shared" si="10"/>
        <v>0.10869565217391304</v>
      </c>
      <c r="AW40" s="105">
        <f t="shared" si="10"/>
        <v>0.1059322033898305</v>
      </c>
      <c r="AX40" s="105">
        <f t="shared" si="10"/>
        <v>0.10330578512396695</v>
      </c>
      <c r="AY40" s="105">
        <f t="shared" si="10"/>
        <v>0.10080645161290322</v>
      </c>
      <c r="AZ40" s="105">
        <f t="shared" si="10"/>
        <v>9.8425196850393706E-2</v>
      </c>
      <c r="BA40" s="105">
        <f t="shared" si="10"/>
        <v>9.6153846153846159E-2</v>
      </c>
    </row>
    <row r="41" spans="2:53" ht="27" x14ac:dyDescent="0.2">
      <c r="B41" s="127"/>
      <c r="C41" s="135"/>
      <c r="D41" s="135" t="s">
        <v>7</v>
      </c>
      <c r="E41" s="135"/>
      <c r="F41" s="135"/>
      <c r="G41" s="136" t="s">
        <v>64</v>
      </c>
      <c r="H41" s="104">
        <f>H27</f>
        <v>4.373333880066296E-3</v>
      </c>
      <c r="I41" s="138" t="s">
        <v>13</v>
      </c>
      <c r="J41" s="129"/>
      <c r="K41" s="139"/>
      <c r="L41" s="140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4"/>
      <c r="AG41" s="105">
        <f>AG52+AG45</f>
        <v>0.17499999999999996</v>
      </c>
      <c r="AH41" s="105">
        <f t="shared" ref="AH41:BA41" si="11">AH52+AH45</f>
        <v>0.1825</v>
      </c>
      <c r="AI41" s="105">
        <f t="shared" si="11"/>
        <v>0.18999999999999997</v>
      </c>
      <c r="AJ41" s="105">
        <f t="shared" si="11"/>
        <v>0.19749999999999995</v>
      </c>
      <c r="AK41" s="105">
        <f t="shared" si="11"/>
        <v>0.20500000000000002</v>
      </c>
      <c r="AL41" s="105">
        <f t="shared" si="11"/>
        <v>0.21249999999999997</v>
      </c>
      <c r="AM41" s="105">
        <f t="shared" si="11"/>
        <v>0.21999999999999995</v>
      </c>
      <c r="AN41" s="105">
        <f t="shared" si="11"/>
        <v>0.22749999999999998</v>
      </c>
      <c r="AO41" s="105">
        <f t="shared" si="11"/>
        <v>0.23499999999999999</v>
      </c>
      <c r="AP41" s="105">
        <f t="shared" si="11"/>
        <v>0.24250000000000002</v>
      </c>
      <c r="AQ41" s="105">
        <f t="shared" si="11"/>
        <v>0.25</v>
      </c>
      <c r="AR41" s="105">
        <f t="shared" si="11"/>
        <v>0.25750000000000001</v>
      </c>
      <c r="AS41" s="105">
        <f t="shared" si="11"/>
        <v>0.26499999999999996</v>
      </c>
      <c r="AT41" s="105">
        <f t="shared" si="11"/>
        <v>0.27249999999999996</v>
      </c>
      <c r="AU41" s="105">
        <f t="shared" si="11"/>
        <v>0.27999999999999997</v>
      </c>
      <c r="AV41" s="105">
        <f t="shared" si="11"/>
        <v>0.28749999999999998</v>
      </c>
      <c r="AW41" s="105">
        <f t="shared" si="11"/>
        <v>0.29499999999999998</v>
      </c>
      <c r="AX41" s="105">
        <f t="shared" si="11"/>
        <v>0.30249999999999999</v>
      </c>
      <c r="AY41" s="105">
        <f t="shared" si="11"/>
        <v>0.31</v>
      </c>
      <c r="AZ41" s="105">
        <f t="shared" si="11"/>
        <v>0.3175</v>
      </c>
      <c r="BA41" s="105">
        <f t="shared" si="11"/>
        <v>0.32499999999999996</v>
      </c>
    </row>
    <row r="42" spans="2:53" x14ac:dyDescent="0.2">
      <c r="B42" s="127"/>
      <c r="C42" s="135"/>
      <c r="D42" s="135" t="s">
        <v>19</v>
      </c>
      <c r="E42" s="135"/>
      <c r="F42" s="135"/>
      <c r="G42" s="136"/>
      <c r="H42" s="104">
        <f>H41/H31</f>
        <v>3.4986671040530368E-2</v>
      </c>
      <c r="I42" s="138" t="s">
        <v>18</v>
      </c>
      <c r="J42" s="129"/>
      <c r="K42" s="139"/>
      <c r="L42" s="140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4"/>
    </row>
    <row r="43" spans="2:53" ht="27" x14ac:dyDescent="0.2">
      <c r="B43" s="127"/>
      <c r="C43" s="135"/>
      <c r="D43" s="135" t="s">
        <v>10</v>
      </c>
      <c r="E43" s="135"/>
      <c r="F43" s="135"/>
      <c r="G43" s="136" t="s">
        <v>77</v>
      </c>
      <c r="H43" s="137">
        <v>0</v>
      </c>
      <c r="I43" s="138" t="s">
        <v>14</v>
      </c>
      <c r="J43" s="129"/>
      <c r="K43" s="139"/>
      <c r="L43" s="140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4"/>
    </row>
    <row r="44" spans="2:53" ht="27" x14ac:dyDescent="0.2">
      <c r="B44" s="127"/>
      <c r="C44" s="135"/>
      <c r="D44" s="135"/>
      <c r="E44" s="135"/>
      <c r="F44" s="135"/>
      <c r="G44" s="136" t="s">
        <v>78</v>
      </c>
      <c r="H44" s="137">
        <f>H23*(H23*H23*M32 - H25*H25*M32)/(H23*H23 + H25*H25*M32*M32)</f>
        <v>48.955275365263063</v>
      </c>
      <c r="I44" s="138" t="s">
        <v>14</v>
      </c>
      <c r="J44" s="129"/>
      <c r="K44" s="139"/>
      <c r="L44" s="140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4"/>
      <c r="AG44" s="105">
        <f>AG36-AG37</f>
        <v>2.6876666119933702E-2</v>
      </c>
      <c r="AH44" s="105">
        <f t="shared" ref="AH44:BA44" si="12">AH36-AH37</f>
        <v>2.6876666119933702E-2</v>
      </c>
      <c r="AI44" s="105">
        <f t="shared" si="12"/>
        <v>2.6876666119933702E-2</v>
      </c>
      <c r="AJ44" s="105">
        <f t="shared" si="12"/>
        <v>2.6876666119933702E-2</v>
      </c>
      <c r="AK44" s="105">
        <f t="shared" si="12"/>
        <v>2.6876666119933702E-2</v>
      </c>
      <c r="AL44" s="105">
        <f t="shared" si="12"/>
        <v>2.6876666119933702E-2</v>
      </c>
      <c r="AM44" s="105">
        <f t="shared" si="12"/>
        <v>2.6876666119933702E-2</v>
      </c>
      <c r="AN44" s="105">
        <f t="shared" si="12"/>
        <v>2.6876666119933702E-2</v>
      </c>
      <c r="AO44" s="105">
        <f t="shared" si="12"/>
        <v>2.6876666119933702E-2</v>
      </c>
      <c r="AP44" s="105">
        <f t="shared" si="12"/>
        <v>2.6876666119933702E-2</v>
      </c>
      <c r="AQ44" s="105">
        <f t="shared" si="12"/>
        <v>2.6876666119933702E-2</v>
      </c>
      <c r="AR44" s="105">
        <f t="shared" si="12"/>
        <v>2.6876666119933702E-2</v>
      </c>
      <c r="AS44" s="105">
        <f t="shared" si="12"/>
        <v>2.6876666119933702E-2</v>
      </c>
      <c r="AT44" s="105">
        <f t="shared" si="12"/>
        <v>2.6876666119933702E-2</v>
      </c>
      <c r="AU44" s="105">
        <f t="shared" si="12"/>
        <v>2.6876666119933702E-2</v>
      </c>
      <c r="AV44" s="105">
        <f t="shared" si="12"/>
        <v>2.6876666119933702E-2</v>
      </c>
      <c r="AW44" s="105">
        <f t="shared" si="12"/>
        <v>2.6876666119933702E-2</v>
      </c>
      <c r="AX44" s="105">
        <f t="shared" si="12"/>
        <v>2.6876666119933702E-2</v>
      </c>
      <c r="AY44" s="105">
        <f t="shared" si="12"/>
        <v>2.6876666119933702E-2</v>
      </c>
      <c r="AZ44" s="105">
        <f t="shared" si="12"/>
        <v>2.6876666119933702E-2</v>
      </c>
      <c r="BA44" s="105">
        <f t="shared" si="12"/>
        <v>2.6876666119933702E-2</v>
      </c>
    </row>
    <row r="45" spans="2:53" x14ac:dyDescent="0.2">
      <c r="B45" s="127"/>
      <c r="C45" s="135"/>
      <c r="D45" s="135"/>
      <c r="E45" s="135"/>
      <c r="F45" s="135"/>
      <c r="G45" s="136"/>
      <c r="H45" s="137"/>
      <c r="I45" s="138"/>
      <c r="J45" s="129"/>
      <c r="K45" s="139"/>
      <c r="L45" s="140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4"/>
      <c r="AG45" s="105">
        <f>AG44/AG40</f>
        <v>0.15050933027162872</v>
      </c>
      <c r="AH45" s="105">
        <f t="shared" ref="AH45:BA45" si="13">AH44/AH40</f>
        <v>0.15695973014041284</v>
      </c>
      <c r="AI45" s="105">
        <f t="shared" si="13"/>
        <v>0.16341013000919691</v>
      </c>
      <c r="AJ45" s="105">
        <f t="shared" si="13"/>
        <v>0.16986052987798098</v>
      </c>
      <c r="AK45" s="105">
        <f t="shared" si="13"/>
        <v>0.1763109297467651</v>
      </c>
      <c r="AL45" s="105">
        <f t="shared" si="13"/>
        <v>0.18276132961554917</v>
      </c>
      <c r="AM45" s="105">
        <f t="shared" si="13"/>
        <v>0.18921172948433324</v>
      </c>
      <c r="AN45" s="105">
        <f t="shared" si="13"/>
        <v>0.19566212935311733</v>
      </c>
      <c r="AO45" s="105">
        <f t="shared" si="13"/>
        <v>0.20211252922190145</v>
      </c>
      <c r="AP45" s="105">
        <f t="shared" si="13"/>
        <v>0.20856292909068555</v>
      </c>
      <c r="AQ45" s="105">
        <f t="shared" si="13"/>
        <v>0.21501332895946962</v>
      </c>
      <c r="AR45" s="105">
        <f t="shared" si="13"/>
        <v>0.22146372882825371</v>
      </c>
      <c r="AS45" s="105">
        <f t="shared" si="13"/>
        <v>0.22791412869703778</v>
      </c>
      <c r="AT45" s="105">
        <f t="shared" si="13"/>
        <v>0.23436452856582188</v>
      </c>
      <c r="AU45" s="105">
        <f t="shared" si="13"/>
        <v>0.24081492843460595</v>
      </c>
      <c r="AV45" s="105">
        <f t="shared" si="13"/>
        <v>0.24726532830339007</v>
      </c>
      <c r="AW45" s="105">
        <f t="shared" si="13"/>
        <v>0.25371572817217414</v>
      </c>
      <c r="AX45" s="105">
        <f t="shared" si="13"/>
        <v>0.26016612804095823</v>
      </c>
      <c r="AY45" s="105">
        <f t="shared" si="13"/>
        <v>0.26661652790974233</v>
      </c>
      <c r="AZ45" s="105">
        <f t="shared" si="13"/>
        <v>0.27306692777852642</v>
      </c>
      <c r="BA45" s="105">
        <f t="shared" si="13"/>
        <v>0.27951732764731047</v>
      </c>
    </row>
    <row r="46" spans="2:53" x14ac:dyDescent="0.2">
      <c r="B46" s="127"/>
      <c r="C46" s="135"/>
      <c r="D46" s="135"/>
      <c r="E46" s="135"/>
      <c r="F46" s="135"/>
      <c r="G46" s="136"/>
      <c r="H46" s="137"/>
      <c r="I46" s="138"/>
      <c r="J46" s="129"/>
      <c r="K46" s="139"/>
      <c r="L46" s="140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4"/>
      <c r="AG46" s="105">
        <f t="shared" ref="AG46:BA46" si="14">AG33*(AG34*AG33 + AG34*AG33*AG24*AG24)/(AG33*AG33 + AG34*AG34*AG24*AG24)</f>
        <v>67.89442297564915</v>
      </c>
      <c r="AH46" s="105">
        <f t="shared" si="14"/>
        <v>64.42061458552206</v>
      </c>
      <c r="AI46" s="105">
        <f t="shared" si="14"/>
        <v>61.386152641743948</v>
      </c>
      <c r="AJ46" s="105">
        <f t="shared" si="14"/>
        <v>58.734654352368381</v>
      </c>
      <c r="AK46" s="105">
        <f t="shared" si="14"/>
        <v>56.419504941971731</v>
      </c>
      <c r="AL46" s="105">
        <f t="shared" si="14"/>
        <v>54.402050422599245</v>
      </c>
      <c r="AM46" s="105">
        <f t="shared" si="14"/>
        <v>52.650180074719984</v>
      </c>
      <c r="AN46" s="105">
        <f t="shared" si="14"/>
        <v>51.137209402637097</v>
      </c>
      <c r="AO46" s="105">
        <f t="shared" si="14"/>
        <v>49.84099677955524</v>
      </c>
      <c r="AP46" s="105">
        <f t="shared" si="14"/>
        <v>48.743243537527263</v>
      </c>
      <c r="AQ46" s="105">
        <f t="shared" si="14"/>
        <v>47.828939542663896</v>
      </c>
      <c r="AR46" s="105">
        <f t="shared" si="14"/>
        <v>47.085925504680091</v>
      </c>
      <c r="AS46" s="105">
        <f t="shared" si="14"/>
        <v>46.504550246052673</v>
      </c>
      <c r="AT46" s="105">
        <f t="shared" si="14"/>
        <v>46.077406509234883</v>
      </c>
      <c r="AU46" s="105">
        <f t="shared" si="14"/>
        <v>45.799133055325285</v>
      </c>
      <c r="AV46" s="105">
        <f t="shared" si="14"/>
        <v>45.666274133628853</v>
      </c>
      <c r="AW46" s="105">
        <f t="shared" si="14"/>
        <v>45.677190127414775</v>
      </c>
      <c r="AX46" s="105">
        <f t="shared" si="14"/>
        <v>45.832015500269215</v>
      </c>
      <c r="AY46" s="105">
        <f t="shared" si="14"/>
        <v>46.132662236556925</v>
      </c>
      <c r="AZ46" s="105">
        <f t="shared" si="14"/>
        <v>46.582868923355065</v>
      </c>
      <c r="BA46" s="105">
        <f t="shared" si="14"/>
        <v>47.18829758444425</v>
      </c>
    </row>
    <row r="47" spans="2:53" x14ac:dyDescent="0.2">
      <c r="B47" s="127"/>
      <c r="C47" s="135"/>
      <c r="D47" s="135" t="s">
        <v>55</v>
      </c>
      <c r="E47" s="135"/>
      <c r="F47" s="135"/>
      <c r="G47" s="136" t="s">
        <v>79</v>
      </c>
      <c r="H47" s="146">
        <f>H23*(M32*M32*M33)/((M32+M34)*(M32+M34) + M33*M33)</f>
        <v>49.999756050370578</v>
      </c>
      <c r="I47" s="138" t="s">
        <v>14</v>
      </c>
      <c r="J47" s="129"/>
      <c r="K47" s="139"/>
      <c r="L47" s="140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4"/>
      <c r="AG47" s="105">
        <f t="shared" ref="AG47:BA47" si="15">AG33*(AG33*AG33*AG24 - AG34*AG34*AG24)/(AG33*AG33 + AG34*AG34*AG24*AG24)</f>
        <v>-147.90688545474626</v>
      </c>
      <c r="AH47" s="105">
        <f t="shared" si="15"/>
        <v>-136.10576164473133</v>
      </c>
      <c r="AI47" s="105">
        <f t="shared" si="15"/>
        <v>-124.80889293969165</v>
      </c>
      <c r="AJ47" s="105">
        <f t="shared" si="15"/>
        <v>-113.95900944536886</v>
      </c>
      <c r="AK47" s="105">
        <f t="shared" si="15"/>
        <v>-103.50448136510126</v>
      </c>
      <c r="AL47" s="105">
        <f t="shared" si="15"/>
        <v>-93.398582588905924</v>
      </c>
      <c r="AM47" s="105">
        <f t="shared" si="15"/>
        <v>-83.598827275801426</v>
      </c>
      <c r="AN47" s="105">
        <f t="shared" si="15"/>
        <v>-74.066376885063391</v>
      </c>
      <c r="AO47" s="105">
        <f t="shared" si="15"/>
        <v>-64.765511869810595</v>
      </c>
      <c r="AP47" s="105">
        <f t="shared" si="15"/>
        <v>-55.663160835765304</v>
      </c>
      <c r="AQ47" s="105">
        <f t="shared" si="15"/>
        <v>-46.728479576271688</v>
      </c>
      <c r="AR47" s="105">
        <f t="shared" si="15"/>
        <v>-37.932472541032944</v>
      </c>
      <c r="AS47" s="105">
        <f t="shared" si="15"/>
        <v>-29.247649698063356</v>
      </c>
      <c r="AT47" s="105">
        <f t="shared" si="15"/>
        <v>-20.647712241842012</v>
      </c>
      <c r="AU47" s="105">
        <f t="shared" si="15"/>
        <v>-12.107261091766086</v>
      </c>
      <c r="AV47" s="105">
        <f t="shared" si="15"/>
        <v>-3.6015225614458117</v>
      </c>
      <c r="AW47" s="105">
        <f t="shared" si="15"/>
        <v>4.8939140669475663</v>
      </c>
      <c r="AX47" s="105">
        <f t="shared" si="15"/>
        <v>13.403352072548483</v>
      </c>
      <c r="AY47" s="105">
        <f t="shared" si="15"/>
        <v>21.95124078663369</v>
      </c>
      <c r="AZ47" s="105">
        <f t="shared" si="15"/>
        <v>30.562431855559151</v>
      </c>
      <c r="BA47" s="105">
        <f t="shared" si="15"/>
        <v>39.262443148897098</v>
      </c>
    </row>
    <row r="48" spans="2:53" x14ac:dyDescent="0.2">
      <c r="B48" s="127"/>
      <c r="C48" s="135"/>
      <c r="D48" s="135"/>
      <c r="E48" s="135"/>
      <c r="F48" s="135"/>
      <c r="G48" s="136" t="s">
        <v>80</v>
      </c>
      <c r="H48" s="147">
        <f>H23*(M32*M33*M33+M32*M32*M34)/((M32+M34)*(M32+M34)+M33*M33)</f>
        <v>3.9989901361423535E-5</v>
      </c>
      <c r="I48" s="138" t="s">
        <v>14</v>
      </c>
      <c r="J48" s="129"/>
      <c r="K48" s="139"/>
      <c r="L48" s="140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4"/>
    </row>
    <row r="49" spans="2:53" x14ac:dyDescent="0.2">
      <c r="B49" s="127"/>
      <c r="C49" s="135"/>
      <c r="D49" s="135"/>
      <c r="E49" s="135"/>
      <c r="F49" s="135"/>
      <c r="G49" s="136"/>
      <c r="H49" s="137"/>
      <c r="I49" s="138"/>
      <c r="J49" s="129"/>
      <c r="K49" s="139"/>
      <c r="L49" s="140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4"/>
    </row>
    <row r="50" spans="2:53" x14ac:dyDescent="0.2">
      <c r="B50" s="127"/>
      <c r="C50" s="135"/>
      <c r="D50" s="135"/>
      <c r="E50" s="135"/>
      <c r="F50" s="135"/>
      <c r="G50" s="136" t="s">
        <v>32</v>
      </c>
      <c r="H50" s="137">
        <f>SQRT(H47*H47 + H48*H48)</f>
        <v>49.999756050386573</v>
      </c>
      <c r="I50" s="138" t="s">
        <v>14</v>
      </c>
      <c r="J50" s="129"/>
      <c r="K50" s="139"/>
      <c r="L50" s="140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4"/>
    </row>
    <row r="51" spans="2:53" x14ac:dyDescent="0.2">
      <c r="B51" s="127"/>
      <c r="C51" s="135"/>
      <c r="D51" s="135"/>
      <c r="E51" s="135"/>
      <c r="F51" s="135"/>
      <c r="G51" s="136"/>
      <c r="H51" s="137"/>
      <c r="I51" s="138"/>
      <c r="J51" s="129"/>
      <c r="K51" s="139"/>
      <c r="L51" s="140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4"/>
      <c r="AG51" s="105">
        <f>AG37</f>
        <v>4.373333880066296E-3</v>
      </c>
      <c r="AH51" s="105">
        <f t="shared" ref="AH51:BA51" si="16">AH37</f>
        <v>4.373333880066296E-3</v>
      </c>
      <c r="AI51" s="105">
        <f t="shared" si="16"/>
        <v>4.373333880066296E-3</v>
      </c>
      <c r="AJ51" s="105">
        <f t="shared" si="16"/>
        <v>4.373333880066296E-3</v>
      </c>
      <c r="AK51" s="105">
        <f t="shared" si="16"/>
        <v>4.373333880066296E-3</v>
      </c>
      <c r="AL51" s="105">
        <f t="shared" si="16"/>
        <v>4.373333880066296E-3</v>
      </c>
      <c r="AM51" s="105">
        <f t="shared" si="16"/>
        <v>4.373333880066296E-3</v>
      </c>
      <c r="AN51" s="105">
        <f t="shared" si="16"/>
        <v>4.373333880066296E-3</v>
      </c>
      <c r="AO51" s="105">
        <f t="shared" si="16"/>
        <v>4.373333880066296E-3</v>
      </c>
      <c r="AP51" s="105">
        <f t="shared" si="16"/>
        <v>4.373333880066296E-3</v>
      </c>
      <c r="AQ51" s="105">
        <f t="shared" si="16"/>
        <v>4.373333880066296E-3</v>
      </c>
      <c r="AR51" s="105">
        <f t="shared" si="16"/>
        <v>4.373333880066296E-3</v>
      </c>
      <c r="AS51" s="105">
        <f t="shared" si="16"/>
        <v>4.373333880066296E-3</v>
      </c>
      <c r="AT51" s="105">
        <f t="shared" si="16"/>
        <v>4.373333880066296E-3</v>
      </c>
      <c r="AU51" s="105">
        <f t="shared" si="16"/>
        <v>4.373333880066296E-3</v>
      </c>
      <c r="AV51" s="105">
        <f t="shared" si="16"/>
        <v>4.373333880066296E-3</v>
      </c>
      <c r="AW51" s="105">
        <f t="shared" si="16"/>
        <v>4.373333880066296E-3</v>
      </c>
      <c r="AX51" s="105">
        <f t="shared" si="16"/>
        <v>4.373333880066296E-3</v>
      </c>
      <c r="AY51" s="105">
        <f t="shared" si="16"/>
        <v>4.373333880066296E-3</v>
      </c>
      <c r="AZ51" s="105">
        <f t="shared" si="16"/>
        <v>4.373333880066296E-3</v>
      </c>
      <c r="BA51" s="105">
        <f t="shared" si="16"/>
        <v>4.373333880066296E-3</v>
      </c>
    </row>
    <row r="52" spans="2:53" x14ac:dyDescent="0.2">
      <c r="B52" s="127"/>
      <c r="C52" s="129"/>
      <c r="D52" s="129"/>
      <c r="E52" s="129"/>
      <c r="F52" s="129"/>
      <c r="G52" s="130"/>
      <c r="H52" s="131"/>
      <c r="I52" s="132"/>
      <c r="J52" s="129"/>
      <c r="K52" s="129"/>
      <c r="L52" s="133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34"/>
      <c r="AG52" s="105">
        <f>AG51/AG40</f>
        <v>2.4490669728371255E-2</v>
      </c>
      <c r="AH52" s="105">
        <f t="shared" ref="AH52:BA52" si="17">AH51/AH40</f>
        <v>2.554026985958717E-2</v>
      </c>
      <c r="AI52" s="105">
        <f t="shared" si="17"/>
        <v>2.6589869990803077E-2</v>
      </c>
      <c r="AJ52" s="105">
        <f t="shared" si="17"/>
        <v>2.7639470122018988E-2</v>
      </c>
      <c r="AK52" s="105">
        <f t="shared" si="17"/>
        <v>2.8689070253234902E-2</v>
      </c>
      <c r="AL52" s="105">
        <f t="shared" si="17"/>
        <v>2.9738670384450813E-2</v>
      </c>
      <c r="AM52" s="105">
        <f t="shared" si="17"/>
        <v>3.0788270515666721E-2</v>
      </c>
      <c r="AN52" s="105">
        <f t="shared" si="17"/>
        <v>3.1837870646882635E-2</v>
      </c>
      <c r="AO52" s="105">
        <f t="shared" si="17"/>
        <v>3.2887470778098546E-2</v>
      </c>
      <c r="AP52" s="105">
        <f t="shared" si="17"/>
        <v>3.3937070909314464E-2</v>
      </c>
      <c r="AQ52" s="105">
        <f t="shared" si="17"/>
        <v>3.4986671040530368E-2</v>
      </c>
      <c r="AR52" s="105">
        <f t="shared" si="17"/>
        <v>3.6036271171746279E-2</v>
      </c>
      <c r="AS52" s="105">
        <f t="shared" si="17"/>
        <v>3.7085871302962189E-2</v>
      </c>
      <c r="AT52" s="105">
        <f t="shared" si="17"/>
        <v>3.81354714341781E-2</v>
      </c>
      <c r="AU52" s="105">
        <f t="shared" si="17"/>
        <v>3.9185071565394011E-2</v>
      </c>
      <c r="AV52" s="105">
        <f t="shared" si="17"/>
        <v>4.0234671696609922E-2</v>
      </c>
      <c r="AW52" s="105">
        <f t="shared" si="17"/>
        <v>4.1284271827825833E-2</v>
      </c>
      <c r="AX52" s="105">
        <f t="shared" si="17"/>
        <v>4.2333871959041744E-2</v>
      </c>
      <c r="AY52" s="105">
        <f t="shared" si="17"/>
        <v>4.3383472090257662E-2</v>
      </c>
      <c r="AZ52" s="105">
        <f t="shared" si="17"/>
        <v>4.4433072221473566E-2</v>
      </c>
      <c r="BA52" s="105">
        <f t="shared" si="17"/>
        <v>4.5482672352689477E-2</v>
      </c>
    </row>
    <row r="53" spans="2:53" s="125" customFormat="1" ht="28" x14ac:dyDescent="0.2">
      <c r="B53" s="117"/>
      <c r="C53" s="118" t="s">
        <v>52</v>
      </c>
      <c r="D53" s="118"/>
      <c r="E53" s="118"/>
      <c r="F53" s="118"/>
      <c r="G53" s="119"/>
      <c r="H53" s="120"/>
      <c r="I53" s="121"/>
      <c r="J53" s="122"/>
      <c r="K53" s="122"/>
      <c r="L53" s="123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4"/>
      <c r="AF53" s="126"/>
      <c r="AG53" s="125">
        <f>AG33*(AG35*AG33 + AG35*AG33*AK45*AK45)/(AG33*AG33 + AG35*AG35*AK45*AK45)</f>
        <v>0</v>
      </c>
      <c r="AH53" s="125">
        <f t="shared" ref="AH53:AW53" si="18">AH33*(AH35*AH33 + AH35*AH33*AL45*AL45)/(AH33*AH33 + AH35*AH35*AL45*AL45)</f>
        <v>0</v>
      </c>
      <c r="AI53" s="125">
        <f t="shared" si="18"/>
        <v>0</v>
      </c>
      <c r="AJ53" s="125">
        <f t="shared" si="18"/>
        <v>0</v>
      </c>
      <c r="AK53" s="125">
        <f t="shared" si="18"/>
        <v>0</v>
      </c>
      <c r="AL53" s="125">
        <f t="shared" si="18"/>
        <v>0</v>
      </c>
      <c r="AM53" s="125">
        <f t="shared" si="18"/>
        <v>0</v>
      </c>
      <c r="AN53" s="125">
        <f t="shared" si="18"/>
        <v>0</v>
      </c>
      <c r="AO53" s="125">
        <f t="shared" si="18"/>
        <v>0</v>
      </c>
      <c r="AP53" s="125">
        <f t="shared" si="18"/>
        <v>0</v>
      </c>
      <c r="AQ53" s="125">
        <f t="shared" si="18"/>
        <v>0</v>
      </c>
      <c r="AR53" s="125">
        <f t="shared" si="18"/>
        <v>0</v>
      </c>
      <c r="AS53" s="125">
        <f t="shared" si="18"/>
        <v>0</v>
      </c>
      <c r="AT53" s="125">
        <f t="shared" si="18"/>
        <v>0</v>
      </c>
      <c r="AU53" s="125">
        <f t="shared" si="18"/>
        <v>0</v>
      </c>
      <c r="AV53" s="125">
        <f t="shared" si="18"/>
        <v>0</v>
      </c>
      <c r="AW53" s="125">
        <f t="shared" si="18"/>
        <v>0</v>
      </c>
      <c r="AX53" s="125">
        <f>AX33*(AX35*AX33 + AX35*AX33*BB38*BB38)/(AX33*AX33 + AX35*AX35*BB38*BB38)</f>
        <v>0</v>
      </c>
      <c r="AY53" s="125">
        <f>AY33*(AY35*AY33 + AY35*AY33*BC38*BC38)/(AY33*AY33 + AY35*AY35*BC38*BC38)</f>
        <v>0</v>
      </c>
      <c r="AZ53" s="125">
        <f>AZ33*(AZ35*AZ33 + AZ35*AZ33*BD38*BD38)/(AZ33*AZ33 + AZ35*AZ35*BD38*BD38)</f>
        <v>0</v>
      </c>
      <c r="BA53" s="125">
        <f>BA33*(BA35*BA33 + BA35*BA33*BE38*BE38)/(BA33*BA33 + BA35*BA35*BE38*BE38)</f>
        <v>0</v>
      </c>
    </row>
    <row r="54" spans="2:53" x14ac:dyDescent="0.2">
      <c r="B54" s="127"/>
      <c r="C54" s="128" t="s">
        <v>48</v>
      </c>
      <c r="D54" s="129"/>
      <c r="E54" s="128" t="s">
        <v>49</v>
      </c>
      <c r="F54" s="129"/>
      <c r="G54" s="130"/>
      <c r="H54" s="131"/>
      <c r="I54" s="132"/>
      <c r="J54" s="129"/>
      <c r="K54" s="129"/>
      <c r="L54" s="133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34"/>
      <c r="AG54" s="105">
        <f>AG33*(AG33*AG33*AG25 - AG35*AG35*AG25)/(AG33*AG33 + AG35*AG35*AG25*AG25)</f>
        <v>33.983558606306829</v>
      </c>
      <c r="AH54" s="105">
        <f t="shared" ref="AH54:BA54" si="19">AH33*(AH33*AH33*AH25 - AH35*AH35*AH25)/(AH33*AH33 + AH35*AH35*AH25*AH25)</f>
        <v>35.464781272298751</v>
      </c>
      <c r="AI54" s="105">
        <f t="shared" si="19"/>
        <v>36.949169713955222</v>
      </c>
      <c r="AJ54" s="105">
        <f t="shared" si="19"/>
        <v>38.436863632880396</v>
      </c>
      <c r="AK54" s="105">
        <f t="shared" si="19"/>
        <v>39.928003929950471</v>
      </c>
      <c r="AL54" s="105">
        <f t="shared" si="19"/>
        <v>41.422732760637587</v>
      </c>
      <c r="AM54" s="105">
        <f t="shared" si="19"/>
        <v>42.921193591319174</v>
      </c>
      <c r="AN54" s="105">
        <f t="shared" si="19"/>
        <v>44.423531256621729</v>
      </c>
      <c r="AO54" s="105">
        <f t="shared" si="19"/>
        <v>45.929892017849212</v>
      </c>
      <c r="AP54" s="105">
        <f t="shared" si="19"/>
        <v>47.440423622548195</v>
      </c>
      <c r="AQ54" s="105">
        <f t="shared" si="19"/>
        <v>48.955275365263063</v>
      </c>
      <c r="AR54" s="105">
        <f t="shared" si="19"/>
        <v>50.47459814953654</v>
      </c>
      <c r="AS54" s="105">
        <f t="shared" si="19"/>
        <v>51.998544551212213</v>
      </c>
      <c r="AT54" s="105">
        <f t="shared" si="19"/>
        <v>53.527268883098024</v>
      </c>
      <c r="AU54" s="105">
        <f t="shared" si="19"/>
        <v>55.060927261051361</v>
      </c>
      <c r="AV54" s="105">
        <f t="shared" si="19"/>
        <v>56.599677671548193</v>
      </c>
      <c r="AW54" s="105">
        <f t="shared" si="19"/>
        <v>58.143680040801698</v>
      </c>
      <c r="AX54" s="105">
        <f t="shared" si="19"/>
        <v>59.693096305496738</v>
      </c>
      <c r="AY54" s="105">
        <f t="shared" si="19"/>
        <v>61.248090485210611</v>
      </c>
      <c r="AZ54" s="105">
        <f t="shared" si="19"/>
        <v>62.808828756590941</v>
      </c>
      <c r="BA54" s="105">
        <f t="shared" si="19"/>
        <v>64.375479529366743</v>
      </c>
    </row>
    <row r="55" spans="2:53" x14ac:dyDescent="0.2">
      <c r="B55" s="127"/>
      <c r="C55" s="135"/>
      <c r="D55" s="135"/>
      <c r="E55" s="135"/>
      <c r="F55" s="135"/>
      <c r="G55" s="136"/>
      <c r="H55" s="137"/>
      <c r="I55" s="138"/>
      <c r="J55" s="129"/>
      <c r="K55" s="148"/>
      <c r="L55" s="149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34"/>
    </row>
    <row r="56" spans="2:53" x14ac:dyDescent="0.2">
      <c r="B56" s="127"/>
      <c r="C56" s="135"/>
      <c r="D56" s="135" t="s">
        <v>34</v>
      </c>
      <c r="E56" s="135"/>
      <c r="F56" s="135"/>
      <c r="G56" s="136"/>
      <c r="H56" s="76">
        <v>50</v>
      </c>
      <c r="I56" s="138" t="s">
        <v>14</v>
      </c>
      <c r="J56" s="129"/>
      <c r="K56" s="148"/>
      <c r="L56" s="15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34"/>
    </row>
    <row r="57" spans="2:53" x14ac:dyDescent="0.2">
      <c r="B57" s="127"/>
      <c r="C57" s="135"/>
      <c r="D57" s="135" t="s">
        <v>35</v>
      </c>
      <c r="E57" s="135"/>
      <c r="F57" s="135"/>
      <c r="G57" s="136"/>
      <c r="H57" s="76">
        <v>0</v>
      </c>
      <c r="I57" s="138" t="s">
        <v>14</v>
      </c>
      <c r="J57" s="129"/>
      <c r="K57" s="148"/>
      <c r="L57" s="158" t="s">
        <v>58</v>
      </c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34"/>
    </row>
    <row r="58" spans="2:53" x14ac:dyDescent="0.2">
      <c r="B58" s="127"/>
      <c r="C58" s="135"/>
      <c r="D58" s="135"/>
      <c r="E58" s="135"/>
      <c r="F58" s="135"/>
      <c r="G58" s="136"/>
      <c r="H58" s="137"/>
      <c r="I58" s="138"/>
      <c r="J58" s="129"/>
      <c r="K58" s="148"/>
      <c r="L58" s="158" t="s">
        <v>81</v>
      </c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34"/>
      <c r="AF58" s="109" t="s">
        <v>36</v>
      </c>
      <c r="AG58" s="105">
        <f t="shared" ref="AG58:BA58" si="20">AG33*(AG25*AG25*AG26)/((AG25+AG27)*(AG25+AG27) + AG26*AG26)</f>
        <v>4.4581120616935745</v>
      </c>
      <c r="AH58" s="105">
        <f t="shared" si="20"/>
        <v>5.6745721584329702</v>
      </c>
      <c r="AI58" s="105">
        <f t="shared" si="20"/>
        <v>7.2954288977900088</v>
      </c>
      <c r="AJ58" s="105">
        <f t="shared" si="20"/>
        <v>9.4800371286299541</v>
      </c>
      <c r="AK58" s="105">
        <f t="shared" si="20"/>
        <v>12.449126027039442</v>
      </c>
      <c r="AL58" s="105">
        <f t="shared" si="20"/>
        <v>16.488990959300185</v>
      </c>
      <c r="AM58" s="105">
        <f t="shared" si="20"/>
        <v>21.911002015327085</v>
      </c>
      <c r="AN58" s="105">
        <f t="shared" si="20"/>
        <v>28.88524256511927</v>
      </c>
      <c r="AO58" s="105">
        <f t="shared" si="20"/>
        <v>37.036217549233093</v>
      </c>
      <c r="AP58" s="105">
        <f t="shared" si="20"/>
        <v>44.894810430273999</v>
      </c>
      <c r="AQ58" s="105">
        <f t="shared" si="20"/>
        <v>49.999756050370578</v>
      </c>
      <c r="AR58" s="105">
        <f t="shared" si="20"/>
        <v>50.522510819520072</v>
      </c>
      <c r="AS58" s="105">
        <f t="shared" si="20"/>
        <v>46.913543784482044</v>
      </c>
      <c r="AT58" s="105">
        <f t="shared" si="20"/>
        <v>41.202121519300725</v>
      </c>
      <c r="AU58" s="105">
        <f t="shared" si="20"/>
        <v>35.217944279081337</v>
      </c>
      <c r="AV58" s="105">
        <f t="shared" si="20"/>
        <v>29.891012461230879</v>
      </c>
      <c r="AW58" s="105">
        <f t="shared" si="20"/>
        <v>25.481293481390928</v>
      </c>
      <c r="AX58" s="105">
        <f t="shared" si="20"/>
        <v>21.939684801060125</v>
      </c>
      <c r="AY58" s="105">
        <f t="shared" si="20"/>
        <v>19.121774385207409</v>
      </c>
      <c r="AZ58" s="105">
        <f t="shared" si="20"/>
        <v>16.877700963708445</v>
      </c>
      <c r="BA58" s="105">
        <f t="shared" si="20"/>
        <v>15.080550095022941</v>
      </c>
    </row>
    <row r="59" spans="2:53" x14ac:dyDescent="0.2">
      <c r="B59" s="127"/>
      <c r="C59" s="135"/>
      <c r="D59" s="135" t="s">
        <v>54</v>
      </c>
      <c r="E59" s="135"/>
      <c r="F59" s="135"/>
      <c r="G59" s="136"/>
      <c r="H59" s="150">
        <f>(H47-H56)*(H47-H56)</f>
        <v>5.9511421694904733E-8</v>
      </c>
      <c r="I59" s="138"/>
      <c r="J59" s="129"/>
      <c r="K59" s="148"/>
      <c r="L59" s="15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34"/>
      <c r="AF59" s="109" t="s">
        <v>37</v>
      </c>
      <c r="AG59" s="105">
        <f t="shared" ref="AG59:BA59" si="21">AG33*(AG25*AG26*AG26+AG25*AG25*AG27)/((AG25+AG27)*(AG25+AG27)+AG26*AG26)</f>
        <v>-0.80523613796221105</v>
      </c>
      <c r="AH59" s="105">
        <f t="shared" si="21"/>
        <v>-1.6813753193906413</v>
      </c>
      <c r="AI59" s="105">
        <f t="shared" si="21"/>
        <v>-2.7125067291994385</v>
      </c>
      <c r="AJ59" s="105">
        <f t="shared" si="21"/>
        <v>-3.9072282791674002</v>
      </c>
      <c r="AK59" s="105">
        <f t="shared" si="21"/>
        <v>-5.2475612331280175</v>
      </c>
      <c r="AL59" s="105">
        <f t="shared" si="21"/>
        <v>-6.6530269663395227</v>
      </c>
      <c r="AM59" s="105">
        <f t="shared" si="21"/>
        <v>-7.9130626009638183</v>
      </c>
      <c r="AN59" s="105">
        <f t="shared" si="21"/>
        <v>-8.5863209369372289</v>
      </c>
      <c r="AO59" s="105">
        <f t="shared" si="21"/>
        <v>-7.9364447661927278</v>
      </c>
      <c r="AP59" s="105">
        <f t="shared" si="21"/>
        <v>-5.1406562652527414</v>
      </c>
      <c r="AQ59" s="105">
        <f t="shared" si="21"/>
        <v>3.9989901361423535E-5</v>
      </c>
      <c r="AR59" s="105">
        <f t="shared" si="21"/>
        <v>6.4296321105367857</v>
      </c>
      <c r="AS59" s="105">
        <f t="shared" si="21"/>
        <v>12.451939864605693</v>
      </c>
      <c r="AT59" s="105">
        <f t="shared" si="21"/>
        <v>17.004606746506997</v>
      </c>
      <c r="AU59" s="105">
        <f t="shared" si="21"/>
        <v>19.983872958603076</v>
      </c>
      <c r="AV59" s="105">
        <f t="shared" si="21"/>
        <v>21.759553814055568</v>
      </c>
      <c r="AW59" s="105">
        <f t="shared" si="21"/>
        <v>22.747990855953621</v>
      </c>
      <c r="AX59" s="105">
        <f t="shared" si="21"/>
        <v>23.261318708312281</v>
      </c>
      <c r="AY59" s="105">
        <f t="shared" si="21"/>
        <v>23.501395364459384</v>
      </c>
      <c r="AZ59" s="105">
        <f t="shared" si="21"/>
        <v>23.590781709131296</v>
      </c>
      <c r="BA59" s="105">
        <f t="shared" si="21"/>
        <v>23.60188052693788</v>
      </c>
    </row>
    <row r="60" spans="2:53" x14ac:dyDescent="0.2">
      <c r="B60" s="127"/>
      <c r="C60" s="135"/>
      <c r="D60" s="135" t="s">
        <v>54</v>
      </c>
      <c r="E60" s="135"/>
      <c r="F60" s="135"/>
      <c r="G60" s="136"/>
      <c r="H60" s="150">
        <f>(H48-H57)*(H48-H57)</f>
        <v>1.5991922108963838E-9</v>
      </c>
      <c r="I60" s="138"/>
      <c r="J60" s="129"/>
      <c r="K60" s="148"/>
      <c r="L60" s="15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34"/>
    </row>
    <row r="61" spans="2:53" x14ac:dyDescent="0.2">
      <c r="B61" s="127"/>
      <c r="C61" s="135"/>
      <c r="D61" s="135"/>
      <c r="E61" s="135"/>
      <c r="F61" s="135"/>
      <c r="G61" s="136"/>
      <c r="H61" s="150"/>
      <c r="I61" s="138"/>
      <c r="J61" s="129"/>
      <c r="K61" s="148"/>
      <c r="L61" s="15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34"/>
    </row>
    <row r="62" spans="2:53" x14ac:dyDescent="0.2">
      <c r="B62" s="127"/>
      <c r="C62" s="135"/>
      <c r="D62" s="135" t="s">
        <v>53</v>
      </c>
      <c r="E62" s="135"/>
      <c r="F62" s="135"/>
      <c r="G62" s="136"/>
      <c r="H62" s="98">
        <f>SUM(H59:H61)</f>
        <v>6.1110613905801122E-8</v>
      </c>
      <c r="I62" s="138"/>
      <c r="J62" s="129"/>
      <c r="K62" s="148"/>
      <c r="L62" s="149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34"/>
    </row>
    <row r="63" spans="2:53" x14ac:dyDescent="0.2">
      <c r="B63" s="127"/>
      <c r="C63" s="135"/>
      <c r="D63" s="135"/>
      <c r="E63" s="135"/>
      <c r="F63" s="135"/>
      <c r="G63" s="136"/>
      <c r="H63" s="137"/>
      <c r="I63" s="138"/>
      <c r="J63" s="129"/>
      <c r="K63" s="148"/>
      <c r="L63" s="149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34"/>
    </row>
    <row r="64" spans="2:53" ht="24" thickBot="1" x14ac:dyDescent="0.25">
      <c r="B64" s="151"/>
      <c r="C64" s="152"/>
      <c r="D64" s="152"/>
      <c r="E64" s="152"/>
      <c r="F64" s="152"/>
      <c r="G64" s="153"/>
      <c r="H64" s="154"/>
      <c r="I64" s="155"/>
      <c r="J64" s="152"/>
      <c r="K64" s="152"/>
      <c r="L64" s="156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7"/>
    </row>
    <row r="65" ht="24" thickTop="1" x14ac:dyDescent="0.2"/>
  </sheetData>
  <conditionalFormatting sqref="L17:M17">
    <cfRule type="expression" dxfId="1" priority="1">
      <formula>$M$17&gt;0.2</formula>
    </cfRule>
  </conditionalFormatting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51C4-3808-4541-B09F-83A6101CF580}">
  <dimension ref="B1:BA65"/>
  <sheetViews>
    <sheetView tabSelected="1" zoomScale="140" zoomScaleNormal="140" workbookViewId="0">
      <pane xSplit="30" topLeftCell="AE1" activePane="topRight" state="frozen"/>
      <selection pane="topRight" activeCell="H7" sqref="H7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4.83203125" style="2" customWidth="1"/>
    <col min="6" max="6" width="7.83203125" style="2" customWidth="1"/>
    <col min="7" max="7" width="10.83203125" style="84" customWidth="1"/>
    <col min="8" max="8" width="13" style="46" customWidth="1"/>
    <col min="9" max="9" width="10.83203125" style="88"/>
    <col min="10" max="10" width="4.6640625" style="2" customWidth="1"/>
    <col min="11" max="11" width="2.5" style="2" customWidth="1"/>
    <col min="12" max="12" width="8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32" ht="15" customHeight="1" thickBot="1" x14ac:dyDescent="0.25"/>
    <row r="2" spans="2:32" ht="24" thickTop="1" x14ac:dyDescent="0.2">
      <c r="B2" s="24"/>
      <c r="C2" s="25"/>
      <c r="D2" s="25"/>
      <c r="E2" s="25"/>
      <c r="F2" s="25"/>
      <c r="G2" s="85"/>
      <c r="H2" s="55"/>
      <c r="I2" s="89"/>
      <c r="J2" s="25"/>
      <c r="K2" s="25"/>
      <c r="L2" s="56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32" s="4" customFormat="1" ht="28" x14ac:dyDescent="0.2">
      <c r="B3" s="28"/>
      <c r="C3" s="29" t="s">
        <v>115</v>
      </c>
      <c r="D3" s="29"/>
      <c r="E3" s="29"/>
      <c r="F3" s="29"/>
      <c r="G3" s="78"/>
      <c r="H3" s="57"/>
      <c r="I3" s="90"/>
      <c r="J3" s="32"/>
      <c r="K3" s="32"/>
      <c r="L3" s="58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  <c r="AF3" s="5"/>
    </row>
    <row r="4" spans="2:32" x14ac:dyDescent="0.2">
      <c r="B4" s="34"/>
      <c r="C4" s="51" t="s">
        <v>48</v>
      </c>
      <c r="D4" s="35"/>
      <c r="E4" s="35"/>
      <c r="F4" s="35"/>
      <c r="G4" s="48"/>
      <c r="H4" s="59"/>
      <c r="I4" s="91"/>
      <c r="J4" s="35"/>
      <c r="K4" s="35"/>
      <c r="L4" s="6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7"/>
    </row>
    <row r="5" spans="2:32" x14ac:dyDescent="0.2">
      <c r="B5" s="34"/>
      <c r="C5" s="38"/>
      <c r="D5" s="38"/>
      <c r="E5" s="38"/>
      <c r="F5" s="38"/>
      <c r="G5" s="77"/>
      <c r="H5" s="61"/>
      <c r="I5" s="92"/>
      <c r="J5" s="35"/>
      <c r="K5" s="40"/>
      <c r="L5" s="62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37"/>
    </row>
    <row r="6" spans="2:32" x14ac:dyDescent="0.2">
      <c r="B6" s="34"/>
      <c r="C6" s="38"/>
      <c r="D6" s="38" t="s">
        <v>8</v>
      </c>
      <c r="E6" s="38"/>
      <c r="F6" s="38"/>
      <c r="G6" s="77" t="s">
        <v>75</v>
      </c>
      <c r="H6" s="72">
        <v>2400</v>
      </c>
      <c r="I6" s="92" t="s">
        <v>12</v>
      </c>
      <c r="J6" s="35"/>
      <c r="K6" s="40"/>
      <c r="L6" s="62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37"/>
    </row>
    <row r="7" spans="2:32" x14ac:dyDescent="0.2">
      <c r="B7" s="34"/>
      <c r="C7" s="38"/>
      <c r="D7" s="38" t="s">
        <v>111</v>
      </c>
      <c r="E7" s="38"/>
      <c r="F7" s="38"/>
      <c r="G7" s="77" t="s">
        <v>87</v>
      </c>
      <c r="H7" s="76">
        <v>8</v>
      </c>
      <c r="I7" s="92" t="s">
        <v>29</v>
      </c>
      <c r="J7" s="35"/>
      <c r="K7" s="40"/>
      <c r="L7" s="62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7"/>
    </row>
    <row r="8" spans="2:32" x14ac:dyDescent="0.2">
      <c r="B8" s="34"/>
      <c r="C8" s="38"/>
      <c r="D8" s="38" t="s">
        <v>112</v>
      </c>
      <c r="E8" s="38"/>
      <c r="F8" s="38"/>
      <c r="G8" s="77" t="s">
        <v>102</v>
      </c>
      <c r="H8" s="76">
        <v>1.3404845567115415</v>
      </c>
      <c r="I8" s="92" t="s">
        <v>29</v>
      </c>
      <c r="J8" s="35"/>
      <c r="K8" s="40"/>
      <c r="L8" s="6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7"/>
    </row>
    <row r="9" spans="2:32" x14ac:dyDescent="0.2">
      <c r="B9" s="34"/>
      <c r="C9" s="38"/>
      <c r="D9" s="38" t="s">
        <v>106</v>
      </c>
      <c r="E9" s="38"/>
      <c r="F9" s="38"/>
      <c r="G9" s="86" t="s">
        <v>107</v>
      </c>
      <c r="H9" s="74">
        <v>15.323502761191719</v>
      </c>
      <c r="I9" s="92" t="s">
        <v>108</v>
      </c>
      <c r="J9" s="35"/>
      <c r="K9" s="40"/>
      <c r="L9" s="62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37"/>
    </row>
    <row r="10" spans="2:32" ht="27" x14ac:dyDescent="0.2">
      <c r="B10" s="34"/>
      <c r="C10" s="38"/>
      <c r="D10" s="38" t="s">
        <v>42</v>
      </c>
      <c r="E10" s="38"/>
      <c r="F10" s="38"/>
      <c r="G10" s="86" t="s">
        <v>63</v>
      </c>
      <c r="H10" s="76">
        <v>1.1200000000000001</v>
      </c>
      <c r="I10" s="92"/>
      <c r="J10" s="35"/>
      <c r="K10" s="40"/>
      <c r="L10" s="62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37"/>
    </row>
    <row r="11" spans="2:32" x14ac:dyDescent="0.2">
      <c r="B11" s="34"/>
      <c r="C11" s="38"/>
      <c r="D11" s="38"/>
      <c r="E11" s="38"/>
      <c r="F11" s="38"/>
      <c r="G11" s="77"/>
      <c r="H11" s="61"/>
      <c r="I11" s="92"/>
      <c r="J11" s="35"/>
      <c r="K11" s="40"/>
      <c r="L11" s="6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7"/>
    </row>
    <row r="12" spans="2:32" x14ac:dyDescent="0.2">
      <c r="B12" s="34"/>
      <c r="C12" s="51" t="s">
        <v>49</v>
      </c>
      <c r="D12" s="35"/>
      <c r="E12" s="35"/>
      <c r="F12" s="35"/>
      <c r="G12" s="48"/>
      <c r="H12" s="59"/>
      <c r="I12" s="91"/>
      <c r="J12" s="35"/>
      <c r="K12" s="40"/>
      <c r="L12" s="62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37"/>
    </row>
    <row r="13" spans="2:32" x14ac:dyDescent="0.2">
      <c r="B13" s="34"/>
      <c r="C13" s="38"/>
      <c r="D13" s="38"/>
      <c r="E13" s="38"/>
      <c r="F13" s="38"/>
      <c r="G13" s="77"/>
      <c r="H13" s="61"/>
      <c r="I13" s="92"/>
      <c r="J13" s="35"/>
      <c r="K13" s="40"/>
      <c r="L13" s="6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37"/>
    </row>
    <row r="14" spans="2:32" x14ac:dyDescent="0.2">
      <c r="B14" s="34"/>
      <c r="C14" s="38"/>
      <c r="D14" s="38" t="s">
        <v>110</v>
      </c>
      <c r="E14" s="38"/>
      <c r="F14" s="38"/>
      <c r="G14" s="77" t="s">
        <v>109</v>
      </c>
      <c r="H14" s="61">
        <f>H31*1000 / SQRT(H10)</f>
        <v>118.1138978153835</v>
      </c>
      <c r="I14" s="92" t="s">
        <v>29</v>
      </c>
      <c r="J14" s="35"/>
      <c r="K14" s="40"/>
      <c r="L14" s="62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37"/>
    </row>
    <row r="15" spans="2:32" x14ac:dyDescent="0.2">
      <c r="B15" s="34"/>
      <c r="C15" s="38"/>
      <c r="D15" s="38" t="s">
        <v>99</v>
      </c>
      <c r="E15" s="38"/>
      <c r="F15" s="38"/>
      <c r="G15" s="77" t="s">
        <v>97</v>
      </c>
      <c r="H15" s="61">
        <f>H14/PI()</f>
        <v>37.596821370338603</v>
      </c>
      <c r="I15" s="92" t="s">
        <v>29</v>
      </c>
      <c r="J15" s="35"/>
      <c r="K15" s="40"/>
      <c r="L15" s="64" t="s">
        <v>103</v>
      </c>
      <c r="M15" s="64">
        <v>541.93345087277214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37"/>
    </row>
    <row r="16" spans="2:32" ht="27" x14ac:dyDescent="0.2">
      <c r="B16" s="34"/>
      <c r="C16" s="38"/>
      <c r="D16" s="38" t="s">
        <v>101</v>
      </c>
      <c r="E16" s="38"/>
      <c r="F16" s="38"/>
      <c r="G16" s="77" t="s">
        <v>71</v>
      </c>
      <c r="H16" s="61">
        <f>M$15 *  POWER(M17, -M$16)</f>
        <v>715.94214085801343</v>
      </c>
      <c r="I16" s="92" t="s">
        <v>14</v>
      </c>
      <c r="J16" s="35"/>
      <c r="K16" s="40"/>
      <c r="L16" s="64" t="s">
        <v>104</v>
      </c>
      <c r="M16" s="64">
        <v>0.17994191272575752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37"/>
    </row>
    <row r="17" spans="2:53" ht="27" x14ac:dyDescent="0.2">
      <c r="B17" s="34"/>
      <c r="C17" s="38"/>
      <c r="D17" s="38" t="s">
        <v>100</v>
      </c>
      <c r="E17" s="38"/>
      <c r="F17" s="38"/>
      <c r="G17" s="77" t="s">
        <v>59</v>
      </c>
      <c r="H17" s="61">
        <f>120 / SQRT(H10) * (LN(2) + 2 * ATANH(SQRT(H8/H7)))</f>
        <v>177.20342669329972</v>
      </c>
      <c r="I17" s="92" t="s">
        <v>14</v>
      </c>
      <c r="J17" s="35"/>
      <c r="K17" s="40"/>
      <c r="L17" s="64" t="s">
        <v>105</v>
      </c>
      <c r="M17" s="64">
        <f>H7/H15</f>
        <v>0.21278394578089171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37"/>
    </row>
    <row r="18" spans="2:53" x14ac:dyDescent="0.2">
      <c r="B18" s="34"/>
      <c r="C18" s="38"/>
      <c r="D18" s="38"/>
      <c r="E18" s="38"/>
      <c r="F18" s="38"/>
      <c r="G18" s="77"/>
      <c r="H18" s="61"/>
      <c r="I18" s="92"/>
      <c r="J18" s="35"/>
      <c r="K18" s="40"/>
      <c r="L18" s="62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37"/>
    </row>
    <row r="19" spans="2:53" x14ac:dyDescent="0.2">
      <c r="B19" s="34"/>
      <c r="C19" s="51" t="s">
        <v>49</v>
      </c>
      <c r="D19" s="35"/>
      <c r="E19" s="35"/>
      <c r="F19" s="35"/>
      <c r="G19" s="48"/>
      <c r="H19" s="59"/>
      <c r="I19" s="91"/>
      <c r="J19" s="35"/>
      <c r="K19" s="35"/>
      <c r="L19" s="60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7"/>
    </row>
    <row r="20" spans="2:53" x14ac:dyDescent="0.2">
      <c r="B20" s="34"/>
      <c r="C20" s="38"/>
      <c r="D20" s="38"/>
      <c r="E20" s="38"/>
      <c r="F20" s="38"/>
      <c r="G20" s="77"/>
      <c r="H20" s="61"/>
      <c r="I20" s="92"/>
      <c r="J20" s="35"/>
      <c r="K20" s="40"/>
      <c r="L20" s="62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37"/>
    </row>
    <row r="21" spans="2:53" x14ac:dyDescent="0.2">
      <c r="B21" s="34"/>
      <c r="C21" s="38"/>
      <c r="D21" s="38" t="s">
        <v>57</v>
      </c>
      <c r="E21" s="38"/>
      <c r="F21" s="38"/>
      <c r="G21" s="77"/>
      <c r="H21" s="74">
        <v>3</v>
      </c>
      <c r="I21" s="92" t="s">
        <v>31</v>
      </c>
      <c r="J21" s="35"/>
      <c r="K21" s="40"/>
      <c r="L21" s="62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7"/>
    </row>
    <row r="22" spans="2:53" x14ac:dyDescent="0.2">
      <c r="B22" s="34"/>
      <c r="C22" s="38"/>
      <c r="D22" s="38" t="s">
        <v>8</v>
      </c>
      <c r="E22" s="38"/>
      <c r="F22" s="38"/>
      <c r="G22" s="77" t="s">
        <v>75</v>
      </c>
      <c r="H22" s="101">
        <f>H6</f>
        <v>2400</v>
      </c>
      <c r="I22" s="92" t="s">
        <v>12</v>
      </c>
      <c r="J22" s="35"/>
      <c r="K22" s="40"/>
      <c r="L22" s="62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37"/>
    </row>
    <row r="23" spans="2:53" ht="27" x14ac:dyDescent="0.2">
      <c r="B23" s="34"/>
      <c r="C23" s="38"/>
      <c r="D23" s="38" t="s">
        <v>5</v>
      </c>
      <c r="E23" s="38"/>
      <c r="F23" s="38"/>
      <c r="G23" s="77" t="s">
        <v>59</v>
      </c>
      <c r="H23" s="101">
        <f>H17</f>
        <v>177.20342669329972</v>
      </c>
      <c r="I23" s="92" t="s">
        <v>14</v>
      </c>
      <c r="J23" s="35"/>
      <c r="K23" s="40"/>
      <c r="L23" s="6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37"/>
    </row>
    <row r="24" spans="2:53" ht="27" x14ac:dyDescent="0.2">
      <c r="B24" s="34"/>
      <c r="C24" s="38"/>
      <c r="D24" s="38" t="s">
        <v>6</v>
      </c>
      <c r="E24" s="38"/>
      <c r="F24" s="38"/>
      <c r="G24" s="77" t="s">
        <v>71</v>
      </c>
      <c r="H24" s="101">
        <f>H16</f>
        <v>715.94214085801343</v>
      </c>
      <c r="I24" s="92" t="s">
        <v>14</v>
      </c>
      <c r="J24" s="35"/>
      <c r="K24" s="40"/>
      <c r="L24" s="62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37"/>
      <c r="AF24" s="23" t="s">
        <v>16</v>
      </c>
      <c r="AG24" s="2">
        <f>TAN(2 * PI() * AG45)</f>
        <v>1.292615011361173</v>
      </c>
      <c r="AH24" s="2">
        <f t="shared" ref="AH24:BA24" si="0">TAN(2 * PI() * AH45)</f>
        <v>1.4026650089234054</v>
      </c>
      <c r="AI24" s="2">
        <f t="shared" si="0"/>
        <v>1.5254937379782727</v>
      </c>
      <c r="AJ24" s="2">
        <f t="shared" si="0"/>
        <v>1.6639132439822688</v>
      </c>
      <c r="AK24" s="2">
        <f t="shared" si="0"/>
        <v>1.8216077126872741</v>
      </c>
      <c r="AL24" s="2">
        <f t="shared" si="0"/>
        <v>2.0035020007042594</v>
      </c>
      <c r="AM24" s="2">
        <f t="shared" si="0"/>
        <v>2.2163341246010821</v>
      </c>
      <c r="AN24" s="2">
        <f t="shared" si="0"/>
        <v>2.4695768041724531</v>
      </c>
      <c r="AO24" s="2">
        <f t="shared" si="0"/>
        <v>2.7769844642064174</v>
      </c>
      <c r="AP24" s="2">
        <f t="shared" si="0"/>
        <v>3.1593241457959835</v>
      </c>
      <c r="AQ24" s="2">
        <f t="shared" si="0"/>
        <v>3.6495019418944468</v>
      </c>
      <c r="AR24" s="2">
        <f t="shared" si="0"/>
        <v>4.3029563321288844</v>
      </c>
      <c r="AS24" s="2">
        <f t="shared" si="0"/>
        <v>5.2209359159945707</v>
      </c>
      <c r="AT24" s="2">
        <f t="shared" si="0"/>
        <v>6.6101490441061124</v>
      </c>
      <c r="AU24" s="2">
        <f t="shared" si="0"/>
        <v>8.9684360079275862</v>
      </c>
      <c r="AV24" s="2">
        <f t="shared" si="0"/>
        <v>13.875910752358552</v>
      </c>
      <c r="AW24" s="2">
        <f t="shared" si="0"/>
        <v>30.437458414462601</v>
      </c>
      <c r="AX24" s="2">
        <f t="shared" si="0"/>
        <v>-159.79129421775795</v>
      </c>
      <c r="AY24" s="2">
        <f t="shared" si="0"/>
        <v>-22.031412255085762</v>
      </c>
      <c r="AZ24" s="2">
        <f t="shared" si="0"/>
        <v>-11.811880228158602</v>
      </c>
      <c r="BA24" s="2">
        <f t="shared" si="0"/>
        <v>-8.0520285113792376</v>
      </c>
    </row>
    <row r="25" spans="2:53" ht="27" x14ac:dyDescent="0.2">
      <c r="B25" s="34"/>
      <c r="C25" s="38"/>
      <c r="D25" s="38" t="s">
        <v>26</v>
      </c>
      <c r="E25" s="38"/>
      <c r="F25" s="38"/>
      <c r="G25" s="77" t="s">
        <v>72</v>
      </c>
      <c r="H25" s="101">
        <v>0</v>
      </c>
      <c r="I25" s="92" t="s">
        <v>14</v>
      </c>
      <c r="J25" s="35"/>
      <c r="K25" s="40"/>
      <c r="L25" s="6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7"/>
      <c r="AF25" s="23" t="s">
        <v>17</v>
      </c>
      <c r="AG25" s="2">
        <f>TAN(2 * PI() *AG52)</f>
        <v>0.18943015970623914</v>
      </c>
      <c r="AH25" s="2">
        <f t="shared" ref="AH25:BA25" si="1">TAN(2 * PI() *AH52)</f>
        <v>0.19775426594090889</v>
      </c>
      <c r="AI25" s="2">
        <f t="shared" si="1"/>
        <v>0.2061048296936123</v>
      </c>
      <c r="AJ25" s="2">
        <f t="shared" si="1"/>
        <v>0.21448305768583148</v>
      </c>
      <c r="AK25" s="2">
        <f t="shared" si="1"/>
        <v>0.22289017179611184</v>
      </c>
      <c r="AL25" s="2">
        <f t="shared" si="1"/>
        <v>0.23132740980818153</v>
      </c>
      <c r="AM25" s="2">
        <f t="shared" si="1"/>
        <v>0.23979602617809445</v>
      </c>
      <c r="AN25" s="2">
        <f t="shared" si="1"/>
        <v>0.2482972928214478</v>
      </c>
      <c r="AO25" s="2">
        <f t="shared" si="1"/>
        <v>0.2568324999217691</v>
      </c>
      <c r="AP25" s="2">
        <f t="shared" si="1"/>
        <v>0.2654029567612109</v>
      </c>
      <c r="AQ25" s="2">
        <f t="shared" si="1"/>
        <v>0.27400999257474068</v>
      </c>
      <c r="AR25" s="2">
        <f t="shared" si="1"/>
        <v>0.28265495742906399</v>
      </c>
      <c r="AS25" s="2">
        <f t="shared" si="1"/>
        <v>0.29133922312757077</v>
      </c>
      <c r="AT25" s="2">
        <f t="shared" si="1"/>
        <v>0.30006418414265768</v>
      </c>
      <c r="AU25" s="2">
        <f t="shared" si="1"/>
        <v>0.30883125857683363</v>
      </c>
      <c r="AV25" s="2">
        <f t="shared" si="1"/>
        <v>0.3176418891540852</v>
      </c>
      <c r="AW25" s="2">
        <f t="shared" si="1"/>
        <v>0.32649754424304556</v>
      </c>
      <c r="AX25" s="2">
        <f t="shared" si="1"/>
        <v>0.33539971891358322</v>
      </c>
      <c r="AY25" s="2">
        <f t="shared" si="1"/>
        <v>0.344349936028506</v>
      </c>
      <c r="AZ25" s="2">
        <f t="shared" si="1"/>
        <v>0.35334974737215469</v>
      </c>
      <c r="BA25" s="2">
        <f t="shared" si="1"/>
        <v>0.36240073481775309</v>
      </c>
    </row>
    <row r="26" spans="2:53" x14ac:dyDescent="0.2">
      <c r="B26" s="34"/>
      <c r="C26" s="38"/>
      <c r="D26" s="38" t="s">
        <v>23</v>
      </c>
      <c r="E26" s="38"/>
      <c r="F26" s="38"/>
      <c r="G26" s="77" t="s">
        <v>73</v>
      </c>
      <c r="H26" s="102">
        <f>H31/4</f>
        <v>3.125E-2</v>
      </c>
      <c r="I26" s="92" t="s">
        <v>13</v>
      </c>
      <c r="J26" s="35"/>
      <c r="K26" s="40"/>
      <c r="L26" s="62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7"/>
      <c r="AF26" s="23" t="s">
        <v>20</v>
      </c>
      <c r="AG26" s="2">
        <f>AG46/AG33</f>
        <v>0.38165196394234446</v>
      </c>
      <c r="AH26" s="2">
        <f t="shared" ref="AH26:BA26" si="2">AH46/AH33</f>
        <v>0.36203952859675981</v>
      </c>
      <c r="AI26" s="2">
        <f t="shared" si="2"/>
        <v>0.34479294040702813</v>
      </c>
      <c r="AJ26" s="2">
        <f t="shared" si="2"/>
        <v>0.32961635931241612</v>
      </c>
      <c r="AK26" s="2">
        <f t="shared" si="2"/>
        <v>0.31626264523295744</v>
      </c>
      <c r="AL26" s="2">
        <f t="shared" si="2"/>
        <v>0.30452476877678347</v>
      </c>
      <c r="AM26" s="2">
        <f t="shared" si="2"/>
        <v>0.29422895643525948</v>
      </c>
      <c r="AN26" s="2">
        <f t="shared" si="2"/>
        <v>0.28522920108313476</v>
      </c>
      <c r="AO26" s="2">
        <f t="shared" si="2"/>
        <v>0.2774028531598981</v>
      </c>
      <c r="AP26" s="2">
        <f t="shared" si="2"/>
        <v>0.27064707263981502</v>
      </c>
      <c r="AQ26" s="2">
        <f t="shared" si="2"/>
        <v>0.26487597155527504</v>
      </c>
      <c r="AR26" s="2">
        <f t="shared" si="2"/>
        <v>0.26001831507696294</v>
      </c>
      <c r="AS26" s="2">
        <f t="shared" si="2"/>
        <v>0.25601567876177833</v>
      </c>
      <c r="AT26" s="2">
        <f t="shared" si="2"/>
        <v>0.25282098267192021</v>
      </c>
      <c r="AU26" s="2">
        <f t="shared" si="2"/>
        <v>0.25039734125450486</v>
      </c>
      <c r="AV26" s="2">
        <f t="shared" si="2"/>
        <v>0.24871718237784743</v>
      </c>
      <c r="AW26" s="2">
        <f t="shared" si="2"/>
        <v>0.24776160069286066</v>
      </c>
      <c r="AX26" s="2">
        <f t="shared" si="2"/>
        <v>0.24751992026339562</v>
      </c>
      <c r="AY26" s="2">
        <f t="shared" si="2"/>
        <v>0.24798944977611032</v>
      </c>
      <c r="AZ26" s="2">
        <f t="shared" si="2"/>
        <v>0.2491754210832019</v>
      </c>
      <c r="BA26" s="2">
        <f t="shared" si="2"/>
        <v>0.25109110876735868</v>
      </c>
    </row>
    <row r="27" spans="2:53" ht="27" x14ac:dyDescent="0.2">
      <c r="B27" s="34"/>
      <c r="C27" s="38"/>
      <c r="D27" s="38" t="s">
        <v>22</v>
      </c>
      <c r="E27" s="38"/>
      <c r="F27" s="38"/>
      <c r="G27" s="77" t="s">
        <v>74</v>
      </c>
      <c r="H27" s="102">
        <f>H31 *H9/360</f>
        <v>5.3206606809693465E-3</v>
      </c>
      <c r="I27" s="92" t="s">
        <v>13</v>
      </c>
      <c r="J27" s="35"/>
      <c r="K27" s="40"/>
      <c r="L27" s="62"/>
      <c r="M27" s="40"/>
      <c r="N27" s="94">
        <f>H47</f>
        <v>49.999924551520088</v>
      </c>
      <c r="O27" s="95" t="s">
        <v>66</v>
      </c>
      <c r="P27" s="96">
        <f>H48</f>
        <v>8.3355193220735111E-5</v>
      </c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37"/>
      <c r="AF27" s="23" t="s">
        <v>21</v>
      </c>
      <c r="AG27" s="2">
        <f>AG47/AG33</f>
        <v>-0.70054656747086674</v>
      </c>
      <c r="AH27" s="2">
        <f t="shared" ref="AH27:BA27" si="3">AH47/AH33</f>
        <v>-0.64904399371376365</v>
      </c>
      <c r="AI27" s="2">
        <f t="shared" si="3"/>
        <v>-0.59958293741641477</v>
      </c>
      <c r="AJ27" s="2">
        <f t="shared" si="3"/>
        <v>-0.55196170100068842</v>
      </c>
      <c r="AK27" s="2">
        <f t="shared" si="3"/>
        <v>-0.50599345115552952</v>
      </c>
      <c r="AL27" s="2">
        <f t="shared" si="3"/>
        <v>-0.46150531634178343</v>
      </c>
      <c r="AM27" s="2">
        <f t="shared" si="3"/>
        <v>-0.41833726210092981</v>
      </c>
      <c r="AN27" s="2">
        <f t="shared" si="3"/>
        <v>-0.37634087137822686</v>
      </c>
      <c r="AO27" s="2">
        <f t="shared" si="3"/>
        <v>-0.33537810679817298</v>
      </c>
      <c r="AP27" s="2">
        <f t="shared" si="3"/>
        <v>-0.29532009946952203</v>
      </c>
      <c r="AQ27" s="2">
        <f t="shared" si="3"/>
        <v>-0.25604598814717194</v>
      </c>
      <c r="AR27" s="2">
        <f t="shared" si="3"/>
        <v>-0.21744181936305859</v>
      </c>
      <c r="AS27" s="2">
        <f t="shared" si="3"/>
        <v>-0.17939951080933531</v>
      </c>
      <c r="AT27" s="2">
        <f t="shared" si="3"/>
        <v>-0.14181587508719146</v>
      </c>
      <c r="AU27" s="2">
        <f t="shared" si="3"/>
        <v>-0.10459169779360214</v>
      </c>
      <c r="AV27" s="2">
        <f t="shared" si="3"/>
        <v>-6.7630862065395841E-2</v>
      </c>
      <c r="AW27" s="2">
        <f t="shared" si="3"/>
        <v>-3.0839510649987859E-2</v>
      </c>
      <c r="AX27" s="2">
        <f t="shared" si="3"/>
        <v>5.8747639916696204E-3</v>
      </c>
      <c r="AY27" s="2">
        <f t="shared" si="3"/>
        <v>4.2603711325912431E-2</v>
      </c>
      <c r="AZ27" s="2">
        <f t="shared" si="3"/>
        <v>7.9439206033403001E-2</v>
      </c>
      <c r="BA27" s="2">
        <f t="shared" si="3"/>
        <v>0.11647403288881968</v>
      </c>
    </row>
    <row r="28" spans="2:53" x14ac:dyDescent="0.2">
      <c r="B28" s="34"/>
      <c r="C28" s="38"/>
      <c r="D28" s="38"/>
      <c r="E28" s="38"/>
      <c r="F28" s="38"/>
      <c r="G28" s="77"/>
      <c r="H28" s="61"/>
      <c r="I28" s="92"/>
      <c r="J28" s="35"/>
      <c r="K28" s="40"/>
      <c r="L28" s="62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37"/>
    </row>
    <row r="29" spans="2:53" x14ac:dyDescent="0.2">
      <c r="B29" s="34"/>
      <c r="C29" s="51" t="s">
        <v>49</v>
      </c>
      <c r="D29" s="35"/>
      <c r="E29" s="35"/>
      <c r="F29" s="35"/>
      <c r="G29" s="48"/>
      <c r="H29" s="59"/>
      <c r="I29" s="91"/>
      <c r="J29" s="35"/>
      <c r="K29" s="35"/>
      <c r="L29" s="60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7"/>
      <c r="AQ29" s="2" t="s">
        <v>30</v>
      </c>
    </row>
    <row r="30" spans="2:53" x14ac:dyDescent="0.2">
      <c r="B30" s="34"/>
      <c r="C30" s="38"/>
      <c r="D30" s="38"/>
      <c r="E30" s="38"/>
      <c r="F30" s="38"/>
      <c r="G30" s="77"/>
      <c r="H30" s="61"/>
      <c r="I30" s="92"/>
      <c r="J30" s="35"/>
      <c r="K30" s="40"/>
      <c r="L30" s="62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37"/>
      <c r="AQ30" s="2">
        <f>H21</f>
        <v>3</v>
      </c>
    </row>
    <row r="31" spans="2:53" x14ac:dyDescent="0.2">
      <c r="B31" s="34"/>
      <c r="C31" s="38"/>
      <c r="D31" s="38" t="s">
        <v>9</v>
      </c>
      <c r="E31" s="38"/>
      <c r="F31" s="38"/>
      <c r="G31" s="77" t="s">
        <v>15</v>
      </c>
      <c r="H31" s="63">
        <f>300/H22</f>
        <v>0.125</v>
      </c>
      <c r="I31" s="92" t="s">
        <v>13</v>
      </c>
      <c r="J31" s="35"/>
      <c r="K31" s="40"/>
      <c r="L31" s="64" t="s">
        <v>16</v>
      </c>
      <c r="M31" s="64">
        <f>TAN(2 * PI() * H36)</f>
        <v>3.6495019418944468</v>
      </c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37"/>
      <c r="AF31" s="23" t="s">
        <v>33</v>
      </c>
      <c r="AG31" s="2">
        <f t="shared" ref="AG31:AO31" si="4">AH31-$AQ30</f>
        <v>-30</v>
      </c>
      <c r="AH31" s="2">
        <f t="shared" si="4"/>
        <v>-27</v>
      </c>
      <c r="AI31" s="2">
        <f t="shared" si="4"/>
        <v>-24</v>
      </c>
      <c r="AJ31" s="2">
        <f t="shared" si="4"/>
        <v>-21</v>
      </c>
      <c r="AK31" s="2">
        <f t="shared" si="4"/>
        <v>-18</v>
      </c>
      <c r="AL31" s="2">
        <f t="shared" si="4"/>
        <v>-15</v>
      </c>
      <c r="AM31" s="2">
        <f t="shared" si="4"/>
        <v>-12</v>
      </c>
      <c r="AN31" s="2">
        <f t="shared" si="4"/>
        <v>-9</v>
      </c>
      <c r="AO31" s="2">
        <f t="shared" si="4"/>
        <v>-6</v>
      </c>
      <c r="AP31" s="2">
        <f>-1*$AQ30</f>
        <v>-3</v>
      </c>
      <c r="AQ31" s="2">
        <v>0</v>
      </c>
      <c r="AR31" s="2">
        <f>AQ30</f>
        <v>3</v>
      </c>
      <c r="AS31" s="2">
        <f t="shared" ref="AS31:BA31" si="5">AR31+$AQ30</f>
        <v>6</v>
      </c>
      <c r="AT31" s="2">
        <f t="shared" si="5"/>
        <v>9</v>
      </c>
      <c r="AU31" s="2">
        <f t="shared" si="5"/>
        <v>12</v>
      </c>
      <c r="AV31" s="2">
        <f t="shared" si="5"/>
        <v>15</v>
      </c>
      <c r="AW31" s="2">
        <f t="shared" si="5"/>
        <v>18</v>
      </c>
      <c r="AX31" s="2">
        <f t="shared" si="5"/>
        <v>21</v>
      </c>
      <c r="AY31" s="2">
        <f t="shared" si="5"/>
        <v>24</v>
      </c>
      <c r="AZ31" s="2">
        <f t="shared" si="5"/>
        <v>27</v>
      </c>
      <c r="BA31" s="2">
        <f t="shared" si="5"/>
        <v>30</v>
      </c>
    </row>
    <row r="32" spans="2:53" x14ac:dyDescent="0.2">
      <c r="B32" s="34"/>
      <c r="C32" s="38"/>
      <c r="D32" s="38" t="s">
        <v>25</v>
      </c>
      <c r="E32" s="38"/>
      <c r="F32" s="38"/>
      <c r="G32" s="77" t="s">
        <v>15</v>
      </c>
      <c r="H32" s="63">
        <f>H42+H36</f>
        <v>0.25</v>
      </c>
      <c r="I32" s="92"/>
      <c r="J32" s="35"/>
      <c r="K32" s="40"/>
      <c r="L32" s="64" t="s">
        <v>17</v>
      </c>
      <c r="M32" s="64">
        <f>TAN(2 * PI() * H42)</f>
        <v>0.27400999257474068</v>
      </c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37"/>
      <c r="AG32" s="2">
        <f t="shared" ref="AG32:AP32" si="6">$AQ32 + AG31*$AQ32/100</f>
        <v>1680</v>
      </c>
      <c r="AH32" s="2">
        <f t="shared" si="6"/>
        <v>1752</v>
      </c>
      <c r="AI32" s="2">
        <f t="shared" si="6"/>
        <v>1824</v>
      </c>
      <c r="AJ32" s="2">
        <f t="shared" si="6"/>
        <v>1896</v>
      </c>
      <c r="AK32" s="2">
        <f t="shared" si="6"/>
        <v>1968</v>
      </c>
      <c r="AL32" s="2">
        <f t="shared" si="6"/>
        <v>2040</v>
      </c>
      <c r="AM32" s="2">
        <f t="shared" si="6"/>
        <v>2112</v>
      </c>
      <c r="AN32" s="2">
        <f t="shared" si="6"/>
        <v>2184</v>
      </c>
      <c r="AO32" s="2">
        <f t="shared" si="6"/>
        <v>2256</v>
      </c>
      <c r="AP32" s="2">
        <f t="shared" si="6"/>
        <v>2328</v>
      </c>
      <c r="AQ32" s="2">
        <f t="shared" ref="AQ32:BA37" si="7">$H22</f>
        <v>2400</v>
      </c>
      <c r="AR32" s="2">
        <f t="shared" ref="AR32:BA32" si="8">$AQ32 + AR31*$AQ32/100</f>
        <v>2472</v>
      </c>
      <c r="AS32" s="2">
        <f t="shared" si="8"/>
        <v>2544</v>
      </c>
      <c r="AT32" s="2">
        <f t="shared" si="8"/>
        <v>2616</v>
      </c>
      <c r="AU32" s="2">
        <f t="shared" si="8"/>
        <v>2688</v>
      </c>
      <c r="AV32" s="2">
        <f t="shared" si="8"/>
        <v>2760</v>
      </c>
      <c r="AW32" s="2">
        <f t="shared" si="8"/>
        <v>2832</v>
      </c>
      <c r="AX32" s="2">
        <f t="shared" si="8"/>
        <v>2904</v>
      </c>
      <c r="AY32" s="2">
        <f t="shared" si="8"/>
        <v>2976</v>
      </c>
      <c r="AZ32" s="2">
        <f t="shared" si="8"/>
        <v>3048</v>
      </c>
      <c r="BA32" s="2">
        <f t="shared" si="8"/>
        <v>3120</v>
      </c>
    </row>
    <row r="33" spans="2:53" x14ac:dyDescent="0.2">
      <c r="B33" s="34"/>
      <c r="C33" s="38"/>
      <c r="D33" s="38"/>
      <c r="E33" s="38"/>
      <c r="F33" s="38"/>
      <c r="G33" s="77"/>
      <c r="H33" s="61"/>
      <c r="I33" s="92"/>
      <c r="J33" s="35"/>
      <c r="K33" s="40"/>
      <c r="L33" s="64" t="s">
        <v>20</v>
      </c>
      <c r="M33" s="64">
        <f>H37/H23</f>
        <v>0.26487597155527504</v>
      </c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37"/>
      <c r="AG33" s="2">
        <f t="shared" ref="AG33:AP37" si="9">$H23</f>
        <v>177.20342669329972</v>
      </c>
      <c r="AH33" s="2">
        <f t="shared" si="9"/>
        <v>177.20342669329972</v>
      </c>
      <c r="AI33" s="2">
        <f t="shared" si="9"/>
        <v>177.20342669329972</v>
      </c>
      <c r="AJ33" s="2">
        <f t="shared" si="9"/>
        <v>177.20342669329972</v>
      </c>
      <c r="AK33" s="2">
        <f t="shared" si="9"/>
        <v>177.20342669329972</v>
      </c>
      <c r="AL33" s="2">
        <f t="shared" si="9"/>
        <v>177.20342669329972</v>
      </c>
      <c r="AM33" s="2">
        <f t="shared" si="9"/>
        <v>177.20342669329972</v>
      </c>
      <c r="AN33" s="2">
        <f t="shared" si="9"/>
        <v>177.20342669329972</v>
      </c>
      <c r="AO33" s="2">
        <f t="shared" si="9"/>
        <v>177.20342669329972</v>
      </c>
      <c r="AP33" s="2">
        <f t="shared" si="9"/>
        <v>177.20342669329972</v>
      </c>
      <c r="AQ33" s="2">
        <f t="shared" si="7"/>
        <v>177.20342669329972</v>
      </c>
      <c r="AR33" s="2">
        <f t="shared" si="7"/>
        <v>177.20342669329972</v>
      </c>
      <c r="AS33" s="2">
        <f t="shared" si="7"/>
        <v>177.20342669329972</v>
      </c>
      <c r="AT33" s="2">
        <f t="shared" si="7"/>
        <v>177.20342669329972</v>
      </c>
      <c r="AU33" s="2">
        <f t="shared" si="7"/>
        <v>177.20342669329972</v>
      </c>
      <c r="AV33" s="2">
        <f t="shared" si="7"/>
        <v>177.20342669329972</v>
      </c>
      <c r="AW33" s="2">
        <f t="shared" si="7"/>
        <v>177.20342669329972</v>
      </c>
      <c r="AX33" s="2">
        <f t="shared" si="7"/>
        <v>177.20342669329972</v>
      </c>
      <c r="AY33" s="2">
        <f t="shared" si="7"/>
        <v>177.20342669329972</v>
      </c>
      <c r="AZ33" s="2">
        <f t="shared" si="7"/>
        <v>177.20342669329972</v>
      </c>
      <c r="BA33" s="2">
        <f t="shared" si="7"/>
        <v>177.20342669329972</v>
      </c>
    </row>
    <row r="34" spans="2:53" x14ac:dyDescent="0.2">
      <c r="B34" s="34"/>
      <c r="C34" s="38" t="s">
        <v>50</v>
      </c>
      <c r="D34" s="38"/>
      <c r="E34" s="38"/>
      <c r="F34" s="38"/>
      <c r="G34" s="77"/>
      <c r="H34" s="61"/>
      <c r="I34" s="92"/>
      <c r="J34" s="35"/>
      <c r="K34" s="40"/>
      <c r="L34" s="64" t="s">
        <v>21</v>
      </c>
      <c r="M34" s="64">
        <f>H38/H23</f>
        <v>-0.25604598814717194</v>
      </c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37"/>
      <c r="AG34" s="2">
        <f t="shared" si="9"/>
        <v>715.94214085801343</v>
      </c>
      <c r="AH34" s="2">
        <f t="shared" si="9"/>
        <v>715.94214085801343</v>
      </c>
      <c r="AI34" s="2">
        <f t="shared" si="9"/>
        <v>715.94214085801343</v>
      </c>
      <c r="AJ34" s="2">
        <f t="shared" si="9"/>
        <v>715.94214085801343</v>
      </c>
      <c r="AK34" s="2">
        <f t="shared" si="9"/>
        <v>715.94214085801343</v>
      </c>
      <c r="AL34" s="2">
        <f t="shared" si="9"/>
        <v>715.94214085801343</v>
      </c>
      <c r="AM34" s="2">
        <f t="shared" si="9"/>
        <v>715.94214085801343</v>
      </c>
      <c r="AN34" s="2">
        <f t="shared" si="9"/>
        <v>715.94214085801343</v>
      </c>
      <c r="AO34" s="2">
        <f t="shared" si="9"/>
        <v>715.94214085801343</v>
      </c>
      <c r="AP34" s="2">
        <f t="shared" si="9"/>
        <v>715.94214085801343</v>
      </c>
      <c r="AQ34" s="2">
        <f t="shared" si="7"/>
        <v>715.94214085801343</v>
      </c>
      <c r="AR34" s="2">
        <f t="shared" si="7"/>
        <v>715.94214085801343</v>
      </c>
      <c r="AS34" s="2">
        <f t="shared" si="7"/>
        <v>715.94214085801343</v>
      </c>
      <c r="AT34" s="2">
        <f t="shared" si="7"/>
        <v>715.94214085801343</v>
      </c>
      <c r="AU34" s="2">
        <f t="shared" si="7"/>
        <v>715.94214085801343</v>
      </c>
      <c r="AV34" s="2">
        <f t="shared" si="7"/>
        <v>715.94214085801343</v>
      </c>
      <c r="AW34" s="2">
        <f t="shared" si="7"/>
        <v>715.94214085801343</v>
      </c>
      <c r="AX34" s="2">
        <f t="shared" si="7"/>
        <v>715.94214085801343</v>
      </c>
      <c r="AY34" s="2">
        <f t="shared" si="7"/>
        <v>715.94214085801343</v>
      </c>
      <c r="AZ34" s="2">
        <f t="shared" si="7"/>
        <v>715.94214085801343</v>
      </c>
      <c r="BA34" s="2">
        <f t="shared" si="7"/>
        <v>715.94214085801343</v>
      </c>
    </row>
    <row r="35" spans="2:53" ht="27" x14ac:dyDescent="0.2">
      <c r="B35" s="34"/>
      <c r="C35" s="38"/>
      <c r="D35" s="38" t="s">
        <v>7</v>
      </c>
      <c r="E35" s="38"/>
      <c r="F35" s="38"/>
      <c r="G35" s="77" t="s">
        <v>65</v>
      </c>
      <c r="H35" s="63">
        <f>H26-H27</f>
        <v>2.5929339319030652E-2</v>
      </c>
      <c r="I35" s="92" t="s">
        <v>13</v>
      </c>
      <c r="J35" s="35"/>
      <c r="K35" s="40"/>
      <c r="L35" s="62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37"/>
      <c r="AG35" s="2">
        <f t="shared" si="9"/>
        <v>0</v>
      </c>
      <c r="AH35" s="2">
        <f t="shared" si="9"/>
        <v>0</v>
      </c>
      <c r="AI35" s="2">
        <f t="shared" si="9"/>
        <v>0</v>
      </c>
      <c r="AJ35" s="2">
        <f t="shared" si="9"/>
        <v>0</v>
      </c>
      <c r="AK35" s="2">
        <f t="shared" si="9"/>
        <v>0</v>
      </c>
      <c r="AL35" s="2">
        <f t="shared" si="9"/>
        <v>0</v>
      </c>
      <c r="AM35" s="2">
        <f t="shared" si="9"/>
        <v>0</v>
      </c>
      <c r="AN35" s="2">
        <f t="shared" si="9"/>
        <v>0</v>
      </c>
      <c r="AO35" s="2">
        <f t="shared" si="9"/>
        <v>0</v>
      </c>
      <c r="AP35" s="2">
        <f t="shared" si="9"/>
        <v>0</v>
      </c>
      <c r="AQ35" s="2">
        <f t="shared" si="7"/>
        <v>0</v>
      </c>
      <c r="AR35" s="2">
        <f t="shared" si="7"/>
        <v>0</v>
      </c>
      <c r="AS35" s="2">
        <f t="shared" si="7"/>
        <v>0</v>
      </c>
      <c r="AT35" s="2">
        <f t="shared" si="7"/>
        <v>0</v>
      </c>
      <c r="AU35" s="2">
        <f t="shared" si="7"/>
        <v>0</v>
      </c>
      <c r="AV35" s="2">
        <f t="shared" si="7"/>
        <v>0</v>
      </c>
      <c r="AW35" s="2">
        <f t="shared" si="7"/>
        <v>0</v>
      </c>
      <c r="AX35" s="2">
        <f t="shared" si="7"/>
        <v>0</v>
      </c>
      <c r="AY35" s="2">
        <f t="shared" si="7"/>
        <v>0</v>
      </c>
      <c r="AZ35" s="2">
        <f t="shared" si="7"/>
        <v>0</v>
      </c>
      <c r="BA35" s="2">
        <f t="shared" si="7"/>
        <v>0</v>
      </c>
    </row>
    <row r="36" spans="2:53" x14ac:dyDescent="0.2">
      <c r="B36" s="34"/>
      <c r="C36" s="38"/>
      <c r="D36" s="38" t="s">
        <v>19</v>
      </c>
      <c r="E36" s="38"/>
      <c r="F36" s="38"/>
      <c r="G36" s="77"/>
      <c r="H36" s="63">
        <f>H35/H31</f>
        <v>0.20743471455224521</v>
      </c>
      <c r="I36" s="92" t="s">
        <v>18</v>
      </c>
      <c r="J36" s="35"/>
      <c r="K36" s="40"/>
      <c r="L36" s="62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37"/>
      <c r="AG36" s="2">
        <f t="shared" si="9"/>
        <v>3.125E-2</v>
      </c>
      <c r="AH36" s="2">
        <f t="shared" si="9"/>
        <v>3.125E-2</v>
      </c>
      <c r="AI36" s="2">
        <f t="shared" si="9"/>
        <v>3.125E-2</v>
      </c>
      <c r="AJ36" s="2">
        <f t="shared" si="9"/>
        <v>3.125E-2</v>
      </c>
      <c r="AK36" s="2">
        <f t="shared" si="9"/>
        <v>3.125E-2</v>
      </c>
      <c r="AL36" s="2">
        <f t="shared" si="9"/>
        <v>3.125E-2</v>
      </c>
      <c r="AM36" s="2">
        <f t="shared" si="9"/>
        <v>3.125E-2</v>
      </c>
      <c r="AN36" s="2">
        <f t="shared" si="9"/>
        <v>3.125E-2</v>
      </c>
      <c r="AO36" s="2">
        <f t="shared" si="9"/>
        <v>3.125E-2</v>
      </c>
      <c r="AP36" s="2">
        <f t="shared" si="9"/>
        <v>3.125E-2</v>
      </c>
      <c r="AQ36" s="2">
        <f t="shared" si="7"/>
        <v>3.125E-2</v>
      </c>
      <c r="AR36" s="2">
        <f t="shared" si="7"/>
        <v>3.125E-2</v>
      </c>
      <c r="AS36" s="2">
        <f t="shared" si="7"/>
        <v>3.125E-2</v>
      </c>
      <c r="AT36" s="2">
        <f t="shared" si="7"/>
        <v>3.125E-2</v>
      </c>
      <c r="AU36" s="2">
        <f t="shared" si="7"/>
        <v>3.125E-2</v>
      </c>
      <c r="AV36" s="2">
        <f t="shared" si="7"/>
        <v>3.125E-2</v>
      </c>
      <c r="AW36" s="2">
        <f t="shared" si="7"/>
        <v>3.125E-2</v>
      </c>
      <c r="AX36" s="2">
        <f t="shared" si="7"/>
        <v>3.125E-2</v>
      </c>
      <c r="AY36" s="2">
        <f t="shared" si="7"/>
        <v>3.125E-2</v>
      </c>
      <c r="AZ36" s="2">
        <f t="shared" si="7"/>
        <v>3.125E-2</v>
      </c>
      <c r="BA36" s="2">
        <f t="shared" si="7"/>
        <v>3.125E-2</v>
      </c>
    </row>
    <row r="37" spans="2:53" ht="27" x14ac:dyDescent="0.2">
      <c r="B37" s="34"/>
      <c r="C37" s="38"/>
      <c r="D37" s="38" t="s">
        <v>10</v>
      </c>
      <c r="E37" s="38"/>
      <c r="F37" s="38"/>
      <c r="G37" s="77" t="s">
        <v>70</v>
      </c>
      <c r="H37" s="61">
        <f>H23*(H24*H23 + H24*H23*M31*M31)/(H23*H23 + H24*H24*M31*M31)</f>
        <v>46.936929808311717</v>
      </c>
      <c r="I37" s="92" t="s">
        <v>14</v>
      </c>
      <c r="J37" s="35"/>
      <c r="K37" s="40"/>
      <c r="L37" s="62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37"/>
      <c r="AF37" s="23" t="s">
        <v>56</v>
      </c>
      <c r="AG37" s="2">
        <f t="shared" si="9"/>
        <v>5.3206606809693465E-3</v>
      </c>
      <c r="AH37" s="2">
        <f t="shared" si="9"/>
        <v>5.3206606809693465E-3</v>
      </c>
      <c r="AI37" s="2">
        <f t="shared" si="9"/>
        <v>5.3206606809693465E-3</v>
      </c>
      <c r="AJ37" s="2">
        <f t="shared" si="9"/>
        <v>5.3206606809693465E-3</v>
      </c>
      <c r="AK37" s="2">
        <f t="shared" si="9"/>
        <v>5.3206606809693465E-3</v>
      </c>
      <c r="AL37" s="2">
        <f t="shared" si="9"/>
        <v>5.3206606809693465E-3</v>
      </c>
      <c r="AM37" s="2">
        <f t="shared" si="9"/>
        <v>5.3206606809693465E-3</v>
      </c>
      <c r="AN37" s="2">
        <f t="shared" si="9"/>
        <v>5.3206606809693465E-3</v>
      </c>
      <c r="AO37" s="2">
        <f t="shared" si="9"/>
        <v>5.3206606809693465E-3</v>
      </c>
      <c r="AP37" s="2">
        <f t="shared" si="9"/>
        <v>5.3206606809693465E-3</v>
      </c>
      <c r="AQ37" s="2">
        <f t="shared" si="7"/>
        <v>5.3206606809693465E-3</v>
      </c>
      <c r="AR37" s="2">
        <f t="shared" si="7"/>
        <v>5.3206606809693465E-3</v>
      </c>
      <c r="AS37" s="2">
        <f t="shared" si="7"/>
        <v>5.3206606809693465E-3</v>
      </c>
      <c r="AT37" s="2">
        <f t="shared" si="7"/>
        <v>5.3206606809693465E-3</v>
      </c>
      <c r="AU37" s="2">
        <f t="shared" si="7"/>
        <v>5.3206606809693465E-3</v>
      </c>
      <c r="AV37" s="2">
        <f t="shared" si="7"/>
        <v>5.3206606809693465E-3</v>
      </c>
      <c r="AW37" s="2">
        <f t="shared" si="7"/>
        <v>5.3206606809693465E-3</v>
      </c>
      <c r="AX37" s="2">
        <f t="shared" si="7"/>
        <v>5.3206606809693465E-3</v>
      </c>
      <c r="AY37" s="2">
        <f t="shared" si="7"/>
        <v>5.3206606809693465E-3</v>
      </c>
      <c r="AZ37" s="2">
        <f t="shared" si="7"/>
        <v>5.3206606809693465E-3</v>
      </c>
      <c r="BA37" s="2">
        <f t="shared" si="7"/>
        <v>5.3206606809693465E-3</v>
      </c>
    </row>
    <row r="38" spans="2:53" ht="27" x14ac:dyDescent="0.2">
      <c r="B38" s="34"/>
      <c r="C38" s="38"/>
      <c r="D38" s="38"/>
      <c r="E38" s="38"/>
      <c r="F38" s="38"/>
      <c r="G38" s="77" t="s">
        <v>76</v>
      </c>
      <c r="H38" s="61">
        <f>H23*(H23*H23*M31 - H24*H24*M31)/(H23*H23 + H24*H24*M31*M31)</f>
        <v>-45.372226490750869</v>
      </c>
      <c r="I38" s="92" t="s">
        <v>14</v>
      </c>
      <c r="J38" s="35"/>
      <c r="K38" s="40"/>
      <c r="L38" s="62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37"/>
    </row>
    <row r="39" spans="2:53" x14ac:dyDescent="0.2">
      <c r="B39" s="34"/>
      <c r="C39" s="38"/>
      <c r="D39" s="38"/>
      <c r="E39" s="38"/>
      <c r="F39" s="38"/>
      <c r="G39" s="77"/>
      <c r="H39" s="61"/>
      <c r="I39" s="92"/>
      <c r="J39" s="35"/>
      <c r="K39" s="40"/>
      <c r="L39" s="62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37"/>
    </row>
    <row r="40" spans="2:53" x14ac:dyDescent="0.2">
      <c r="B40" s="34"/>
      <c r="C40" s="38" t="s">
        <v>51</v>
      </c>
      <c r="D40" s="38"/>
      <c r="E40" s="38"/>
      <c r="F40" s="38"/>
      <c r="G40" s="77"/>
      <c r="H40" s="61"/>
      <c r="I40" s="92"/>
      <c r="J40" s="35"/>
      <c r="K40" s="40"/>
      <c r="L40" s="62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37"/>
      <c r="AG40" s="2">
        <f>300/AG32</f>
        <v>0.17857142857142858</v>
      </c>
      <c r="AH40" s="2">
        <f t="shared" ref="AH40:BA40" si="10">300/AH32</f>
        <v>0.17123287671232876</v>
      </c>
      <c r="AI40" s="2">
        <f t="shared" si="10"/>
        <v>0.16447368421052633</v>
      </c>
      <c r="AJ40" s="2">
        <f t="shared" si="10"/>
        <v>0.15822784810126583</v>
      </c>
      <c r="AK40" s="2">
        <f t="shared" si="10"/>
        <v>0.1524390243902439</v>
      </c>
      <c r="AL40" s="2">
        <f t="shared" si="10"/>
        <v>0.14705882352941177</v>
      </c>
      <c r="AM40" s="2">
        <f t="shared" si="10"/>
        <v>0.14204545454545456</v>
      </c>
      <c r="AN40" s="2">
        <f t="shared" si="10"/>
        <v>0.13736263736263737</v>
      </c>
      <c r="AO40" s="2">
        <f t="shared" si="10"/>
        <v>0.13297872340425532</v>
      </c>
      <c r="AP40" s="2">
        <f t="shared" si="10"/>
        <v>0.12886597938144329</v>
      </c>
      <c r="AQ40" s="2">
        <f t="shared" si="10"/>
        <v>0.125</v>
      </c>
      <c r="AR40" s="2">
        <f t="shared" si="10"/>
        <v>0.12135922330097088</v>
      </c>
      <c r="AS40" s="2">
        <f t="shared" si="10"/>
        <v>0.11792452830188679</v>
      </c>
      <c r="AT40" s="2">
        <f t="shared" si="10"/>
        <v>0.11467889908256881</v>
      </c>
      <c r="AU40" s="2">
        <f t="shared" si="10"/>
        <v>0.11160714285714286</v>
      </c>
      <c r="AV40" s="2">
        <f t="shared" si="10"/>
        <v>0.10869565217391304</v>
      </c>
      <c r="AW40" s="2">
        <f t="shared" si="10"/>
        <v>0.1059322033898305</v>
      </c>
      <c r="AX40" s="2">
        <f t="shared" si="10"/>
        <v>0.10330578512396695</v>
      </c>
      <c r="AY40" s="2">
        <f t="shared" si="10"/>
        <v>0.10080645161290322</v>
      </c>
      <c r="AZ40" s="2">
        <f t="shared" si="10"/>
        <v>9.8425196850393706E-2</v>
      </c>
      <c r="BA40" s="2">
        <f t="shared" si="10"/>
        <v>9.6153846153846159E-2</v>
      </c>
    </row>
    <row r="41" spans="2:53" ht="27" x14ac:dyDescent="0.2">
      <c r="B41" s="34"/>
      <c r="C41" s="38"/>
      <c r="D41" s="38" t="s">
        <v>7</v>
      </c>
      <c r="E41" s="38"/>
      <c r="F41" s="38"/>
      <c r="G41" s="77" t="s">
        <v>64</v>
      </c>
      <c r="H41" s="63">
        <f>H27</f>
        <v>5.3206606809693465E-3</v>
      </c>
      <c r="I41" s="92" t="s">
        <v>13</v>
      </c>
      <c r="J41" s="35"/>
      <c r="K41" s="40"/>
      <c r="L41" s="62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37"/>
      <c r="AG41" s="2">
        <f>AG52+AG45</f>
        <v>0.17499999999999999</v>
      </c>
      <c r="AH41" s="2">
        <f t="shared" ref="AH41:BA41" si="11">AH52+AH45</f>
        <v>0.1825</v>
      </c>
      <c r="AI41" s="2">
        <f t="shared" si="11"/>
        <v>0.18999999999999997</v>
      </c>
      <c r="AJ41" s="2">
        <f t="shared" si="11"/>
        <v>0.19749999999999998</v>
      </c>
      <c r="AK41" s="2">
        <f t="shared" si="11"/>
        <v>0.20500000000000002</v>
      </c>
      <c r="AL41" s="2">
        <f t="shared" si="11"/>
        <v>0.21249999999999999</v>
      </c>
      <c r="AM41" s="2">
        <f t="shared" si="11"/>
        <v>0.21999999999999997</v>
      </c>
      <c r="AN41" s="2">
        <f t="shared" si="11"/>
        <v>0.22749999999999998</v>
      </c>
      <c r="AO41" s="2">
        <f t="shared" si="11"/>
        <v>0.23499999999999999</v>
      </c>
      <c r="AP41" s="2">
        <f t="shared" si="11"/>
        <v>0.24250000000000002</v>
      </c>
      <c r="AQ41" s="2">
        <f t="shared" si="11"/>
        <v>0.25</v>
      </c>
      <c r="AR41" s="2">
        <f t="shared" si="11"/>
        <v>0.25749999999999995</v>
      </c>
      <c r="AS41" s="2">
        <f t="shared" si="11"/>
        <v>0.26499999999999996</v>
      </c>
      <c r="AT41" s="2">
        <f t="shared" si="11"/>
        <v>0.27249999999999996</v>
      </c>
      <c r="AU41" s="2">
        <f t="shared" si="11"/>
        <v>0.27999999999999997</v>
      </c>
      <c r="AV41" s="2">
        <f t="shared" si="11"/>
        <v>0.28749999999999998</v>
      </c>
      <c r="AW41" s="2">
        <f t="shared" si="11"/>
        <v>0.29499999999999998</v>
      </c>
      <c r="AX41" s="2">
        <f t="shared" si="11"/>
        <v>0.30249999999999999</v>
      </c>
      <c r="AY41" s="2">
        <f t="shared" si="11"/>
        <v>0.31</v>
      </c>
      <c r="AZ41" s="2">
        <f t="shared" si="11"/>
        <v>0.31749999999999995</v>
      </c>
      <c r="BA41" s="2">
        <f t="shared" si="11"/>
        <v>0.32499999999999996</v>
      </c>
    </row>
    <row r="42" spans="2:53" x14ac:dyDescent="0.2">
      <c r="B42" s="34"/>
      <c r="C42" s="38"/>
      <c r="D42" s="38" t="s">
        <v>19</v>
      </c>
      <c r="E42" s="38"/>
      <c r="F42" s="38"/>
      <c r="G42" s="77"/>
      <c r="H42" s="63">
        <f>H41/H31</f>
        <v>4.2565285447754772E-2</v>
      </c>
      <c r="I42" s="92" t="s">
        <v>18</v>
      </c>
      <c r="J42" s="35"/>
      <c r="K42" s="40"/>
      <c r="L42" s="62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37"/>
    </row>
    <row r="43" spans="2:53" ht="27" x14ac:dyDescent="0.2">
      <c r="B43" s="34"/>
      <c r="C43" s="38"/>
      <c r="D43" s="38" t="s">
        <v>10</v>
      </c>
      <c r="E43" s="38"/>
      <c r="F43" s="38"/>
      <c r="G43" s="77" t="s">
        <v>77</v>
      </c>
      <c r="H43" s="61">
        <v>0</v>
      </c>
      <c r="I43" s="92" t="s">
        <v>14</v>
      </c>
      <c r="J43" s="35"/>
      <c r="K43" s="40"/>
      <c r="L43" s="62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37"/>
    </row>
    <row r="44" spans="2:53" ht="27" x14ac:dyDescent="0.2">
      <c r="B44" s="34"/>
      <c r="C44" s="38"/>
      <c r="D44" s="38"/>
      <c r="E44" s="38"/>
      <c r="F44" s="38"/>
      <c r="G44" s="77" t="s">
        <v>78</v>
      </c>
      <c r="H44" s="61">
        <f>H23*(H23*H23*M32 - H25*H25*M32)/(H23*H23 + H25*H25*M32*M32)</f>
        <v>48.555509632449656</v>
      </c>
      <c r="I44" s="92" t="s">
        <v>14</v>
      </c>
      <c r="J44" s="35"/>
      <c r="K44" s="40"/>
      <c r="L44" s="62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37"/>
      <c r="AG44" s="2">
        <f>AG36-AG37</f>
        <v>2.5929339319030652E-2</v>
      </c>
      <c r="AH44" s="2">
        <f t="shared" ref="AH44:BA44" si="12">AH36-AH37</f>
        <v>2.5929339319030652E-2</v>
      </c>
      <c r="AI44" s="2">
        <f t="shared" si="12"/>
        <v>2.5929339319030652E-2</v>
      </c>
      <c r="AJ44" s="2">
        <f t="shared" si="12"/>
        <v>2.5929339319030652E-2</v>
      </c>
      <c r="AK44" s="2">
        <f t="shared" si="12"/>
        <v>2.5929339319030652E-2</v>
      </c>
      <c r="AL44" s="2">
        <f t="shared" si="12"/>
        <v>2.5929339319030652E-2</v>
      </c>
      <c r="AM44" s="2">
        <f t="shared" si="12"/>
        <v>2.5929339319030652E-2</v>
      </c>
      <c r="AN44" s="2">
        <f t="shared" si="12"/>
        <v>2.5929339319030652E-2</v>
      </c>
      <c r="AO44" s="2">
        <f t="shared" si="12"/>
        <v>2.5929339319030652E-2</v>
      </c>
      <c r="AP44" s="2">
        <f t="shared" si="12"/>
        <v>2.5929339319030652E-2</v>
      </c>
      <c r="AQ44" s="2">
        <f t="shared" si="12"/>
        <v>2.5929339319030652E-2</v>
      </c>
      <c r="AR44" s="2">
        <f t="shared" si="12"/>
        <v>2.5929339319030652E-2</v>
      </c>
      <c r="AS44" s="2">
        <f t="shared" si="12"/>
        <v>2.5929339319030652E-2</v>
      </c>
      <c r="AT44" s="2">
        <f t="shared" si="12"/>
        <v>2.5929339319030652E-2</v>
      </c>
      <c r="AU44" s="2">
        <f t="shared" si="12"/>
        <v>2.5929339319030652E-2</v>
      </c>
      <c r="AV44" s="2">
        <f t="shared" si="12"/>
        <v>2.5929339319030652E-2</v>
      </c>
      <c r="AW44" s="2">
        <f t="shared" si="12"/>
        <v>2.5929339319030652E-2</v>
      </c>
      <c r="AX44" s="2">
        <f t="shared" si="12"/>
        <v>2.5929339319030652E-2</v>
      </c>
      <c r="AY44" s="2">
        <f t="shared" si="12"/>
        <v>2.5929339319030652E-2</v>
      </c>
      <c r="AZ44" s="2">
        <f t="shared" si="12"/>
        <v>2.5929339319030652E-2</v>
      </c>
      <c r="BA44" s="2">
        <f t="shared" si="12"/>
        <v>2.5929339319030652E-2</v>
      </c>
    </row>
    <row r="45" spans="2:53" x14ac:dyDescent="0.2">
      <c r="B45" s="34"/>
      <c r="C45" s="38"/>
      <c r="D45" s="38"/>
      <c r="E45" s="38"/>
      <c r="F45" s="38"/>
      <c r="G45" s="77"/>
      <c r="H45" s="61"/>
      <c r="I45" s="92"/>
      <c r="J45" s="35"/>
      <c r="K45" s="40"/>
      <c r="L45" s="62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37"/>
      <c r="AG45" s="2">
        <f>AG44/AG40</f>
        <v>0.14520430018657166</v>
      </c>
      <c r="AH45" s="2">
        <f t="shared" ref="AH45:BA45" si="13">AH44/AH40</f>
        <v>0.15142734162313901</v>
      </c>
      <c r="AI45" s="2">
        <f t="shared" si="13"/>
        <v>0.15765038305970636</v>
      </c>
      <c r="AJ45" s="2">
        <f t="shared" si="13"/>
        <v>0.16387342449627371</v>
      </c>
      <c r="AK45" s="2">
        <f t="shared" si="13"/>
        <v>0.17009646593284108</v>
      </c>
      <c r="AL45" s="2">
        <f t="shared" si="13"/>
        <v>0.17631950736940843</v>
      </c>
      <c r="AM45" s="2">
        <f t="shared" si="13"/>
        <v>0.18254254880597579</v>
      </c>
      <c r="AN45" s="2">
        <f t="shared" si="13"/>
        <v>0.18876559024254314</v>
      </c>
      <c r="AO45" s="2">
        <f t="shared" si="13"/>
        <v>0.19498863167911051</v>
      </c>
      <c r="AP45" s="2">
        <f t="shared" si="13"/>
        <v>0.20121167311567789</v>
      </c>
      <c r="AQ45" s="2">
        <f t="shared" si="13"/>
        <v>0.20743471455224521</v>
      </c>
      <c r="AR45" s="2">
        <f t="shared" si="13"/>
        <v>0.21365775598881256</v>
      </c>
      <c r="AS45" s="2">
        <f t="shared" si="13"/>
        <v>0.21988079742537991</v>
      </c>
      <c r="AT45" s="2">
        <f t="shared" si="13"/>
        <v>0.22610383886194726</v>
      </c>
      <c r="AU45" s="2">
        <f t="shared" si="13"/>
        <v>0.23232688029851462</v>
      </c>
      <c r="AV45" s="2">
        <f t="shared" si="13"/>
        <v>0.23854992173508199</v>
      </c>
      <c r="AW45" s="2">
        <f t="shared" si="13"/>
        <v>0.24477296317164937</v>
      </c>
      <c r="AX45" s="2">
        <f t="shared" si="13"/>
        <v>0.25099600460821669</v>
      </c>
      <c r="AY45" s="2">
        <f t="shared" si="13"/>
        <v>0.25721904604478407</v>
      </c>
      <c r="AZ45" s="2">
        <f t="shared" si="13"/>
        <v>0.26344208748135139</v>
      </c>
      <c r="BA45" s="2">
        <f t="shared" si="13"/>
        <v>0.26966512891791877</v>
      </c>
    </row>
    <row r="46" spans="2:53" x14ac:dyDescent="0.2">
      <c r="B46" s="34"/>
      <c r="C46" s="38"/>
      <c r="D46" s="38"/>
      <c r="E46" s="38"/>
      <c r="F46" s="38"/>
      <c r="G46" s="77"/>
      <c r="H46" s="61"/>
      <c r="I46" s="92"/>
      <c r="J46" s="35"/>
      <c r="K46" s="40"/>
      <c r="L46" s="62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37"/>
      <c r="AG46" s="2">
        <f t="shared" ref="AG46:BA46" si="14">AG33*(AG34*AG33 + AG34*AG33*AG24*AG24)/(AG33*AG33 + AG34*AG34*AG24*AG24)</f>
        <v>67.630035814811109</v>
      </c>
      <c r="AH46" s="2">
        <f t="shared" si="14"/>
        <v>64.154645065772712</v>
      </c>
      <c r="AI46" s="2">
        <f t="shared" si="14"/>
        <v>61.098490539784066</v>
      </c>
      <c r="AJ46" s="2">
        <f t="shared" si="14"/>
        <v>58.409148364330065</v>
      </c>
      <c r="AK46" s="2">
        <f t="shared" si="14"/>
        <v>56.042824470367428</v>
      </c>
      <c r="AL46" s="2">
        <f t="shared" si="14"/>
        <v>53.962832540230792</v>
      </c>
      <c r="AM46" s="2">
        <f t="shared" si="14"/>
        <v>52.138379312721575</v>
      </c>
      <c r="AN46" s="2">
        <f t="shared" si="14"/>
        <v>50.543591824923716</v>
      </c>
      <c r="AO46" s="2">
        <f t="shared" si="14"/>
        <v>49.156736154432188</v>
      </c>
      <c r="AP46" s="2">
        <f t="shared" si="14"/>
        <v>47.959588696285628</v>
      </c>
      <c r="AQ46" s="2">
        <f t="shared" si="14"/>
        <v>46.936929808311717</v>
      </c>
      <c r="AR46" s="2">
        <f t="shared" si="14"/>
        <v>46.076136434655908</v>
      </c>
      <c r="AS46" s="2">
        <f t="shared" si="14"/>
        <v>45.366855563798154</v>
      </c>
      <c r="AT46" s="2">
        <f t="shared" si="14"/>
        <v>44.800744469431613</v>
      </c>
      <c r="AU46" s="2">
        <f t="shared" si="14"/>
        <v>44.371266905189806</v>
      </c>
      <c r="AV46" s="2">
        <f t="shared" si="14"/>
        <v>44.073536994856944</v>
      </c>
      <c r="AW46" s="2">
        <f t="shared" si="14"/>
        <v>43.904204645791928</v>
      </c>
      <c r="AX46" s="2">
        <f t="shared" si="14"/>
        <v>43.861378045526017</v>
      </c>
      <c r="AY46" s="2">
        <f t="shared" si="14"/>
        <v>43.944580284112696</v>
      </c>
      <c r="AZ46" s="2">
        <f t="shared" si="14"/>
        <v>44.154738463689256</v>
      </c>
      <c r="BA46" s="2">
        <f t="shared" si="14"/>
        <v>44.494204885795988</v>
      </c>
    </row>
    <row r="47" spans="2:53" x14ac:dyDescent="0.2">
      <c r="B47" s="34"/>
      <c r="C47" s="38"/>
      <c r="D47" s="38" t="s">
        <v>55</v>
      </c>
      <c r="E47" s="38"/>
      <c r="F47" s="38"/>
      <c r="G47" s="77" t="s">
        <v>79</v>
      </c>
      <c r="H47" s="69">
        <f>H23*(M32*M32*M33)/((M32+M34)*(M32+M34) + M33*M33)</f>
        <v>49.999924551520088</v>
      </c>
      <c r="I47" s="92" t="s">
        <v>14</v>
      </c>
      <c r="J47" s="35"/>
      <c r="K47" s="40"/>
      <c r="L47" s="62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37"/>
      <c r="AG47" s="2">
        <f t="shared" ref="AG47:BA47" si="15">AG33*(AG33*AG33*AG24 - AG34*AG34*AG24)/(AG33*AG33 + AG34*AG34*AG24*AG24)</f>
        <v>-124.13925231406648</v>
      </c>
      <c r="AH47" s="2">
        <f t="shared" si="15"/>
        <v>-115.0128197607834</v>
      </c>
      <c r="AI47" s="2">
        <f t="shared" si="15"/>
        <v>-106.24815109702297</v>
      </c>
      <c r="AJ47" s="2">
        <f t="shared" si="15"/>
        <v>-97.809504820784511</v>
      </c>
      <c r="AK47" s="2">
        <f t="shared" si="15"/>
        <v>-89.663773429128611</v>
      </c>
      <c r="AL47" s="2">
        <f t="shared" si="15"/>
        <v>-81.780323492939317</v>
      </c>
      <c r="AM47" s="2">
        <f t="shared" si="15"/>
        <v>-74.130796357777825</v>
      </c>
      <c r="AN47" s="2">
        <f t="shared" si="15"/>
        <v>-66.68889201296416</v>
      </c>
      <c r="AO47" s="2">
        <f t="shared" si="15"/>
        <v>-59.430149762547686</v>
      </c>
      <c r="AP47" s="2">
        <f t="shared" si="15"/>
        <v>-52.331733597405425</v>
      </c>
      <c r="AQ47" s="2">
        <f t="shared" si="15"/>
        <v>-45.372226490750869</v>
      </c>
      <c r="AR47" s="2">
        <f t="shared" si="15"/>
        <v>-38.531435497559471</v>
      </c>
      <c r="AS47" s="2">
        <f t="shared" si="15"/>
        <v>-31.79020806251588</v>
      </c>
      <c r="AT47" s="2">
        <f t="shared" si="15"/>
        <v>-25.13025902495928</v>
      </c>
      <c r="AU47" s="2">
        <f t="shared" si="15"/>
        <v>-18.534007252696334</v>
      </c>
      <c r="AV47" s="2">
        <f t="shared" si="15"/>
        <v>-11.984420508210038</v>
      </c>
      <c r="AW47" s="2">
        <f t="shared" si="15"/>
        <v>-5.4648669647223596</v>
      </c>
      <c r="AX47" s="2">
        <f t="shared" si="15"/>
        <v>1.0410283103382645</v>
      </c>
      <c r="AY47" s="2">
        <f t="shared" si="15"/>
        <v>7.5495236368038263</v>
      </c>
      <c r="AZ47" s="2">
        <f t="shared" si="15"/>
        <v>14.076899522914061</v>
      </c>
      <c r="BA47" s="2">
        <f t="shared" si="15"/>
        <v>20.639597748686938</v>
      </c>
    </row>
    <row r="48" spans="2:53" x14ac:dyDescent="0.2">
      <c r="B48" s="34"/>
      <c r="C48" s="38"/>
      <c r="D48" s="38"/>
      <c r="E48" s="38"/>
      <c r="F48" s="38"/>
      <c r="G48" s="77" t="s">
        <v>80</v>
      </c>
      <c r="H48" s="70">
        <f>H23*(M32*M33*M33+M32*M32*M34)/((M32+M34)*(M32+M34)+M33*M33)</f>
        <v>8.3355193220735111E-5</v>
      </c>
      <c r="I48" s="92" t="s">
        <v>14</v>
      </c>
      <c r="J48" s="35"/>
      <c r="K48" s="40"/>
      <c r="L48" s="62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37"/>
    </row>
    <row r="49" spans="2:53" x14ac:dyDescent="0.2">
      <c r="B49" s="34"/>
      <c r="C49" s="38"/>
      <c r="D49" s="38"/>
      <c r="E49" s="38"/>
      <c r="F49" s="38"/>
      <c r="G49" s="77"/>
      <c r="H49" s="61"/>
      <c r="I49" s="92"/>
      <c r="J49" s="35"/>
      <c r="K49" s="40"/>
      <c r="L49" s="62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37"/>
    </row>
    <row r="50" spans="2:53" x14ac:dyDescent="0.2">
      <c r="B50" s="34"/>
      <c r="C50" s="38"/>
      <c r="D50" s="38"/>
      <c r="E50" s="38"/>
      <c r="F50" s="38"/>
      <c r="G50" s="77" t="s">
        <v>32</v>
      </c>
      <c r="H50" s="61">
        <f>SQRT(H47*H47 + H48*H48)</f>
        <v>49.999924551589572</v>
      </c>
      <c r="I50" s="92" t="s">
        <v>14</v>
      </c>
      <c r="J50" s="35"/>
      <c r="K50" s="40"/>
      <c r="L50" s="62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37"/>
    </row>
    <row r="51" spans="2:53" x14ac:dyDescent="0.2">
      <c r="B51" s="34"/>
      <c r="C51" s="38"/>
      <c r="D51" s="38"/>
      <c r="E51" s="38"/>
      <c r="F51" s="38"/>
      <c r="G51" s="77"/>
      <c r="H51" s="61"/>
      <c r="I51" s="92"/>
      <c r="J51" s="35"/>
      <c r="K51" s="40"/>
      <c r="L51" s="62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37"/>
      <c r="AG51" s="2">
        <f>AG37</f>
        <v>5.3206606809693465E-3</v>
      </c>
      <c r="AH51" s="2">
        <f t="shared" ref="AH51:BA51" si="16">AH37</f>
        <v>5.3206606809693465E-3</v>
      </c>
      <c r="AI51" s="2">
        <f t="shared" si="16"/>
        <v>5.3206606809693465E-3</v>
      </c>
      <c r="AJ51" s="2">
        <f t="shared" si="16"/>
        <v>5.3206606809693465E-3</v>
      </c>
      <c r="AK51" s="2">
        <f t="shared" si="16"/>
        <v>5.3206606809693465E-3</v>
      </c>
      <c r="AL51" s="2">
        <f t="shared" si="16"/>
        <v>5.3206606809693465E-3</v>
      </c>
      <c r="AM51" s="2">
        <f t="shared" si="16"/>
        <v>5.3206606809693465E-3</v>
      </c>
      <c r="AN51" s="2">
        <f t="shared" si="16"/>
        <v>5.3206606809693465E-3</v>
      </c>
      <c r="AO51" s="2">
        <f t="shared" si="16"/>
        <v>5.3206606809693465E-3</v>
      </c>
      <c r="AP51" s="2">
        <f t="shared" si="16"/>
        <v>5.3206606809693465E-3</v>
      </c>
      <c r="AQ51" s="2">
        <f t="shared" si="16"/>
        <v>5.3206606809693465E-3</v>
      </c>
      <c r="AR51" s="2">
        <f t="shared" si="16"/>
        <v>5.3206606809693465E-3</v>
      </c>
      <c r="AS51" s="2">
        <f t="shared" si="16"/>
        <v>5.3206606809693465E-3</v>
      </c>
      <c r="AT51" s="2">
        <f t="shared" si="16"/>
        <v>5.3206606809693465E-3</v>
      </c>
      <c r="AU51" s="2">
        <f t="shared" si="16"/>
        <v>5.3206606809693465E-3</v>
      </c>
      <c r="AV51" s="2">
        <f t="shared" si="16"/>
        <v>5.3206606809693465E-3</v>
      </c>
      <c r="AW51" s="2">
        <f t="shared" si="16"/>
        <v>5.3206606809693465E-3</v>
      </c>
      <c r="AX51" s="2">
        <f t="shared" si="16"/>
        <v>5.3206606809693465E-3</v>
      </c>
      <c r="AY51" s="2">
        <f t="shared" si="16"/>
        <v>5.3206606809693465E-3</v>
      </c>
      <c r="AZ51" s="2">
        <f t="shared" si="16"/>
        <v>5.3206606809693465E-3</v>
      </c>
      <c r="BA51" s="2">
        <f t="shared" si="16"/>
        <v>5.3206606809693465E-3</v>
      </c>
    </row>
    <row r="52" spans="2:53" x14ac:dyDescent="0.2">
      <c r="B52" s="34"/>
      <c r="C52" s="35"/>
      <c r="D52" s="35"/>
      <c r="E52" s="35"/>
      <c r="F52" s="35"/>
      <c r="G52" s="48"/>
      <c r="H52" s="59"/>
      <c r="I52" s="91"/>
      <c r="J52" s="35"/>
      <c r="K52" s="35"/>
      <c r="L52" s="60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7"/>
      <c r="AG52" s="2">
        <f>AG51/AG40</f>
        <v>2.979569981342834E-2</v>
      </c>
      <c r="AH52" s="2">
        <f t="shared" ref="AH52:BA52" si="17">AH51/AH40</f>
        <v>3.1072658376860986E-2</v>
      </c>
      <c r="AI52" s="2">
        <f t="shared" si="17"/>
        <v>3.2349616940293625E-2</v>
      </c>
      <c r="AJ52" s="2">
        <f t="shared" si="17"/>
        <v>3.3626575503726268E-2</v>
      </c>
      <c r="AK52" s="2">
        <f t="shared" si="17"/>
        <v>3.4903534067158917E-2</v>
      </c>
      <c r="AL52" s="2">
        <f t="shared" si="17"/>
        <v>3.6180492630591553E-2</v>
      </c>
      <c r="AM52" s="2">
        <f t="shared" si="17"/>
        <v>3.7457451194024195E-2</v>
      </c>
      <c r="AN52" s="2">
        <f t="shared" si="17"/>
        <v>3.8734409757456838E-2</v>
      </c>
      <c r="AO52" s="2">
        <f t="shared" si="17"/>
        <v>4.0011368320889487E-2</v>
      </c>
      <c r="AP52" s="2">
        <f t="shared" si="17"/>
        <v>4.1288326884322137E-2</v>
      </c>
      <c r="AQ52" s="2">
        <f t="shared" si="17"/>
        <v>4.2565285447754772E-2</v>
      </c>
      <c r="AR52" s="2">
        <f t="shared" si="17"/>
        <v>4.3842244011187415E-2</v>
      </c>
      <c r="AS52" s="2">
        <f t="shared" si="17"/>
        <v>4.5119202574620057E-2</v>
      </c>
      <c r="AT52" s="2">
        <f t="shared" si="17"/>
        <v>4.6396161138052699E-2</v>
      </c>
      <c r="AU52" s="2">
        <f t="shared" si="17"/>
        <v>4.7673119701485342E-2</v>
      </c>
      <c r="AV52" s="2">
        <f t="shared" si="17"/>
        <v>4.8950078264917991E-2</v>
      </c>
      <c r="AW52" s="2">
        <f t="shared" si="17"/>
        <v>5.0227036828350634E-2</v>
      </c>
      <c r="AX52" s="2">
        <f t="shared" si="17"/>
        <v>5.1503995391783269E-2</v>
      </c>
      <c r="AY52" s="2">
        <f t="shared" si="17"/>
        <v>5.2780953955215919E-2</v>
      </c>
      <c r="AZ52" s="2">
        <f t="shared" si="17"/>
        <v>5.4057912518648554E-2</v>
      </c>
      <c r="BA52" s="2">
        <f t="shared" si="17"/>
        <v>5.5334871082081204E-2</v>
      </c>
    </row>
    <row r="53" spans="2:53" s="4" customFormat="1" ht="28" x14ac:dyDescent="0.2">
      <c r="B53" s="28"/>
      <c r="C53" s="29" t="s">
        <v>52</v>
      </c>
      <c r="D53" s="29"/>
      <c r="E53" s="29"/>
      <c r="F53" s="29"/>
      <c r="G53" s="78"/>
      <c r="H53" s="57"/>
      <c r="I53" s="90"/>
      <c r="J53" s="32"/>
      <c r="K53" s="32"/>
      <c r="L53" s="58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3"/>
      <c r="AF53" s="5"/>
      <c r="AG53" s="4">
        <f>AG33*(AG35*AG33 + AG35*AG33*AK45*AK45)/(AG33*AG33 + AG35*AG35*AK45*AK45)</f>
        <v>0</v>
      </c>
      <c r="AH53" s="4">
        <f t="shared" ref="AH53:AW53" si="18">AH33*(AH35*AH33 + AH35*AH33*AL45*AL45)/(AH33*AH33 + AH35*AH35*AL45*AL45)</f>
        <v>0</v>
      </c>
      <c r="AI53" s="4">
        <f t="shared" si="18"/>
        <v>0</v>
      </c>
      <c r="AJ53" s="4">
        <f t="shared" si="18"/>
        <v>0</v>
      </c>
      <c r="AK53" s="4">
        <f t="shared" si="18"/>
        <v>0</v>
      </c>
      <c r="AL53" s="4">
        <f t="shared" si="18"/>
        <v>0</v>
      </c>
      <c r="AM53" s="4">
        <f t="shared" si="18"/>
        <v>0</v>
      </c>
      <c r="AN53" s="4">
        <f t="shared" si="18"/>
        <v>0</v>
      </c>
      <c r="AO53" s="4">
        <f t="shared" si="18"/>
        <v>0</v>
      </c>
      <c r="AP53" s="4">
        <f t="shared" si="18"/>
        <v>0</v>
      </c>
      <c r="AQ53" s="4">
        <f t="shared" si="18"/>
        <v>0</v>
      </c>
      <c r="AR53" s="4">
        <f t="shared" si="18"/>
        <v>0</v>
      </c>
      <c r="AS53" s="4">
        <f t="shared" si="18"/>
        <v>0</v>
      </c>
      <c r="AT53" s="4">
        <f t="shared" si="18"/>
        <v>0</v>
      </c>
      <c r="AU53" s="4">
        <f t="shared" si="18"/>
        <v>0</v>
      </c>
      <c r="AV53" s="4">
        <f t="shared" si="18"/>
        <v>0</v>
      </c>
      <c r="AW53" s="4">
        <f t="shared" si="18"/>
        <v>0</v>
      </c>
      <c r="AX53" s="4">
        <f>AX33*(AX35*AX33 + AX35*AX33*BB38*BB38)/(AX33*AX33 + AX35*AX35*BB38*BB38)</f>
        <v>0</v>
      </c>
      <c r="AY53" s="4">
        <f>AY33*(AY35*AY33 + AY35*AY33*BC38*BC38)/(AY33*AY33 + AY35*AY35*BC38*BC38)</f>
        <v>0</v>
      </c>
      <c r="AZ53" s="4">
        <f>AZ33*(AZ35*AZ33 + AZ35*AZ33*BD38*BD38)/(AZ33*AZ33 + AZ35*AZ35*BD38*BD38)</f>
        <v>0</v>
      </c>
      <c r="BA53" s="4">
        <f>BA33*(BA35*BA33 + BA35*BA33*BE38*BE38)/(BA33*BA33 + BA35*BA35*BE38*BE38)</f>
        <v>0</v>
      </c>
    </row>
    <row r="54" spans="2:53" x14ac:dyDescent="0.2">
      <c r="B54" s="34"/>
      <c r="C54" s="51" t="s">
        <v>48</v>
      </c>
      <c r="D54" s="35"/>
      <c r="E54" s="51" t="s">
        <v>49</v>
      </c>
      <c r="F54" s="35"/>
      <c r="G54" s="48"/>
      <c r="H54" s="59"/>
      <c r="I54" s="91"/>
      <c r="J54" s="35"/>
      <c r="K54" s="35"/>
      <c r="L54" s="60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7"/>
      <c r="AG54" s="2">
        <f>AG33*(AG33*AG33*AG25 - AG35*AG35*AG25)/(AG33*AG33 + AG35*AG35*AG25*AG25)</f>
        <v>33.567673419004606</v>
      </c>
      <c r="AH54" s="2">
        <f t="shared" ref="AH54:BA54" si="19">AH33*(AH33*AH33*AH25 - AH35*AH35*AH25)/(AH33*AH33 + AH35*AH35*AH25*AH25)</f>
        <v>35.042733567947145</v>
      </c>
      <c r="AI54" s="2">
        <f t="shared" si="19"/>
        <v>36.52248207974705</v>
      </c>
      <c r="AJ54" s="2">
        <f t="shared" si="19"/>
        <v>38.007132789586016</v>
      </c>
      <c r="AK54" s="2">
        <f t="shared" si="19"/>
        <v>39.496902218529286</v>
      </c>
      <c r="AL54" s="2">
        <f t="shared" si="19"/>
        <v>40.992009706094997</v>
      </c>
      <c r="AM54" s="2">
        <f t="shared" si="19"/>
        <v>42.492677546194543</v>
      </c>
      <c r="AN54" s="2">
        <f t="shared" si="19"/>
        <v>43.999131126630196</v>
      </c>
      <c r="AO54" s="2">
        <f t="shared" si="19"/>
        <v>45.511599072344119</v>
      </c>
      <c r="AP54" s="2">
        <f t="shared" si="19"/>
        <v>47.030313392620222</v>
      </c>
      <c r="AQ54" s="2">
        <f t="shared" si="19"/>
        <v>48.555509632449656</v>
      </c>
      <c r="AR54" s="2">
        <f t="shared" si="19"/>
        <v>50.087427028278896</v>
      </c>
      <c r="AS54" s="2">
        <f t="shared" si="19"/>
        <v>51.626308668369376</v>
      </c>
      <c r="AT54" s="2">
        <f t="shared" si="19"/>
        <v>53.172401658008226</v>
      </c>
      <c r="AU54" s="2">
        <f t="shared" si="19"/>
        <v>54.725957289819426</v>
      </c>
      <c r="AV54" s="2">
        <f t="shared" si="19"/>
        <v>56.287231219437167</v>
      </c>
      <c r="AW54" s="2">
        <f t="shared" si="19"/>
        <v>57.856483646814901</v>
      </c>
      <c r="AX54" s="2">
        <f t="shared" si="19"/>
        <v>59.43397950345647</v>
      </c>
      <c r="AY54" s="2">
        <f t="shared" si="19"/>
        <v>61.019988645869816</v>
      </c>
      <c r="AZ54" s="2">
        <f t="shared" si="19"/>
        <v>62.614786055557587</v>
      </c>
      <c r="BA54" s="2">
        <f t="shared" si="19"/>
        <v>64.218652045875658</v>
      </c>
    </row>
    <row r="55" spans="2:53" x14ac:dyDescent="0.2">
      <c r="B55" s="34"/>
      <c r="C55" s="38"/>
      <c r="D55" s="38"/>
      <c r="E55" s="38"/>
      <c r="F55" s="38"/>
      <c r="G55" s="77"/>
      <c r="H55" s="61"/>
      <c r="I55" s="92"/>
      <c r="J55" s="35"/>
      <c r="K55" s="68"/>
      <c r="L55" s="100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7"/>
    </row>
    <row r="56" spans="2:53" x14ac:dyDescent="0.2">
      <c r="B56" s="34"/>
      <c r="C56" s="38"/>
      <c r="D56" s="38" t="s">
        <v>34</v>
      </c>
      <c r="E56" s="38"/>
      <c r="F56" s="38"/>
      <c r="G56" s="77"/>
      <c r="H56" s="76">
        <v>50</v>
      </c>
      <c r="I56" s="92" t="s">
        <v>14</v>
      </c>
      <c r="J56" s="35"/>
      <c r="K56" s="68"/>
      <c r="L56" s="100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7"/>
    </row>
    <row r="57" spans="2:53" x14ac:dyDescent="0.2">
      <c r="B57" s="34"/>
      <c r="C57" s="38"/>
      <c r="D57" s="38" t="s">
        <v>35</v>
      </c>
      <c r="E57" s="38"/>
      <c r="F57" s="38"/>
      <c r="G57" s="77"/>
      <c r="H57" s="76">
        <v>0</v>
      </c>
      <c r="I57" s="92" t="s">
        <v>14</v>
      </c>
      <c r="J57" s="35"/>
      <c r="K57" s="68"/>
      <c r="L57" s="99" t="s">
        <v>58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7"/>
    </row>
    <row r="58" spans="2:53" x14ac:dyDescent="0.2">
      <c r="B58" s="34"/>
      <c r="C58" s="38"/>
      <c r="D58" s="38"/>
      <c r="E58" s="38"/>
      <c r="F58" s="38"/>
      <c r="G58" s="77"/>
      <c r="H58" s="61"/>
      <c r="I58" s="92"/>
      <c r="J58" s="35"/>
      <c r="K58" s="68"/>
      <c r="L58" s="99" t="s">
        <v>81</v>
      </c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7"/>
      <c r="AF58" s="23" t="s">
        <v>36</v>
      </c>
      <c r="AG58" s="2">
        <f t="shared" ref="AG58:BA58" si="20">AG33*(AG25*AG25*AG26)/((AG25+AG27)*(AG25+AG27) + AG26*AG26)</f>
        <v>5.9641985861231115</v>
      </c>
      <c r="AH58" s="2">
        <f t="shared" si="20"/>
        <v>7.4951210861720732</v>
      </c>
      <c r="AI58" s="2">
        <f t="shared" si="20"/>
        <v>9.4824510129453259</v>
      </c>
      <c r="AJ58" s="2">
        <f t="shared" si="20"/>
        <v>12.074277636794866</v>
      </c>
      <c r="AK58" s="2">
        <f t="shared" si="20"/>
        <v>15.453274285517383</v>
      </c>
      <c r="AL58" s="2">
        <f t="shared" si="20"/>
        <v>19.817008707282881</v>
      </c>
      <c r="AM58" s="2">
        <f t="shared" si="20"/>
        <v>25.311334069557461</v>
      </c>
      <c r="AN58" s="2">
        <f t="shared" si="20"/>
        <v>31.877885387417294</v>
      </c>
      <c r="AO58" s="2">
        <f t="shared" si="20"/>
        <v>39.009312092939659</v>
      </c>
      <c r="AP58" s="2">
        <f t="shared" si="20"/>
        <v>45.562320631931627</v>
      </c>
      <c r="AQ58" s="2">
        <f t="shared" si="20"/>
        <v>49.999924551520088</v>
      </c>
      <c r="AR58" s="2">
        <f t="shared" si="20"/>
        <v>51.225746031362434</v>
      </c>
      <c r="AS58" s="2">
        <f t="shared" si="20"/>
        <v>49.320472980609786</v>
      </c>
      <c r="AT58" s="2">
        <f t="shared" si="20"/>
        <v>45.343392569280851</v>
      </c>
      <c r="AU58" s="2">
        <f t="shared" si="20"/>
        <v>40.531372491856153</v>
      </c>
      <c r="AV58" s="2">
        <f t="shared" si="20"/>
        <v>35.756306439695607</v>
      </c>
      <c r="AW58" s="2">
        <f t="shared" si="20"/>
        <v>31.453177668066623</v>
      </c>
      <c r="AX58" s="2">
        <f t="shared" si="20"/>
        <v>27.76107046882537</v>
      </c>
      <c r="AY58" s="2">
        <f t="shared" si="20"/>
        <v>24.668676189649226</v>
      </c>
      <c r="AZ58" s="2">
        <f t="shared" si="20"/>
        <v>22.105468399129858</v>
      </c>
      <c r="BA58" s="2">
        <f t="shared" si="20"/>
        <v>19.987205028062501</v>
      </c>
    </row>
    <row r="59" spans="2:53" x14ac:dyDescent="0.2">
      <c r="B59" s="34"/>
      <c r="C59" s="38"/>
      <c r="D59" s="38" t="s">
        <v>54</v>
      </c>
      <c r="E59" s="38"/>
      <c r="F59" s="38"/>
      <c r="G59" s="77"/>
      <c r="H59" s="97">
        <f>(H47-H56)*(H47-H56)</f>
        <v>5.6924731209861156E-9</v>
      </c>
      <c r="I59" s="92"/>
      <c r="J59" s="35"/>
      <c r="K59" s="68"/>
      <c r="L59" s="100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7"/>
      <c r="AF59" s="23" t="s">
        <v>37</v>
      </c>
      <c r="AG59" s="2">
        <f t="shared" ref="AG59:BA59" si="21">AG33*(AG25*AG26*AG26+AG25*AG25*AG27)/((AG25+AG27)*(AG25+AG27)+AG26*AG26)</f>
        <v>1.0686243344222695</v>
      </c>
      <c r="AH59" s="2">
        <f t="shared" si="21"/>
        <v>0.2848980375923188</v>
      </c>
      <c r="AI59" s="2">
        <f t="shared" si="21"/>
        <v>-0.62645251713593719</v>
      </c>
      <c r="AJ59" s="2">
        <f t="shared" si="21"/>
        <v>-1.6633957213467334</v>
      </c>
      <c r="AK59" s="2">
        <f t="shared" si="21"/>
        <v>-2.7970172799783946</v>
      </c>
      <c r="AL59" s="2">
        <f t="shared" si="21"/>
        <v>-3.9449784576611124</v>
      </c>
      <c r="AM59" s="2">
        <f t="shared" si="21"/>
        <v>-4.9309467128186428</v>
      </c>
      <c r="AN59" s="2">
        <f t="shared" si="21"/>
        <v>-5.4413158918440185</v>
      </c>
      <c r="AO59" s="2">
        <f t="shared" si="21"/>
        <v>-5.0283202849746447</v>
      </c>
      <c r="AP59" s="2">
        <f t="shared" si="21"/>
        <v>-3.2533333763908567</v>
      </c>
      <c r="AQ59" s="2">
        <f t="shared" si="21"/>
        <v>8.3355193220735111E-5</v>
      </c>
      <c r="AR59" s="2">
        <f t="shared" si="21"/>
        <v>4.2854659770990695</v>
      </c>
      <c r="AS59" s="2">
        <f t="shared" si="21"/>
        <v>8.7799400891521469</v>
      </c>
      <c r="AT59" s="2">
        <f t="shared" si="21"/>
        <v>12.769714403105112</v>
      </c>
      <c r="AU59" s="2">
        <f t="shared" si="21"/>
        <v>15.932365236527417</v>
      </c>
      <c r="AV59" s="2">
        <f t="shared" si="21"/>
        <v>18.274781610970226</v>
      </c>
      <c r="AW59" s="2">
        <f t="shared" si="21"/>
        <v>19.953085417737491</v>
      </c>
      <c r="AX59" s="2">
        <f t="shared" si="21"/>
        <v>21.146145572783535</v>
      </c>
      <c r="AY59" s="2">
        <f t="shared" si="21"/>
        <v>22.003557180895328</v>
      </c>
      <c r="AZ59" s="2">
        <f t="shared" si="21"/>
        <v>22.63575762061329</v>
      </c>
      <c r="BA59" s="2">
        <f t="shared" si="21"/>
        <v>23.119728710251191</v>
      </c>
    </row>
    <row r="60" spans="2:53" x14ac:dyDescent="0.2">
      <c r="B60" s="34"/>
      <c r="C60" s="38"/>
      <c r="D60" s="38" t="s">
        <v>54</v>
      </c>
      <c r="E60" s="38"/>
      <c r="F60" s="38"/>
      <c r="G60" s="77"/>
      <c r="H60" s="97">
        <f>(H48-H57)*(H48-H57)</f>
        <v>6.9480882368660846E-9</v>
      </c>
      <c r="I60" s="92"/>
      <c r="J60" s="35"/>
      <c r="K60" s="68"/>
      <c r="L60" s="100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7"/>
    </row>
    <row r="61" spans="2:53" x14ac:dyDescent="0.2">
      <c r="B61" s="34"/>
      <c r="C61" s="38"/>
      <c r="D61" s="38"/>
      <c r="E61" s="38"/>
      <c r="F61" s="38"/>
      <c r="G61" s="77"/>
      <c r="H61" s="97"/>
      <c r="I61" s="92"/>
      <c r="J61" s="35"/>
      <c r="K61" s="68"/>
      <c r="L61" s="100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7"/>
    </row>
    <row r="62" spans="2:53" x14ac:dyDescent="0.2">
      <c r="B62" s="34"/>
      <c r="C62" s="38"/>
      <c r="D62" s="38" t="s">
        <v>53</v>
      </c>
      <c r="E62" s="38"/>
      <c r="F62" s="38"/>
      <c r="G62" s="77"/>
      <c r="H62" s="98">
        <f>SUM(H59:H61)</f>
        <v>1.2640561357852199E-8</v>
      </c>
      <c r="I62" s="92"/>
      <c r="J62" s="35"/>
      <c r="K62" s="68"/>
      <c r="L62" s="100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7"/>
    </row>
    <row r="63" spans="2:53" x14ac:dyDescent="0.2">
      <c r="B63" s="34"/>
      <c r="C63" s="38"/>
      <c r="D63" s="38"/>
      <c r="E63" s="38"/>
      <c r="F63" s="38"/>
      <c r="G63" s="77"/>
      <c r="H63" s="61"/>
      <c r="I63" s="92"/>
      <c r="J63" s="35"/>
      <c r="K63" s="68"/>
      <c r="L63" s="100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7"/>
    </row>
    <row r="64" spans="2:53" ht="24" thickBot="1" x14ac:dyDescent="0.25">
      <c r="B64" s="42"/>
      <c r="C64" s="43"/>
      <c r="D64" s="43"/>
      <c r="E64" s="43"/>
      <c r="F64" s="43"/>
      <c r="G64" s="87"/>
      <c r="H64" s="65"/>
      <c r="I64" s="93"/>
      <c r="J64" s="43"/>
      <c r="K64" s="43"/>
      <c r="L64" s="66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5"/>
    </row>
    <row r="65" ht="24" thickTop="1" x14ac:dyDescent="0.2"/>
  </sheetData>
  <conditionalFormatting sqref="L17:M17">
    <cfRule type="expression" dxfId="0" priority="1">
      <formula>$M$17&gt;0.3</formula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EB2D-0E7F-B845-97BA-A4A7F92313DA}">
  <dimension ref="B2:U44"/>
  <sheetViews>
    <sheetView zoomScale="140" zoomScaleNormal="140" workbookViewId="0">
      <selection activeCell="C8" sqref="C8"/>
    </sheetView>
  </sheetViews>
  <sheetFormatPr baseColWidth="10" defaultRowHeight="16" x14ac:dyDescent="0.2"/>
  <cols>
    <col min="1" max="1" width="3.1640625" style="1" customWidth="1"/>
    <col min="2" max="2" width="4.1640625" style="1" customWidth="1"/>
    <col min="3" max="3" width="10.83203125" style="161"/>
    <col min="4" max="4" width="15.1640625" style="161" customWidth="1"/>
    <col min="5" max="5" width="10.83203125" style="161"/>
    <col min="6" max="6" width="10.83203125" style="1"/>
    <col min="7" max="7" width="11.6640625" style="1" customWidth="1"/>
    <col min="8" max="8" width="11.83203125" style="1" bestFit="1" customWidth="1"/>
    <col min="9" max="16384" width="10.83203125" style="1"/>
  </cols>
  <sheetData>
    <row r="2" spans="2:21" x14ac:dyDescent="0.2">
      <c r="B2" s="159"/>
      <c r="C2" s="160"/>
      <c r="D2" s="160"/>
      <c r="E2" s="160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2:21" ht="28" x14ac:dyDescent="0.2">
      <c r="B3" s="159"/>
      <c r="C3" s="29" t="s">
        <v>116</v>
      </c>
      <c r="D3" s="29"/>
      <c r="E3" s="29"/>
      <c r="F3" s="29"/>
      <c r="G3" s="78"/>
      <c r="H3" s="57"/>
      <c r="I3" s="90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2:21" x14ac:dyDescent="0.2">
      <c r="B4" s="159"/>
      <c r="C4" s="160"/>
      <c r="D4" s="160"/>
      <c r="E4" s="160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</row>
    <row r="5" spans="2:21" x14ac:dyDescent="0.2">
      <c r="B5" s="159"/>
      <c r="C5" s="160"/>
      <c r="D5" s="160"/>
      <c r="E5" s="160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</row>
    <row r="6" spans="2:21" ht="23" x14ac:dyDescent="0.25">
      <c r="B6" s="159"/>
      <c r="C6" s="162" t="s">
        <v>118</v>
      </c>
      <c r="D6" s="163"/>
      <c r="E6" s="163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</row>
    <row r="7" spans="2:21" x14ac:dyDescent="0.2">
      <c r="B7" s="159"/>
      <c r="C7" s="160"/>
      <c r="D7" s="160"/>
      <c r="E7" s="160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</row>
    <row r="8" spans="2:21" x14ac:dyDescent="0.2">
      <c r="B8" s="159"/>
      <c r="C8" s="160"/>
      <c r="D8" s="160" t="s">
        <v>88</v>
      </c>
      <c r="E8" s="160">
        <v>110</v>
      </c>
      <c r="F8" s="159" t="s">
        <v>29</v>
      </c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</row>
    <row r="9" spans="2:21" x14ac:dyDescent="0.2">
      <c r="B9" s="159"/>
      <c r="C9" s="160"/>
      <c r="D9" s="160"/>
      <c r="E9" s="160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</row>
    <row r="10" spans="2:21" x14ac:dyDescent="0.2">
      <c r="B10" s="159"/>
      <c r="C10" s="160"/>
      <c r="D10" s="160"/>
      <c r="E10" s="159" t="s">
        <v>93</v>
      </c>
      <c r="F10" s="1">
        <v>541.93345087277214</v>
      </c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</row>
    <row r="11" spans="2:21" x14ac:dyDescent="0.2">
      <c r="B11" s="159"/>
      <c r="C11" s="160"/>
      <c r="D11" s="160"/>
      <c r="E11" s="159" t="s">
        <v>92</v>
      </c>
      <c r="F11" s="1">
        <v>0.17994191272575752</v>
      </c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</row>
    <row r="12" spans="2:21" x14ac:dyDescent="0.2">
      <c r="B12" s="159"/>
      <c r="C12" s="160"/>
      <c r="D12" s="160"/>
      <c r="E12" s="160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</row>
    <row r="13" spans="2:21" x14ac:dyDescent="0.2">
      <c r="B13" s="159"/>
      <c r="C13" s="160" t="s">
        <v>94</v>
      </c>
      <c r="D13" s="160" t="s">
        <v>89</v>
      </c>
      <c r="E13" s="160" t="s">
        <v>90</v>
      </c>
      <c r="F13" s="160" t="s">
        <v>91</v>
      </c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</row>
    <row r="14" spans="2:21" x14ac:dyDescent="0.2">
      <c r="B14" s="159"/>
      <c r="C14" s="160">
        <v>1</v>
      </c>
      <c r="D14" s="160">
        <f xml:space="preserve"> 1 / E8</f>
        <v>9.0909090909090905E-3</v>
      </c>
      <c r="E14" s="160">
        <v>1261</v>
      </c>
      <c r="F14" s="160">
        <f>F$10 *  POWER(D14, -F$11)</f>
        <v>1262.6356959116997</v>
      </c>
      <c r="G14" s="159"/>
      <c r="H14" s="159">
        <f>(E14-F14)*(E14-F14)</f>
        <v>2.6755011155511559</v>
      </c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</row>
    <row r="15" spans="2:21" x14ac:dyDescent="0.2">
      <c r="B15" s="159"/>
      <c r="C15" s="160">
        <v>2.5299999999999998</v>
      </c>
      <c r="D15" s="160">
        <f xml:space="preserve"> 2.523 /E8</f>
        <v>2.2936363636363637E-2</v>
      </c>
      <c r="E15" s="160">
        <v>1072</v>
      </c>
      <c r="F15" s="160">
        <f t="shared" ref="F15:F16" si="0">F$10 *  POWER(D15, -F$11)</f>
        <v>1068.9473236621766</v>
      </c>
      <c r="G15" s="159"/>
      <c r="H15" s="159">
        <f t="shared" ref="H15:H16" si="1">(E15-F15)*(E15-F15)</f>
        <v>9.318832823506968</v>
      </c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</row>
    <row r="16" spans="2:21" x14ac:dyDescent="0.2">
      <c r="B16" s="159"/>
      <c r="C16" s="160">
        <v>12.5</v>
      </c>
      <c r="D16" s="160">
        <f xml:space="preserve"> 12.5 / E8</f>
        <v>0.11363636363636363</v>
      </c>
      <c r="E16" s="160">
        <v>800</v>
      </c>
      <c r="F16" s="160">
        <f t="shared" si="0"/>
        <v>801.48975845942914</v>
      </c>
      <c r="G16" s="159"/>
      <c r="H16" s="159">
        <f t="shared" si="1"/>
        <v>2.2193802674406853</v>
      </c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</row>
    <row r="17" spans="2:21" x14ac:dyDescent="0.2">
      <c r="B17" s="159"/>
      <c r="C17" s="160"/>
      <c r="D17" s="160"/>
      <c r="E17" s="160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</row>
    <row r="18" spans="2:21" x14ac:dyDescent="0.2">
      <c r="B18" s="159"/>
      <c r="C18" s="160"/>
      <c r="D18" s="160"/>
      <c r="E18" s="160"/>
      <c r="F18" s="159"/>
      <c r="G18" s="159" t="s">
        <v>119</v>
      </c>
      <c r="H18" s="1">
        <f>SUM(H14:H17)</f>
        <v>14.213714206498809</v>
      </c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</row>
    <row r="19" spans="2:21" x14ac:dyDescent="0.2">
      <c r="B19" s="159"/>
      <c r="C19" s="160">
        <v>1.5</v>
      </c>
      <c r="D19" s="160"/>
      <c r="E19" s="160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</row>
    <row r="20" spans="2:21" x14ac:dyDescent="0.2">
      <c r="B20" s="159"/>
      <c r="C20" s="160" t="s">
        <v>95</v>
      </c>
      <c r="D20" s="160"/>
      <c r="E20" s="160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</row>
    <row r="21" spans="2:21" x14ac:dyDescent="0.2">
      <c r="B21" s="159"/>
      <c r="C21" s="160">
        <v>10</v>
      </c>
      <c r="D21" s="160"/>
      <c r="E21" s="160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</row>
    <row r="22" spans="2:21" x14ac:dyDescent="0.2">
      <c r="B22" s="159"/>
      <c r="C22" s="160" t="s">
        <v>94</v>
      </c>
      <c r="D22" s="160" t="s">
        <v>89</v>
      </c>
      <c r="E22" s="160"/>
      <c r="F22" s="160" t="s">
        <v>117</v>
      </c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</row>
    <row r="23" spans="2:21" x14ac:dyDescent="0.2">
      <c r="B23" s="159"/>
      <c r="C23" s="160">
        <v>1E-3</v>
      </c>
      <c r="D23" s="160">
        <f>C23/C$21</f>
        <v>1E-4</v>
      </c>
      <c r="E23" s="160"/>
      <c r="F23" s="160">
        <f>F$10 *  POWER(D23, -F$11)</f>
        <v>2842.5859792432229</v>
      </c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</row>
    <row r="24" spans="2:21" x14ac:dyDescent="0.2">
      <c r="B24" s="159"/>
      <c r="C24" s="160">
        <f>C23*C$19</f>
        <v>1.5E-3</v>
      </c>
      <c r="D24" s="160">
        <f t="shared" ref="D24:D43" si="2">C24/C$21</f>
        <v>1.5000000000000001E-4</v>
      </c>
      <c r="E24" s="160"/>
      <c r="F24" s="160">
        <f t="shared" ref="F24:F35" si="3">F$10 *  POWER(D24, -F$11)</f>
        <v>2642.5755450843494</v>
      </c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</row>
    <row r="25" spans="2:21" x14ac:dyDescent="0.2">
      <c r="B25" s="159"/>
      <c r="C25" s="160">
        <f t="shared" ref="C25:C43" si="4">C24*C$19</f>
        <v>2.2500000000000003E-3</v>
      </c>
      <c r="D25" s="160">
        <f t="shared" si="2"/>
        <v>2.2500000000000002E-4</v>
      </c>
      <c r="E25" s="160"/>
      <c r="F25" s="160">
        <f t="shared" si="3"/>
        <v>2456.638273202549</v>
      </c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</row>
    <row r="26" spans="2:21" x14ac:dyDescent="0.2">
      <c r="B26" s="159"/>
      <c r="C26" s="160">
        <f t="shared" si="4"/>
        <v>3.3750000000000004E-3</v>
      </c>
      <c r="D26" s="160">
        <f t="shared" si="2"/>
        <v>3.3750000000000002E-4</v>
      </c>
      <c r="E26" s="160"/>
      <c r="F26" s="160">
        <f t="shared" si="3"/>
        <v>2283.7839457758864</v>
      </c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</row>
    <row r="27" spans="2:21" x14ac:dyDescent="0.2">
      <c r="B27" s="159"/>
      <c r="C27" s="160">
        <f t="shared" si="4"/>
        <v>5.062500000000001E-3</v>
      </c>
      <c r="D27" s="160">
        <f t="shared" si="2"/>
        <v>5.0625000000000008E-4</v>
      </c>
      <c r="E27" s="160"/>
      <c r="F27" s="160">
        <f t="shared" si="3"/>
        <v>2123.0920188279779</v>
      </c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</row>
    <row r="28" spans="2:21" x14ac:dyDescent="0.2">
      <c r="B28" s="159"/>
      <c r="C28" s="160">
        <f t="shared" si="4"/>
        <v>7.5937500000000015E-3</v>
      </c>
      <c r="D28" s="160">
        <f t="shared" si="2"/>
        <v>7.5937500000000018E-4</v>
      </c>
      <c r="E28" s="160"/>
      <c r="F28" s="160">
        <f t="shared" si="3"/>
        <v>1973.7067198270747</v>
      </c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</row>
    <row r="29" spans="2:21" x14ac:dyDescent="0.2">
      <c r="B29" s="159"/>
      <c r="C29" s="160">
        <f t="shared" si="4"/>
        <v>1.1390625000000001E-2</v>
      </c>
      <c r="D29" s="160">
        <f t="shared" si="2"/>
        <v>1.1390625000000001E-3</v>
      </c>
      <c r="E29" s="160"/>
      <c r="F29" s="160">
        <f t="shared" si="3"/>
        <v>1834.8324902285751</v>
      </c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</row>
    <row r="30" spans="2:21" x14ac:dyDescent="0.2">
      <c r="B30" s="159"/>
      <c r="C30" s="160">
        <f t="shared" si="4"/>
        <v>1.7085937500000002E-2</v>
      </c>
      <c r="D30" s="160">
        <f t="shared" si="2"/>
        <v>1.7085937500000003E-3</v>
      </c>
      <c r="E30" s="160"/>
      <c r="F30" s="160">
        <f t="shared" si="3"/>
        <v>1705.729748689997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</row>
    <row r="31" spans="2:21" x14ac:dyDescent="0.2">
      <c r="B31" s="159"/>
      <c r="C31" s="160">
        <f t="shared" si="4"/>
        <v>2.5628906250000003E-2</v>
      </c>
      <c r="D31" s="160">
        <f t="shared" si="2"/>
        <v>2.5628906250000005E-3</v>
      </c>
      <c r="E31" s="160"/>
      <c r="F31" s="160">
        <f t="shared" si="3"/>
        <v>1585.7109523952158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</row>
    <row r="32" spans="2:21" x14ac:dyDescent="0.2">
      <c r="B32" s="159"/>
      <c r="C32" s="160">
        <f t="shared" si="4"/>
        <v>3.8443359375000007E-2</v>
      </c>
      <c r="D32" s="160">
        <f t="shared" si="2"/>
        <v>3.8443359375000007E-3</v>
      </c>
      <c r="E32" s="160"/>
      <c r="F32" s="160">
        <f t="shared" si="3"/>
        <v>1474.1369355123616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</row>
    <row r="33" spans="2:21" x14ac:dyDescent="0.2">
      <c r="B33" s="159"/>
      <c r="C33" s="160">
        <f t="shared" si="4"/>
        <v>5.7665039062500006E-2</v>
      </c>
      <c r="D33" s="160">
        <f t="shared" si="2"/>
        <v>5.7665039062500005E-3</v>
      </c>
      <c r="E33" s="160"/>
      <c r="F33" s="160">
        <f t="shared" si="3"/>
        <v>1370.4135052856514</v>
      </c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</row>
    <row r="34" spans="2:21" x14ac:dyDescent="0.2">
      <c r="B34" s="159"/>
      <c r="C34" s="160">
        <f t="shared" si="4"/>
        <v>8.649755859375001E-2</v>
      </c>
      <c r="D34" s="160">
        <f t="shared" si="2"/>
        <v>8.6497558593750003E-3</v>
      </c>
      <c r="E34" s="160"/>
      <c r="F34" s="160">
        <f t="shared" si="3"/>
        <v>1273.9882776334912</v>
      </c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</row>
    <row r="35" spans="2:21" x14ac:dyDescent="0.2">
      <c r="B35" s="159"/>
      <c r="C35" s="160">
        <f t="shared" si="4"/>
        <v>0.12974633789062501</v>
      </c>
      <c r="D35" s="160">
        <f t="shared" si="2"/>
        <v>1.29746337890625E-2</v>
      </c>
      <c r="E35" s="160"/>
      <c r="F35" s="160">
        <f t="shared" si="3"/>
        <v>1184.3477354006654</v>
      </c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</row>
    <row r="36" spans="2:21" x14ac:dyDescent="0.2">
      <c r="B36" s="159"/>
      <c r="C36" s="160">
        <f t="shared" si="4"/>
        <v>0.19461950683593751</v>
      </c>
      <c r="D36" s="160">
        <f t="shared" si="2"/>
        <v>1.946195068359375E-2</v>
      </c>
      <c r="E36" s="160"/>
      <c r="F36" s="160">
        <f t="shared" ref="F36:F43" si="5">F$10 *  POWER(D36, -F$11)</f>
        <v>1101.0144935982025</v>
      </c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</row>
    <row r="37" spans="2:21" x14ac:dyDescent="0.2">
      <c r="B37" s="159"/>
      <c r="C37" s="160">
        <f t="shared" si="4"/>
        <v>0.29192926025390625</v>
      </c>
      <c r="D37" s="160">
        <f t="shared" si="2"/>
        <v>2.9192926025390625E-2</v>
      </c>
      <c r="E37" s="160"/>
      <c r="F37" s="160">
        <f t="shared" si="5"/>
        <v>1023.5447570668149</v>
      </c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</row>
    <row r="38" spans="2:21" x14ac:dyDescent="0.2">
      <c r="B38" s="159"/>
      <c r="C38" s="160">
        <f t="shared" si="4"/>
        <v>0.43789389038085935</v>
      </c>
      <c r="D38" s="160">
        <f t="shared" si="2"/>
        <v>4.3789389038085935E-2</v>
      </c>
      <c r="E38" s="160"/>
      <c r="F38" s="160">
        <f t="shared" si="5"/>
        <v>951.52595702458211</v>
      </c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</row>
    <row r="39" spans="2:21" x14ac:dyDescent="0.2">
      <c r="B39" s="159"/>
      <c r="C39" s="160">
        <f t="shared" si="4"/>
        <v>0.65684083557128903</v>
      </c>
      <c r="D39" s="160">
        <f t="shared" si="2"/>
        <v>6.5684083557128903E-2</v>
      </c>
      <c r="E39" s="160"/>
      <c r="F39" s="160">
        <f t="shared" si="5"/>
        <v>884.57455391219787</v>
      </c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</row>
    <row r="40" spans="2:21" x14ac:dyDescent="0.2">
      <c r="B40" s="159"/>
      <c r="C40" s="160">
        <f t="shared" si="4"/>
        <v>0.9852612533569336</v>
      </c>
      <c r="D40" s="160">
        <f t="shared" si="2"/>
        <v>9.8526125335693354E-2</v>
      </c>
      <c r="E40" s="160"/>
      <c r="F40" s="160">
        <f t="shared" si="5"/>
        <v>822.33399483472965</v>
      </c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</row>
    <row r="41" spans="2:21" x14ac:dyDescent="0.2">
      <c r="B41" s="159"/>
      <c r="C41" s="160">
        <f t="shared" si="4"/>
        <v>1.4778918800354004</v>
      </c>
      <c r="D41" s="160">
        <f t="shared" si="2"/>
        <v>0.14778918800354005</v>
      </c>
      <c r="E41" s="160"/>
      <c r="F41" s="160">
        <f t="shared" si="5"/>
        <v>764.47281472214661</v>
      </c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</row>
    <row r="42" spans="2:21" x14ac:dyDescent="0.2">
      <c r="B42" s="159"/>
      <c r="C42" s="160">
        <f t="shared" si="4"/>
        <v>2.2168378200531005</v>
      </c>
      <c r="D42" s="160">
        <f t="shared" si="2"/>
        <v>0.22168378200531005</v>
      </c>
      <c r="E42" s="160"/>
      <c r="F42" s="160">
        <f t="shared" si="5"/>
        <v>710.68287109625862</v>
      </c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</row>
    <row r="43" spans="2:21" x14ac:dyDescent="0.2">
      <c r="B43" s="159"/>
      <c r="C43" s="160">
        <f t="shared" si="4"/>
        <v>3.3252567300796505</v>
      </c>
      <c r="D43" s="160">
        <f t="shared" si="2"/>
        <v>0.33252567300796504</v>
      </c>
      <c r="E43" s="160"/>
      <c r="F43" s="160">
        <f t="shared" si="5"/>
        <v>660.67770304323096</v>
      </c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</row>
    <row r="44" spans="2:21" x14ac:dyDescent="0.2">
      <c r="B44" s="159"/>
      <c r="C44" s="160"/>
      <c r="D44" s="160"/>
      <c r="E44" s="160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Cover</vt:lpstr>
      <vt:lpstr>Impedance Transformation</vt:lpstr>
      <vt:lpstr>Waveguides</vt:lpstr>
      <vt:lpstr>Complex Impedance Transform.</vt:lpstr>
      <vt:lpstr>Synthesis Wire Loop</vt:lpstr>
      <vt:lpstr>Synthesis Planar Band Loop</vt:lpstr>
      <vt:lpstr>ZA for Loops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2022-05-27T07:48:34Z</dcterms:created>
  <dcterms:modified xsi:type="dcterms:W3CDTF">2022-10-26T09:35:50Z</dcterms:modified>
  <cp:category/>
</cp:coreProperties>
</file>