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80 2024 Video Projekte/10 in Bearbeitung/EP99 COMPLETE EXCEL Loop/50 Downloads GitHub/"/>
    </mc:Choice>
  </mc:AlternateContent>
  <xr:revisionPtr revIDLastSave="0" documentId="13_ncr:1_{181094E4-88F9-8B4D-9812-4B26BE3FE376}" xr6:coauthVersionLast="47" xr6:coauthVersionMax="47" xr10:uidLastSave="{00000000-0000-0000-0000-000000000000}"/>
  <bookViews>
    <workbookView xWindow="0" yWindow="480" windowWidth="40960" windowHeight="22560" activeTab="6" xr2:uid="{7BC29DB7-F5C1-774A-8671-8BC63D78F511}"/>
  </bookViews>
  <sheets>
    <sheet name="Cover" sheetId="1" r:id="rId1"/>
    <sheet name="Impedance Transformation" sheetId="9" r:id="rId2"/>
    <sheet name="Waveguides" sheetId="4" r:id="rId3"/>
    <sheet name="Complex Impedance Transform." sheetId="10" r:id="rId4"/>
    <sheet name="Wire Loop" sheetId="15" r:id="rId5"/>
    <sheet name="Planar Band Loop" sheetId="16" r:id="rId6"/>
    <sheet name="Planar Band Loop Substrate" sheetId="17" r:id="rId7"/>
    <sheet name="Thick Loop" sheetId="21" r:id="rId8"/>
    <sheet name="Plate Waveguide" sheetId="19" r:id="rId9"/>
    <sheet name="ZA for Loops" sheetId="11" r:id="rId10"/>
    <sheet name="Test Results" sheetId="18" r:id="rId11"/>
  </sheets>
  <definedNames>
    <definedName name="solver_adj" localSheetId="3" hidden="1">'Complex Impedance Transform.'!$H$8,'Complex Impedance Transform.'!$H$12</definedName>
    <definedName name="solver_adj" localSheetId="5" hidden="1">'Planar Band Loop'!$H$8:$H$9</definedName>
    <definedName name="solver_adj" localSheetId="6" hidden="1">'Planar Band Loop Substrate'!$H$8:$H$9</definedName>
    <definedName name="solver_adj" localSheetId="8" hidden="1">'Plate Waveguide'!$H$9:$H$10</definedName>
    <definedName name="solver_adj" localSheetId="10" hidden="1">'Test Results'!$AC$20:$AC$21</definedName>
    <definedName name="solver_adj" localSheetId="7" hidden="1">'Thick Loop'!$H$9:$H$10</definedName>
    <definedName name="solver_adj" localSheetId="4" hidden="1">'Wire Loop'!$H$8:$H$9</definedName>
    <definedName name="solver_adj" localSheetId="9" hidden="1">'ZA for Loops'!$F$10:$F$11</definedName>
    <definedName name="solver_cvg" localSheetId="3" hidden="1">0.00001</definedName>
    <definedName name="solver_cvg" localSheetId="5" hidden="1">0.00001</definedName>
    <definedName name="solver_cvg" localSheetId="6" hidden="1">0.00001</definedName>
    <definedName name="solver_cvg" localSheetId="8" hidden="1">0.00001</definedName>
    <definedName name="solver_cvg" localSheetId="10" hidden="1">0.0001</definedName>
    <definedName name="solver_cvg" localSheetId="7" hidden="1">0.00001</definedName>
    <definedName name="solver_cvg" localSheetId="4" hidden="1">0.00001</definedName>
    <definedName name="solver_cvg" localSheetId="9" hidden="1">0.0001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7" hidden="1">1</definedName>
    <definedName name="solver_drv" localSheetId="4" hidden="1">1</definedName>
    <definedName name="solver_drv" localSheetId="9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8" hidden="1">1</definedName>
    <definedName name="solver_eng" localSheetId="10" hidden="1">1</definedName>
    <definedName name="solver_eng" localSheetId="7" hidden="1">1</definedName>
    <definedName name="solver_eng" localSheetId="4" hidden="1">1</definedName>
    <definedName name="solver_eng" localSheetId="9" hidden="1">1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7" hidden="1">2147483647</definedName>
    <definedName name="solver_itr" localSheetId="4" hidden="1">2147483647</definedName>
    <definedName name="solver_itr" localSheetId="9" hidden="1">2147483647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lin" localSheetId="8" hidden="1">2</definedName>
    <definedName name="solver_lin" localSheetId="10" hidden="1">2</definedName>
    <definedName name="solver_lin" localSheetId="7" hidden="1">2</definedName>
    <definedName name="solver_lin" localSheetId="4" hidden="1">2</definedName>
    <definedName name="solver_lin" localSheetId="9" hidden="1">2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7" hidden="1">2147483647</definedName>
    <definedName name="solver_mip" localSheetId="4" hidden="1">2147483647</definedName>
    <definedName name="solver_mip" localSheetId="9" hidden="1">2147483647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7" hidden="1">30</definedName>
    <definedName name="solver_mni" localSheetId="4" hidden="1">30</definedName>
    <definedName name="solver_mni" localSheetId="9" hidden="1">30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7" hidden="1">0.075</definedName>
    <definedName name="solver_mrt" localSheetId="4" hidden="1">0.075</definedName>
    <definedName name="solver_mrt" localSheetId="9" hidden="1">0.075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7" hidden="1">2</definedName>
    <definedName name="solver_msl" localSheetId="4" hidden="1">2</definedName>
    <definedName name="solver_msl" localSheetId="9" hidden="1">2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7" hidden="1">1</definedName>
    <definedName name="solver_neg" localSheetId="4" hidden="1">1</definedName>
    <definedName name="solver_neg" localSheetId="9" hidden="1">1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7" hidden="1">2147483647</definedName>
    <definedName name="solver_nod" localSheetId="4" hidden="1">2147483647</definedName>
    <definedName name="solver_nod" localSheetId="9" hidden="1">2147483647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8" hidden="1">0</definedName>
    <definedName name="solver_num" localSheetId="10" hidden="1">0</definedName>
    <definedName name="solver_num" localSheetId="7" hidden="1">0</definedName>
    <definedName name="solver_num" localSheetId="4" hidden="1">0</definedName>
    <definedName name="solver_num" localSheetId="9" hidden="1">0</definedName>
    <definedName name="solver_opt" localSheetId="3" hidden="1">'Complex Impedance Transform.'!$H$47</definedName>
    <definedName name="solver_opt" localSheetId="5" hidden="1">'Planar Band Loop'!$H$61</definedName>
    <definedName name="solver_opt" localSheetId="6" hidden="1">'Planar Band Loop Substrate'!$H$64</definedName>
    <definedName name="solver_opt" localSheetId="8" hidden="1">'Plate Waveguide'!$H$63</definedName>
    <definedName name="solver_opt" localSheetId="10" hidden="1">'Test Results'!$AH$20</definedName>
    <definedName name="solver_opt" localSheetId="7" hidden="1">'Thick Loop'!$H$62</definedName>
    <definedName name="solver_opt" localSheetId="4" hidden="1">'Wire Loop'!$H$62</definedName>
    <definedName name="solver_opt" localSheetId="9" hidden="1">'ZA for Loops'!$H$18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7" hidden="1">0.000001</definedName>
    <definedName name="solver_pre" localSheetId="4" hidden="1">0.000001</definedName>
    <definedName name="solver_pre" localSheetId="9" hidden="1">0.000001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7" hidden="1">1</definedName>
    <definedName name="solver_rbv" localSheetId="4" hidden="1">1</definedName>
    <definedName name="solver_rbv" localSheetId="9" hidden="1">1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7" hidden="1">2</definedName>
    <definedName name="solver_rlx" localSheetId="4" hidden="1">2</definedName>
    <definedName name="solver_rlx" localSheetId="9" hidden="1">2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7" hidden="1">0</definedName>
    <definedName name="solver_rsd" localSheetId="4" hidden="1">0</definedName>
    <definedName name="solver_rsd" localSheetId="9" hidden="1">0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8" hidden="1">1</definedName>
    <definedName name="solver_scl" localSheetId="10" hidden="1">1</definedName>
    <definedName name="solver_scl" localSheetId="7" hidden="1">1</definedName>
    <definedName name="solver_scl" localSheetId="4" hidden="1">1</definedName>
    <definedName name="solver_scl" localSheetId="9" hidden="1">1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7" hidden="1">2</definedName>
    <definedName name="solver_sho" localSheetId="4" hidden="1">2</definedName>
    <definedName name="solver_sho" localSheetId="9" hidden="1">2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7" hidden="1">100</definedName>
    <definedName name="solver_ssz" localSheetId="4" hidden="1">100</definedName>
    <definedName name="solver_ssz" localSheetId="9" hidden="1">100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7" hidden="1">2147483647</definedName>
    <definedName name="solver_tim" localSheetId="4" hidden="1">2147483647</definedName>
    <definedName name="solver_tim" localSheetId="9" hidden="1">2147483647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7" hidden="1">0.01</definedName>
    <definedName name="solver_tol" localSheetId="4" hidden="1">0.01</definedName>
    <definedName name="solver_tol" localSheetId="9" hidden="1">0.01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8" hidden="1">2</definedName>
    <definedName name="solver_typ" localSheetId="10" hidden="1">3</definedName>
    <definedName name="solver_typ" localSheetId="7" hidden="1">2</definedName>
    <definedName name="solver_typ" localSheetId="4" hidden="1">2</definedName>
    <definedName name="solver_typ" localSheetId="9" hidden="1">3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7" hidden="1">0</definedName>
    <definedName name="solver_val" localSheetId="4" hidden="1">0</definedName>
    <definedName name="solver_val" localSheetId="9" hidden="1">0</definedName>
    <definedName name="solver_ver" localSheetId="3" hidden="1">2</definedName>
    <definedName name="solver_ver" localSheetId="5" hidden="1">2</definedName>
    <definedName name="solver_ver" localSheetId="6" hidden="1">2</definedName>
    <definedName name="solver_ver" localSheetId="8" hidden="1">2</definedName>
    <definedName name="solver_ver" localSheetId="10" hidden="1">2</definedName>
    <definedName name="solver_ver" localSheetId="7" hidden="1">2</definedName>
    <definedName name="solver_ver" localSheetId="4" hidden="1">2</definedName>
    <definedName name="solver_ver" localSheetId="9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9" l="1"/>
  <c r="H24" i="19" s="1"/>
  <c r="H17" i="21"/>
  <c r="H23" i="21" s="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Q30" i="21"/>
  <c r="AR31" i="21" s="1"/>
  <c r="AS31" i="21" s="1"/>
  <c r="AT31" i="21" s="1"/>
  <c r="H22" i="21"/>
  <c r="H31" i="21" s="1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Q31" i="19"/>
  <c r="AR32" i="19" s="1"/>
  <c r="AS32" i="19" s="1"/>
  <c r="AT32" i="19" s="1"/>
  <c r="H23" i="19"/>
  <c r="H32" i="19" s="1"/>
  <c r="H16" i="16"/>
  <c r="AG20" i="10"/>
  <c r="AA12" i="18"/>
  <c r="AC12" i="18" s="1"/>
  <c r="AA13" i="18"/>
  <c r="AC13" i="18" s="1"/>
  <c r="AA17" i="18"/>
  <c r="AC17" i="18" s="1"/>
  <c r="AA18" i="18"/>
  <c r="AC18" i="18" s="1"/>
  <c r="AA15" i="18"/>
  <c r="AC15" i="18" s="1"/>
  <c r="AA10" i="18"/>
  <c r="AC10" i="18" s="1"/>
  <c r="R10" i="18"/>
  <c r="X10" i="18" s="1"/>
  <c r="S10" i="18"/>
  <c r="T10" i="18"/>
  <c r="U10" i="18"/>
  <c r="R12" i="18"/>
  <c r="X12" i="18" s="1"/>
  <c r="S12" i="18"/>
  <c r="T12" i="18"/>
  <c r="U12" i="18"/>
  <c r="R13" i="18"/>
  <c r="X13" i="18" s="1"/>
  <c r="S13" i="18"/>
  <c r="T13" i="18"/>
  <c r="U13" i="18"/>
  <c r="R17" i="18"/>
  <c r="X17" i="18" s="1"/>
  <c r="S17" i="18"/>
  <c r="T17" i="18"/>
  <c r="U17" i="18"/>
  <c r="R18" i="18"/>
  <c r="X18" i="18" s="1"/>
  <c r="S18" i="18"/>
  <c r="T18" i="18"/>
  <c r="U18" i="18"/>
  <c r="R15" i="18"/>
  <c r="X15" i="18" s="1"/>
  <c r="S15" i="18"/>
  <c r="T15" i="18"/>
  <c r="U15" i="18"/>
  <c r="Q15" i="18"/>
  <c r="W15" i="18" s="1"/>
  <c r="Q18" i="18"/>
  <c r="W18" i="18" s="1"/>
  <c r="Q17" i="18"/>
  <c r="W17" i="18" s="1"/>
  <c r="Q13" i="18"/>
  <c r="W13" i="18" s="1"/>
  <c r="Q12" i="18"/>
  <c r="W12" i="18" s="1"/>
  <c r="Q10" i="18"/>
  <c r="W10" i="18" s="1"/>
  <c r="Y10" i="18" s="1"/>
  <c r="AQ33" i="19" l="1"/>
  <c r="AQ41" i="19" s="1"/>
  <c r="AQ32" i="21"/>
  <c r="AQ40" i="21" s="1"/>
  <c r="H27" i="21"/>
  <c r="H14" i="21"/>
  <c r="H15" i="21" s="1"/>
  <c r="H26" i="21"/>
  <c r="AU31" i="21"/>
  <c r="AV31" i="21" s="1"/>
  <c r="AW31" i="21" s="1"/>
  <c r="AX31" i="21" s="1"/>
  <c r="AT32" i="21"/>
  <c r="AT40" i="21" s="1"/>
  <c r="AY33" i="21"/>
  <c r="AU33" i="21"/>
  <c r="BA33" i="21"/>
  <c r="AV33" i="21"/>
  <c r="AQ33" i="21"/>
  <c r="AM33" i="21"/>
  <c r="AI33" i="21"/>
  <c r="AZ33" i="21"/>
  <c r="AP33" i="21"/>
  <c r="AL33" i="21"/>
  <c r="AX33" i="21"/>
  <c r="AO33" i="21"/>
  <c r="AT33" i="21"/>
  <c r="AH33" i="21"/>
  <c r="AS33" i="21"/>
  <c r="AK33" i="21"/>
  <c r="AG33" i="21"/>
  <c r="AW33" i="21"/>
  <c r="AR33" i="21"/>
  <c r="AN33" i="21"/>
  <c r="AJ33" i="21"/>
  <c r="AP31" i="21"/>
  <c r="AV32" i="21"/>
  <c r="AV40" i="21" s="1"/>
  <c r="AR32" i="21"/>
  <c r="AR40" i="21" s="1"/>
  <c r="AS32" i="21"/>
  <c r="AS40" i="21" s="1"/>
  <c r="H28" i="19"/>
  <c r="H15" i="19"/>
  <c r="H16" i="19" s="1"/>
  <c r="H27" i="19"/>
  <c r="AU32" i="19"/>
  <c r="AV32" i="19" s="1"/>
  <c r="AW32" i="19" s="1"/>
  <c r="AX32" i="19" s="1"/>
  <c r="AT33" i="19"/>
  <c r="AT41" i="19" s="1"/>
  <c r="AY34" i="19"/>
  <c r="AU34" i="19"/>
  <c r="BA34" i="19"/>
  <c r="AV34" i="19"/>
  <c r="AQ34" i="19"/>
  <c r="AM34" i="19"/>
  <c r="AI34" i="19"/>
  <c r="AZ34" i="19"/>
  <c r="AT34" i="19"/>
  <c r="AP34" i="19"/>
  <c r="AL34" i="19"/>
  <c r="AH34" i="19"/>
  <c r="AX34" i="19"/>
  <c r="AS34" i="19"/>
  <c r="AO34" i="19"/>
  <c r="AK34" i="19"/>
  <c r="AG34" i="19"/>
  <c r="AW34" i="19"/>
  <c r="AR34" i="19"/>
  <c r="AN34" i="19"/>
  <c r="AJ34" i="19"/>
  <c r="AP32" i="19"/>
  <c r="AR33" i="19"/>
  <c r="AR41" i="19" s="1"/>
  <c r="AV33" i="19"/>
  <c r="AV41" i="19" s="1"/>
  <c r="AS33" i="19"/>
  <c r="AS41" i="19" s="1"/>
  <c r="AW33" i="19"/>
  <c r="AW41" i="19" s="1"/>
  <c r="AB10" i="18"/>
  <c r="AE10" i="18" s="1"/>
  <c r="AF10" i="18" s="1"/>
  <c r="Y18" i="18"/>
  <c r="AB18" i="18" s="1"/>
  <c r="AE18" i="18" s="1"/>
  <c r="AF18" i="18" s="1"/>
  <c r="AH18" i="18" s="1"/>
  <c r="Y17" i="18"/>
  <c r="AB17" i="18" s="1"/>
  <c r="AE17" i="18" s="1"/>
  <c r="AF17" i="18" s="1"/>
  <c r="AH17" i="18" s="1"/>
  <c r="Y13" i="18"/>
  <c r="AB13" i="18" s="1"/>
  <c r="AE13" i="18" s="1"/>
  <c r="AF13" i="18" s="1"/>
  <c r="AH13" i="18" s="1"/>
  <c r="Y12" i="18"/>
  <c r="AB12" i="18" s="1"/>
  <c r="AE12" i="18" s="1"/>
  <c r="AF12" i="18" s="1"/>
  <c r="AH12" i="18" s="1"/>
  <c r="Y15" i="18"/>
  <c r="AB15" i="18" s="1"/>
  <c r="AE15" i="18" s="1"/>
  <c r="AF15" i="18" s="1"/>
  <c r="AH15" i="18" s="1"/>
  <c r="AW32" i="21" l="1"/>
  <c r="AW40" i="21" s="1"/>
  <c r="AU32" i="21"/>
  <c r="AU40" i="21" s="1"/>
  <c r="M17" i="21"/>
  <c r="H16" i="21" s="1"/>
  <c r="H24" i="21" s="1"/>
  <c r="M18" i="19"/>
  <c r="H17" i="19" s="1"/>
  <c r="H25" i="19" s="1"/>
  <c r="AU33" i="19"/>
  <c r="AU41" i="19" s="1"/>
  <c r="AO31" i="21"/>
  <c r="AP32" i="21"/>
  <c r="AP40" i="21" s="1"/>
  <c r="BA36" i="21"/>
  <c r="AW36" i="21"/>
  <c r="AS36" i="21"/>
  <c r="AO36" i="21"/>
  <c r="AK36" i="21"/>
  <c r="AG36" i="21"/>
  <c r="AX36" i="21"/>
  <c r="AR36" i="21"/>
  <c r="AM36" i="21"/>
  <c r="AH36" i="21"/>
  <c r="AQ36" i="21"/>
  <c r="AL36" i="21"/>
  <c r="AV36" i="21"/>
  <c r="AZ36" i="21"/>
  <c r="AU36" i="21"/>
  <c r="AP36" i="21"/>
  <c r="AJ36" i="21"/>
  <c r="AY36" i="21"/>
  <c r="AT36" i="21"/>
  <c r="AN36" i="21"/>
  <c r="AI36" i="21"/>
  <c r="H35" i="21"/>
  <c r="H36" i="21" s="1"/>
  <c r="M31" i="21" s="1"/>
  <c r="AZ53" i="21"/>
  <c r="AX53" i="21"/>
  <c r="AY37" i="21"/>
  <c r="AY51" i="21" s="1"/>
  <c r="AU37" i="21"/>
  <c r="AU51" i="21" s="1"/>
  <c r="AU52" i="21" s="1"/>
  <c r="AQ37" i="21"/>
  <c r="AQ51" i="21" s="1"/>
  <c r="AQ52" i="21" s="1"/>
  <c r="AM37" i="21"/>
  <c r="AM51" i="21" s="1"/>
  <c r="AI37" i="21"/>
  <c r="AI51" i="21" s="1"/>
  <c r="H41" i="21"/>
  <c r="H42" i="21" s="1"/>
  <c r="AW37" i="21"/>
  <c r="AW51" i="21" s="1"/>
  <c r="AW52" i="21" s="1"/>
  <c r="AR37" i="21"/>
  <c r="AR51" i="21" s="1"/>
  <c r="AR52" i="21" s="1"/>
  <c r="AL37" i="21"/>
  <c r="AL51" i="21" s="1"/>
  <c r="AG37" i="21"/>
  <c r="AG51" i="21" s="1"/>
  <c r="BA37" i="21"/>
  <c r="BA51" i="21" s="1"/>
  <c r="AV37" i="21"/>
  <c r="AV51" i="21" s="1"/>
  <c r="AV52" i="21" s="1"/>
  <c r="AK37" i="21"/>
  <c r="AK51" i="21" s="1"/>
  <c r="AP37" i="21"/>
  <c r="AP51" i="21" s="1"/>
  <c r="AO37" i="21"/>
  <c r="AO51" i="21" s="1"/>
  <c r="AZ37" i="21"/>
  <c r="AZ51" i="21" s="1"/>
  <c r="AT37" i="21"/>
  <c r="AT51" i="21" s="1"/>
  <c r="AT52" i="21" s="1"/>
  <c r="AJ37" i="21"/>
  <c r="AJ51" i="21" s="1"/>
  <c r="AX37" i="21"/>
  <c r="AX51" i="21" s="1"/>
  <c r="AS37" i="21"/>
  <c r="AS51" i="21" s="1"/>
  <c r="AS52" i="21" s="1"/>
  <c r="AN37" i="21"/>
  <c r="AN51" i="21" s="1"/>
  <c r="AH37" i="21"/>
  <c r="AH51" i="21" s="1"/>
  <c r="BA53" i="21"/>
  <c r="AY53" i="21"/>
  <c r="AY31" i="21"/>
  <c r="AX32" i="21"/>
  <c r="AX40" i="21" s="1"/>
  <c r="AX54" i="19"/>
  <c r="BA37" i="19"/>
  <c r="AW37" i="19"/>
  <c r="AS37" i="19"/>
  <c r="AO37" i="19"/>
  <c r="AK37" i="19"/>
  <c r="AG37" i="19"/>
  <c r="AZ37" i="19"/>
  <c r="AY37" i="19"/>
  <c r="AX37" i="19"/>
  <c r="AR37" i="19"/>
  <c r="AM37" i="19"/>
  <c r="AH37" i="19"/>
  <c r="AV37" i="19"/>
  <c r="AQ37" i="19"/>
  <c r="AL37" i="19"/>
  <c r="AU37" i="19"/>
  <c r="AP37" i="19"/>
  <c r="AJ37" i="19"/>
  <c r="AT37" i="19"/>
  <c r="AN37" i="19"/>
  <c r="AI37" i="19"/>
  <c r="H36" i="19"/>
  <c r="H37" i="19" s="1"/>
  <c r="M32" i="19" s="1"/>
  <c r="AO32" i="19"/>
  <c r="AP33" i="19"/>
  <c r="AP41" i="19" s="1"/>
  <c r="AZ54" i="19"/>
  <c r="AY54" i="19"/>
  <c r="AY32" i="19"/>
  <c r="AX33" i="19"/>
  <c r="AX41" i="19" s="1"/>
  <c r="BA54" i="19"/>
  <c r="AY38" i="19"/>
  <c r="AY52" i="19" s="1"/>
  <c r="AU38" i="19"/>
  <c r="AU52" i="19" s="1"/>
  <c r="AU53" i="19" s="1"/>
  <c r="AQ38" i="19"/>
  <c r="AQ52" i="19" s="1"/>
  <c r="AQ53" i="19" s="1"/>
  <c r="AM38" i="19"/>
  <c r="AM52" i="19" s="1"/>
  <c r="AI38" i="19"/>
  <c r="AI52" i="19" s="1"/>
  <c r="AX38" i="19"/>
  <c r="AX52" i="19" s="1"/>
  <c r="AT38" i="19"/>
  <c r="AT52" i="19" s="1"/>
  <c r="AT53" i="19" s="1"/>
  <c r="AP38" i="19"/>
  <c r="AP52" i="19" s="1"/>
  <c r="AL38" i="19"/>
  <c r="AL52" i="19" s="1"/>
  <c r="AH38" i="19"/>
  <c r="AH52" i="19" s="1"/>
  <c r="BA38" i="19"/>
  <c r="BA52" i="19" s="1"/>
  <c r="AW38" i="19"/>
  <c r="AW52" i="19" s="1"/>
  <c r="AW53" i="19" s="1"/>
  <c r="AS38" i="19"/>
  <c r="AS52" i="19" s="1"/>
  <c r="AS53" i="19" s="1"/>
  <c r="AO38" i="19"/>
  <c r="AO52" i="19" s="1"/>
  <c r="AK38" i="19"/>
  <c r="AK52" i="19" s="1"/>
  <c r="AG38" i="19"/>
  <c r="AG52" i="19" s="1"/>
  <c r="H42" i="19"/>
  <c r="H43" i="19" s="1"/>
  <c r="AZ38" i="19"/>
  <c r="AZ52" i="19" s="1"/>
  <c r="AV38" i="19"/>
  <c r="AV52" i="19" s="1"/>
  <c r="AV53" i="19" s="1"/>
  <c r="AR38" i="19"/>
  <c r="AR52" i="19" s="1"/>
  <c r="AR53" i="19" s="1"/>
  <c r="AN38" i="19"/>
  <c r="AN52" i="19" s="1"/>
  <c r="AJ38" i="19"/>
  <c r="AJ52" i="19" s="1"/>
  <c r="AH10" i="18"/>
  <c r="AH20" i="18" s="1"/>
  <c r="AF20" i="18"/>
  <c r="Y20" i="18"/>
  <c r="H22" i="16"/>
  <c r="AW32" i="16" s="1"/>
  <c r="AI9" i="17"/>
  <c r="AH9" i="17"/>
  <c r="AG9" i="17"/>
  <c r="AF9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Q32" i="17"/>
  <c r="AP33" i="17" s="1"/>
  <c r="AO33" i="17" s="1"/>
  <c r="AN33" i="17" s="1"/>
  <c r="AM33" i="17" s="1"/>
  <c r="AL33" i="17" s="1"/>
  <c r="AK33" i="17" s="1"/>
  <c r="AJ33" i="17" s="1"/>
  <c r="AI33" i="17" s="1"/>
  <c r="AH33" i="17" s="1"/>
  <c r="AG33" i="17" s="1"/>
  <c r="H24" i="17"/>
  <c r="AQ34" i="17" s="1"/>
  <c r="D14" i="11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Q29" i="16"/>
  <c r="AR30" i="16" s="1"/>
  <c r="AS30" i="16" s="1"/>
  <c r="AT30" i="16" s="1"/>
  <c r="AU30" i="16" s="1"/>
  <c r="AV30" i="16" s="1"/>
  <c r="AW30" i="16" s="1"/>
  <c r="AX30" i="16" s="1"/>
  <c r="AY30" i="16" s="1"/>
  <c r="AZ30" i="16" s="1"/>
  <c r="BA30" i="16" s="1"/>
  <c r="H21" i="16"/>
  <c r="H17" i="15"/>
  <c r="H23" i="15" s="1"/>
  <c r="H22" i="15"/>
  <c r="H31" i="15" s="1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Q30" i="15"/>
  <c r="AP31" i="15" s="1"/>
  <c r="AO31" i="15" s="1"/>
  <c r="C24" i="11"/>
  <c r="C25" i="11" s="1"/>
  <c r="D23" i="11"/>
  <c r="F23" i="11" s="1"/>
  <c r="D16" i="11"/>
  <c r="F16" i="11" s="1"/>
  <c r="H16" i="11" s="1"/>
  <c r="D15" i="11"/>
  <c r="F15" i="11" s="1"/>
  <c r="H15" i="11" s="1"/>
  <c r="F14" i="11"/>
  <c r="H14" i="11" s="1"/>
  <c r="AQ15" i="10"/>
  <c r="AP16" i="10" s="1"/>
  <c r="AO16" i="10" s="1"/>
  <c r="AN16" i="10" s="1"/>
  <c r="AM16" i="10" s="1"/>
  <c r="AL16" i="10" s="1"/>
  <c r="AK16" i="10" s="1"/>
  <c r="AJ16" i="10" s="1"/>
  <c r="AI16" i="10" s="1"/>
  <c r="AH16" i="10" s="1"/>
  <c r="AG16" i="10" s="1"/>
  <c r="AQ17" i="10"/>
  <c r="AQ25" i="10" s="1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H16" i="10"/>
  <c r="H11" i="10" s="1"/>
  <c r="AG21" i="10" s="1"/>
  <c r="H26" i="10"/>
  <c r="AJ18" i="10"/>
  <c r="H27" i="9"/>
  <c r="H14" i="9"/>
  <c r="H13" i="9" s="1"/>
  <c r="M13" i="9" s="1"/>
  <c r="E20" i="4"/>
  <c r="H25" i="4"/>
  <c r="H12" i="4"/>
  <c r="BA34" i="21" l="1"/>
  <c r="AK34" i="21"/>
  <c r="AP34" i="21"/>
  <c r="AN34" i="21"/>
  <c r="AM34" i="21"/>
  <c r="AL34" i="21"/>
  <c r="AW34" i="21"/>
  <c r="AG34" i="21"/>
  <c r="AJ34" i="21"/>
  <c r="AI34" i="21"/>
  <c r="AH34" i="21"/>
  <c r="AS34" i="21"/>
  <c r="AZ34" i="21"/>
  <c r="AY34" i="21"/>
  <c r="AR34" i="21"/>
  <c r="AV34" i="21"/>
  <c r="AO34" i="21"/>
  <c r="AU34" i="21"/>
  <c r="AT34" i="21"/>
  <c r="AX34" i="21"/>
  <c r="AQ34" i="21"/>
  <c r="H38" i="21"/>
  <c r="M34" i="21" s="1"/>
  <c r="AX53" i="19"/>
  <c r="AO35" i="19"/>
  <c r="AU35" i="19"/>
  <c r="AT35" i="19"/>
  <c r="AR35" i="19"/>
  <c r="AQ35" i="19"/>
  <c r="BA35" i="19"/>
  <c r="AK35" i="19"/>
  <c r="AP35" i="19"/>
  <c r="AN35" i="19"/>
  <c r="AM35" i="19"/>
  <c r="AL35" i="19"/>
  <c r="AW35" i="19"/>
  <c r="AG35" i="19"/>
  <c r="AJ35" i="19"/>
  <c r="AI35" i="19"/>
  <c r="AH35" i="19"/>
  <c r="AS35" i="19"/>
  <c r="AZ35" i="19"/>
  <c r="AY35" i="19"/>
  <c r="AX35" i="19"/>
  <c r="AV35" i="19"/>
  <c r="H39" i="19"/>
  <c r="M35" i="19" s="1"/>
  <c r="AI45" i="19"/>
  <c r="AP45" i="19"/>
  <c r="AP46" i="19" s="1"/>
  <c r="AP25" i="19" s="1"/>
  <c r="AP47" i="19" s="1"/>
  <c r="AP27" i="19" s="1"/>
  <c r="AP53" i="19"/>
  <c r="AY44" i="21"/>
  <c r="AH44" i="21"/>
  <c r="AG44" i="21"/>
  <c r="AI44" i="21"/>
  <c r="AJ44" i="21"/>
  <c r="AK44" i="21"/>
  <c r="AV25" i="21"/>
  <c r="AZ31" i="21"/>
  <c r="AY32" i="21"/>
  <c r="AY40" i="21" s="1"/>
  <c r="AY52" i="21" s="1"/>
  <c r="AM44" i="21"/>
  <c r="AT25" i="21"/>
  <c r="AT44" i="21"/>
  <c r="AT45" i="21" s="1"/>
  <c r="AU44" i="21"/>
  <c r="AU45" i="21" s="1"/>
  <c r="AQ44" i="21"/>
  <c r="AQ45" i="21" s="1"/>
  <c r="AQ41" i="21" s="1"/>
  <c r="AX44" i="21"/>
  <c r="AX45" i="21" s="1"/>
  <c r="AS44" i="21"/>
  <c r="AS45" i="21" s="1"/>
  <c r="AZ44" i="21"/>
  <c r="AW44" i="21"/>
  <c r="AW45" i="21" s="1"/>
  <c r="AW41" i="21" s="1"/>
  <c r="AX52" i="21"/>
  <c r="AQ25" i="21"/>
  <c r="AV44" i="21"/>
  <c r="AV45" i="21" s="1"/>
  <c r="AN31" i="21"/>
  <c r="AO32" i="21"/>
  <c r="AO40" i="21" s="1"/>
  <c r="AO52" i="21" s="1"/>
  <c r="AS25" i="21"/>
  <c r="AR25" i="21"/>
  <c r="AW25" i="21"/>
  <c r="BA44" i="21"/>
  <c r="AP52" i="21"/>
  <c r="M32" i="21"/>
  <c r="H32" i="21"/>
  <c r="AU25" i="21"/>
  <c r="AN44" i="21"/>
  <c r="AP44" i="21"/>
  <c r="AP45" i="21" s="1"/>
  <c r="AL44" i="21"/>
  <c r="AR44" i="21"/>
  <c r="AR45" i="21" s="1"/>
  <c r="AO44" i="21"/>
  <c r="H37" i="21"/>
  <c r="M33" i="21" s="1"/>
  <c r="AX26" i="19"/>
  <c r="AV45" i="19"/>
  <c r="AV46" i="19" s="1"/>
  <c r="AV42" i="19" s="1"/>
  <c r="AK45" i="19"/>
  <c r="BA45" i="19"/>
  <c r="M33" i="19"/>
  <c r="H33" i="19"/>
  <c r="AS26" i="19"/>
  <c r="AY53" i="19"/>
  <c r="AN45" i="19"/>
  <c r="AU45" i="19"/>
  <c r="AU46" i="19" s="1"/>
  <c r="AU42" i="19" s="1"/>
  <c r="AH45" i="19"/>
  <c r="AY45" i="19"/>
  <c r="AY46" i="19" s="1"/>
  <c r="AO45" i="19"/>
  <c r="AX45" i="19"/>
  <c r="AX46" i="19" s="1"/>
  <c r="AX42" i="19" s="1"/>
  <c r="AR26" i="19"/>
  <c r="AW26" i="19"/>
  <c r="AZ32" i="19"/>
  <c r="AY33" i="19"/>
  <c r="AY41" i="19" s="1"/>
  <c r="AN32" i="19"/>
  <c r="AO33" i="19"/>
  <c r="AO41" i="19" s="1"/>
  <c r="AO53" i="19" s="1"/>
  <c r="AT45" i="19"/>
  <c r="AT46" i="19" s="1"/>
  <c r="AT42" i="19" s="1"/>
  <c r="AL45" i="19"/>
  <c r="AM45" i="19"/>
  <c r="AZ45" i="19"/>
  <c r="AS45" i="19"/>
  <c r="AS46" i="19" s="1"/>
  <c r="AU26" i="19"/>
  <c r="AV26" i="19"/>
  <c r="AT26" i="19"/>
  <c r="AQ26" i="19"/>
  <c r="AJ45" i="19"/>
  <c r="AQ45" i="19"/>
  <c r="AQ46" i="19" s="1"/>
  <c r="AQ42" i="19" s="1"/>
  <c r="AR45" i="19"/>
  <c r="AR46" i="19" s="1"/>
  <c r="AR42" i="19" s="1"/>
  <c r="AG45" i="19"/>
  <c r="AW45" i="19"/>
  <c r="AW46" i="19" s="1"/>
  <c r="H38" i="19"/>
  <c r="M34" i="19" s="1"/>
  <c r="AR16" i="10"/>
  <c r="AS16" i="10" s="1"/>
  <c r="AT16" i="10" s="1"/>
  <c r="AU16" i="10" s="1"/>
  <c r="AV16" i="10" s="1"/>
  <c r="AW16" i="10" s="1"/>
  <c r="AX16" i="10" s="1"/>
  <c r="AY16" i="10" s="1"/>
  <c r="AY17" i="10" s="1"/>
  <c r="AY25" i="10" s="1"/>
  <c r="H26" i="15"/>
  <c r="H14" i="15"/>
  <c r="H15" i="15" s="1"/>
  <c r="M17" i="15" s="1"/>
  <c r="H16" i="15" s="1"/>
  <c r="H24" i="15" s="1"/>
  <c r="AW34" i="15" s="1"/>
  <c r="AJ9" i="17"/>
  <c r="H33" i="17"/>
  <c r="H28" i="17" s="1"/>
  <c r="AL9" i="17"/>
  <c r="AQ9" i="17"/>
  <c r="AW9" i="17" s="1"/>
  <c r="AK9" i="17"/>
  <c r="AO9" i="17"/>
  <c r="AP9" i="17" s="1"/>
  <c r="AM9" i="17"/>
  <c r="AQ42" i="17"/>
  <c r="AM34" i="17"/>
  <c r="AM42" i="17" s="1"/>
  <c r="AI34" i="17"/>
  <c r="AI42" i="17" s="1"/>
  <c r="AP34" i="17"/>
  <c r="AP42" i="17" s="1"/>
  <c r="AL34" i="17"/>
  <c r="AL42" i="17" s="1"/>
  <c r="AH34" i="17"/>
  <c r="AH42" i="17" s="1"/>
  <c r="AN34" i="17"/>
  <c r="AN42" i="17" s="1"/>
  <c r="AJ34" i="17"/>
  <c r="AJ42" i="17" s="1"/>
  <c r="BA34" i="17"/>
  <c r="BA42" i="17" s="1"/>
  <c r="AO34" i="17"/>
  <c r="AO42" i="17" s="1"/>
  <c r="AK34" i="17"/>
  <c r="AK42" i="17" s="1"/>
  <c r="AG34" i="17"/>
  <c r="AG42" i="17" s="1"/>
  <c r="AR33" i="17"/>
  <c r="AS33" i="17" s="1"/>
  <c r="AT33" i="17" s="1"/>
  <c r="AU33" i="17" s="1"/>
  <c r="AV33" i="17" s="1"/>
  <c r="AW33" i="17" s="1"/>
  <c r="AX33" i="17" s="1"/>
  <c r="AY33" i="17" s="1"/>
  <c r="AZ33" i="17" s="1"/>
  <c r="BA33" i="17" s="1"/>
  <c r="D24" i="11"/>
  <c r="F24" i="11" s="1"/>
  <c r="AP30" i="16"/>
  <c r="AO30" i="16" s="1"/>
  <c r="AN30" i="16" s="1"/>
  <c r="AM30" i="16" s="1"/>
  <c r="AL30" i="16" s="1"/>
  <c r="AK30" i="16" s="1"/>
  <c r="AJ30" i="16" s="1"/>
  <c r="AI30" i="16" s="1"/>
  <c r="AH30" i="16" s="1"/>
  <c r="AG30" i="16" s="1"/>
  <c r="AH32" i="16"/>
  <c r="AP32" i="16"/>
  <c r="AZ32" i="16"/>
  <c r="AZ52" i="16" s="1"/>
  <c r="AI32" i="16"/>
  <c r="AQ32" i="16"/>
  <c r="BA32" i="16"/>
  <c r="BA52" i="16" s="1"/>
  <c r="AL32" i="16"/>
  <c r="AT32" i="16"/>
  <c r="AM32" i="16"/>
  <c r="AV32" i="16"/>
  <c r="AQ31" i="16"/>
  <c r="H30" i="16"/>
  <c r="H13" i="16" s="1"/>
  <c r="H14" i="16" s="1"/>
  <c r="AN32" i="16"/>
  <c r="AY32" i="16"/>
  <c r="AU32" i="16"/>
  <c r="AJ32" i="16"/>
  <c r="AR32" i="16"/>
  <c r="AG32" i="16"/>
  <c r="AK32" i="16"/>
  <c r="AO32" i="16"/>
  <c r="AS32" i="16"/>
  <c r="AX32" i="16"/>
  <c r="AY36" i="15"/>
  <c r="AU36" i="15"/>
  <c r="AQ36" i="15"/>
  <c r="AM36" i="15"/>
  <c r="AI36" i="15"/>
  <c r="AX36" i="15"/>
  <c r="AT36" i="15"/>
  <c r="AP36" i="15"/>
  <c r="AL36" i="15"/>
  <c r="AH36" i="15"/>
  <c r="AR36" i="15"/>
  <c r="AS36" i="15"/>
  <c r="AG36" i="15"/>
  <c r="AV36" i="15"/>
  <c r="BA36" i="15"/>
  <c r="AW36" i="15"/>
  <c r="AO36" i="15"/>
  <c r="AK36" i="15"/>
  <c r="AZ36" i="15"/>
  <c r="AN36" i="15"/>
  <c r="AJ36" i="15"/>
  <c r="H27" i="15"/>
  <c r="AQ32" i="15"/>
  <c r="AO32" i="15" s="1"/>
  <c r="AO40" i="15" s="1"/>
  <c r="AZ33" i="15"/>
  <c r="AZ53" i="15" s="1"/>
  <c r="AY33" i="15"/>
  <c r="AY53" i="15" s="1"/>
  <c r="AU33" i="15"/>
  <c r="AQ33" i="15"/>
  <c r="AM33" i="15"/>
  <c r="AI33" i="15"/>
  <c r="AH33" i="15"/>
  <c r="AK33" i="15"/>
  <c r="AV33" i="15"/>
  <c r="AX33" i="15"/>
  <c r="AX53" i="15" s="1"/>
  <c r="AT33" i="15"/>
  <c r="AP33" i="15"/>
  <c r="AL33" i="15"/>
  <c r="AS33" i="15"/>
  <c r="AO33" i="15"/>
  <c r="AG33" i="15"/>
  <c r="AR33" i="15"/>
  <c r="AJ33" i="15"/>
  <c r="AW33" i="15"/>
  <c r="AN33" i="15"/>
  <c r="BA33" i="15"/>
  <c r="BA53" i="15" s="1"/>
  <c r="AR31" i="15"/>
  <c r="AS31" i="15" s="1"/>
  <c r="AT31" i="15" s="1"/>
  <c r="AN31" i="15"/>
  <c r="AM31" i="15" s="1"/>
  <c r="C26" i="11"/>
  <c r="D25" i="11"/>
  <c r="F25" i="11" s="1"/>
  <c r="H18" i="11"/>
  <c r="AZ21" i="10"/>
  <c r="AJ21" i="10"/>
  <c r="AR21" i="10"/>
  <c r="AV21" i="10"/>
  <c r="AN21" i="10"/>
  <c r="AY21" i="10"/>
  <c r="AU21" i="10"/>
  <c r="AQ21" i="10"/>
  <c r="AM21" i="10"/>
  <c r="AI21" i="10"/>
  <c r="AX21" i="10"/>
  <c r="AT21" i="10"/>
  <c r="AP21" i="10"/>
  <c r="AL21" i="10"/>
  <c r="AH21" i="10"/>
  <c r="BA21" i="10"/>
  <c r="AW21" i="10"/>
  <c r="AS21" i="10"/>
  <c r="AO21" i="10"/>
  <c r="AK21" i="10"/>
  <c r="AK18" i="10"/>
  <c r="AU18" i="10"/>
  <c r="AQ18" i="10"/>
  <c r="AG18" i="10"/>
  <c r="BA18" i="10"/>
  <c r="AP18" i="10"/>
  <c r="AW18" i="10"/>
  <c r="AL18" i="10"/>
  <c r="AM22" i="10"/>
  <c r="AM36" i="10" s="1"/>
  <c r="AY22" i="10"/>
  <c r="AY36" i="10" s="1"/>
  <c r="AI22" i="10"/>
  <c r="AI36" i="10" s="1"/>
  <c r="AU22" i="10"/>
  <c r="AU36" i="10" s="1"/>
  <c r="AY18" i="10"/>
  <c r="AT18" i="10"/>
  <c r="AO18" i="10"/>
  <c r="AI18" i="10"/>
  <c r="AQ22" i="10"/>
  <c r="AQ36" i="10" s="1"/>
  <c r="AQ37" i="10" s="1"/>
  <c r="AQ10" i="10" s="1"/>
  <c r="AX18" i="10"/>
  <c r="AS18" i="10"/>
  <c r="AM18" i="10"/>
  <c r="AH18" i="10"/>
  <c r="AP22" i="10"/>
  <c r="AT22" i="10"/>
  <c r="AH22" i="10"/>
  <c r="AW22" i="10"/>
  <c r="AS22" i="10"/>
  <c r="AO22" i="10"/>
  <c r="AK22" i="10"/>
  <c r="AG22" i="10"/>
  <c r="AX22" i="10"/>
  <c r="AL22" i="10"/>
  <c r="BA22" i="10"/>
  <c r="AZ22" i="10"/>
  <c r="AV22" i="10"/>
  <c r="AR22" i="10"/>
  <c r="AN22" i="10"/>
  <c r="AJ22" i="10"/>
  <c r="AZ18" i="10"/>
  <c r="AV18" i="10"/>
  <c r="AR18" i="10"/>
  <c r="AN18" i="10"/>
  <c r="AZ16" i="10"/>
  <c r="BA16" i="10" s="1"/>
  <c r="BA17" i="10" s="1"/>
  <c r="BA25" i="10" s="1"/>
  <c r="AJ17" i="10"/>
  <c r="AJ25" i="10" s="1"/>
  <c r="AI17" i="10"/>
  <c r="AI25" i="10" s="1"/>
  <c r="AX17" i="10"/>
  <c r="AX25" i="10" s="1"/>
  <c r="AT17" i="10"/>
  <c r="AT25" i="10" s="1"/>
  <c r="AP17" i="10"/>
  <c r="AP25" i="10" s="1"/>
  <c r="AL17" i="10"/>
  <c r="AL25" i="10" s="1"/>
  <c r="AH17" i="10"/>
  <c r="AH25" i="10" s="1"/>
  <c r="AU17" i="10"/>
  <c r="AU25" i="10" s="1"/>
  <c r="AM17" i="10"/>
  <c r="AM25" i="10" s="1"/>
  <c r="AW17" i="10"/>
  <c r="AW25" i="10" s="1"/>
  <c r="AS17" i="10"/>
  <c r="AS25" i="10" s="1"/>
  <c r="AO17" i="10"/>
  <c r="AO25" i="10" s="1"/>
  <c r="AK17" i="10"/>
  <c r="AK25" i="10" s="1"/>
  <c r="AG17" i="10"/>
  <c r="AG25" i="10" s="1"/>
  <c r="AV17" i="10"/>
  <c r="AV25" i="10" s="1"/>
  <c r="AR17" i="10"/>
  <c r="AR25" i="10" s="1"/>
  <c r="AN17" i="10"/>
  <c r="AN25" i="10" s="1"/>
  <c r="H27" i="10"/>
  <c r="H20" i="10"/>
  <c r="H21" i="10" s="1"/>
  <c r="M16" i="10" s="1"/>
  <c r="H16" i="9"/>
  <c r="H15" i="9"/>
  <c r="AP42" i="19" l="1"/>
  <c r="AL54" i="19"/>
  <c r="AP48" i="19"/>
  <c r="AP28" i="19" s="1"/>
  <c r="AP26" i="19"/>
  <c r="AO45" i="21"/>
  <c r="AK53" i="21" s="1"/>
  <c r="AY25" i="21"/>
  <c r="AO25" i="21"/>
  <c r="H47" i="21"/>
  <c r="H48" i="21"/>
  <c r="H44" i="21"/>
  <c r="AS54" i="21"/>
  <c r="AV24" i="21"/>
  <c r="AR53" i="21"/>
  <c r="AU24" i="21"/>
  <c r="AQ53" i="21"/>
  <c r="BA31" i="21"/>
  <c r="BA32" i="21" s="1"/>
  <c r="BA40" i="21" s="1"/>
  <c r="BA52" i="21" s="1"/>
  <c r="AZ32" i="21"/>
  <c r="AZ40" i="21" s="1"/>
  <c r="AZ52" i="21" s="1"/>
  <c r="AU54" i="21"/>
  <c r="AX41" i="21"/>
  <c r="AX25" i="21"/>
  <c r="AT24" i="21"/>
  <c r="AP53" i="21"/>
  <c r="AV54" i="21"/>
  <c r="AR24" i="21"/>
  <c r="AN53" i="21"/>
  <c r="AR41" i="21"/>
  <c r="AS24" i="21"/>
  <c r="AO53" i="21"/>
  <c r="AU41" i="21"/>
  <c r="AP41" i="21"/>
  <c r="AP25" i="21"/>
  <c r="AR54" i="21"/>
  <c r="AM31" i="21"/>
  <c r="AN32" i="21"/>
  <c r="AN40" i="21" s="1"/>
  <c r="AN52" i="21" s="1"/>
  <c r="AW24" i="21"/>
  <c r="AS53" i="21"/>
  <c r="AY45" i="21"/>
  <c r="AX24" i="21"/>
  <c r="AT53" i="21"/>
  <c r="AT54" i="21"/>
  <c r="AV41" i="21"/>
  <c r="AP24" i="21"/>
  <c r="AL53" i="21"/>
  <c r="AW54" i="21"/>
  <c r="AS41" i="21"/>
  <c r="AQ54" i="21"/>
  <c r="AQ24" i="21"/>
  <c r="AM53" i="21"/>
  <c r="AT41" i="21"/>
  <c r="AO26" i="19"/>
  <c r="AW25" i="19"/>
  <c r="AS54" i="19"/>
  <c r="AS25" i="19"/>
  <c r="AO54" i="19"/>
  <c r="BA32" i="19"/>
  <c r="BA33" i="19" s="1"/>
  <c r="BA41" i="19" s="1"/>
  <c r="BA53" i="19" s="1"/>
  <c r="AZ33" i="19"/>
  <c r="AZ41" i="19" s="1"/>
  <c r="AZ53" i="19" s="1"/>
  <c r="AY25" i="19"/>
  <c r="AU54" i="19"/>
  <c r="AS42" i="19"/>
  <c r="AQ55" i="19"/>
  <c r="AU55" i="19"/>
  <c r="AW55" i="19"/>
  <c r="AY42" i="19"/>
  <c r="AY26" i="19"/>
  <c r="AX55" i="19"/>
  <c r="AR25" i="19"/>
  <c r="AN54" i="19"/>
  <c r="AM32" i="19"/>
  <c r="AN33" i="19"/>
  <c r="AN41" i="19" s="1"/>
  <c r="AN53" i="19" s="1"/>
  <c r="AW42" i="19"/>
  <c r="AX25" i="19"/>
  <c r="AT54" i="19"/>
  <c r="AU25" i="19"/>
  <c r="AQ54" i="19"/>
  <c r="H48" i="19"/>
  <c r="H45" i="19"/>
  <c r="H49" i="19"/>
  <c r="AV25" i="19"/>
  <c r="AR54" i="19"/>
  <c r="AT25" i="19"/>
  <c r="AP54" i="19"/>
  <c r="AR55" i="19"/>
  <c r="BA46" i="19"/>
  <c r="AQ25" i="19"/>
  <c r="AM54" i="19"/>
  <c r="AT55" i="19"/>
  <c r="AV55" i="19"/>
  <c r="AO46" i="19"/>
  <c r="AN46" i="19"/>
  <c r="AS55" i="19"/>
  <c r="H22" i="10"/>
  <c r="H23" i="10"/>
  <c r="M19" i="10" s="1"/>
  <c r="M17" i="10"/>
  <c r="H29" i="10" s="1"/>
  <c r="H17" i="10"/>
  <c r="AN9" i="17"/>
  <c r="AX9" i="17"/>
  <c r="AY9" i="17" s="1"/>
  <c r="AR9" i="17"/>
  <c r="AT9" i="17"/>
  <c r="AS9" i="17"/>
  <c r="M16" i="16"/>
  <c r="H15" i="16" s="1"/>
  <c r="H23" i="16" s="1"/>
  <c r="AV34" i="17"/>
  <c r="AV42" i="17" s="1"/>
  <c r="AX34" i="17"/>
  <c r="AX42" i="17" s="1"/>
  <c r="AS34" i="17"/>
  <c r="AS42" i="17" s="1"/>
  <c r="AW34" i="17"/>
  <c r="AW42" i="17" s="1"/>
  <c r="AR34" i="17"/>
  <c r="AR42" i="17" s="1"/>
  <c r="AY34" i="17"/>
  <c r="AY42" i="17" s="1"/>
  <c r="H29" i="17"/>
  <c r="H37" i="17" s="1"/>
  <c r="H38" i="17" s="1"/>
  <c r="AZ34" i="17"/>
  <c r="AZ42" i="17" s="1"/>
  <c r="AT34" i="17"/>
  <c r="AT42" i="17" s="1"/>
  <c r="AU34" i="17"/>
  <c r="AU42" i="17" s="1"/>
  <c r="AU34" i="15"/>
  <c r="AJ34" i="15"/>
  <c r="AZ34" i="15"/>
  <c r="AK34" i="15"/>
  <c r="BA34" i="15"/>
  <c r="AI34" i="15"/>
  <c r="AY34" i="15"/>
  <c r="AP34" i="15"/>
  <c r="AO34" i="15"/>
  <c r="AM34" i="15"/>
  <c r="AH34" i="15"/>
  <c r="AR34" i="15"/>
  <c r="AX34" i="15"/>
  <c r="AS34" i="15"/>
  <c r="AL34" i="15"/>
  <c r="AN34" i="15"/>
  <c r="AQ34" i="15"/>
  <c r="AT34" i="15"/>
  <c r="AV34" i="15"/>
  <c r="AG34" i="15"/>
  <c r="AX52" i="16"/>
  <c r="AY31" i="16"/>
  <c r="AY39" i="16" s="1"/>
  <c r="AU31" i="16"/>
  <c r="AU39" i="16" s="1"/>
  <c r="AM31" i="16"/>
  <c r="AM39" i="16" s="1"/>
  <c r="AI31" i="16"/>
  <c r="AI39" i="16" s="1"/>
  <c r="AX31" i="16"/>
  <c r="AX39" i="16" s="1"/>
  <c r="AP31" i="16"/>
  <c r="AP39" i="16" s="1"/>
  <c r="AL31" i="16"/>
  <c r="AL39" i="16" s="1"/>
  <c r="AW31" i="16"/>
  <c r="AW39" i="16" s="1"/>
  <c r="AG31" i="16"/>
  <c r="AG39" i="16" s="1"/>
  <c r="AT31" i="16"/>
  <c r="AT39" i="16" s="1"/>
  <c r="AH31" i="16"/>
  <c r="AH39" i="16" s="1"/>
  <c r="BA31" i="16"/>
  <c r="BA39" i="16" s="1"/>
  <c r="AS31" i="16"/>
  <c r="AS39" i="16" s="1"/>
  <c r="AK31" i="16"/>
  <c r="AK39" i="16" s="1"/>
  <c r="AQ39" i="16"/>
  <c r="AO31" i="16"/>
  <c r="AO39" i="16" s="1"/>
  <c r="AV31" i="16"/>
  <c r="AV39" i="16" s="1"/>
  <c r="AR31" i="16"/>
  <c r="AR39" i="16" s="1"/>
  <c r="AN31" i="16"/>
  <c r="AN39" i="16" s="1"/>
  <c r="AJ31" i="16"/>
  <c r="AJ39" i="16" s="1"/>
  <c r="AZ31" i="16"/>
  <c r="AZ39" i="16" s="1"/>
  <c r="AY52" i="16"/>
  <c r="H25" i="16"/>
  <c r="H26" i="16"/>
  <c r="AT32" i="15"/>
  <c r="AT40" i="15" s="1"/>
  <c r="AQ40" i="15"/>
  <c r="AP32" i="15"/>
  <c r="AP40" i="15" s="1"/>
  <c r="H41" i="15"/>
  <c r="H42" i="15" s="1"/>
  <c r="M32" i="15" s="1"/>
  <c r="AX37" i="15"/>
  <c r="AT37" i="15"/>
  <c r="AP37" i="15"/>
  <c r="AL37" i="15"/>
  <c r="AH37" i="15"/>
  <c r="AH51" i="15" s="1"/>
  <c r="BA37" i="15"/>
  <c r="AW37" i="15"/>
  <c r="AS37" i="15"/>
  <c r="AO37" i="15"/>
  <c r="AK37" i="15"/>
  <c r="AK51" i="15" s="1"/>
  <c r="AG37" i="15"/>
  <c r="AY37" i="15"/>
  <c r="AI37" i="15"/>
  <c r="AN37" i="15"/>
  <c r="AZ37" i="15"/>
  <c r="AV37" i="15"/>
  <c r="AR37" i="15"/>
  <c r="AJ37" i="15"/>
  <c r="AU37" i="15"/>
  <c r="AM37" i="15"/>
  <c r="AQ37" i="15"/>
  <c r="H35" i="15"/>
  <c r="H36" i="15" s="1"/>
  <c r="M31" i="15" s="1"/>
  <c r="H38" i="15" s="1"/>
  <c r="M34" i="15" s="1"/>
  <c r="AU31" i="15"/>
  <c r="AR32" i="15"/>
  <c r="AR40" i="15" s="1"/>
  <c r="AS32" i="15"/>
  <c r="AS40" i="15" s="1"/>
  <c r="AN32" i="15"/>
  <c r="AN40" i="15" s="1"/>
  <c r="AL31" i="15"/>
  <c r="AM32" i="15"/>
  <c r="AM40" i="15" s="1"/>
  <c r="C27" i="11"/>
  <c r="D26" i="11"/>
  <c r="F26" i="11" s="1"/>
  <c r="AZ38" i="10"/>
  <c r="AX38" i="10"/>
  <c r="AY38" i="10"/>
  <c r="BA38" i="10"/>
  <c r="AY29" i="10"/>
  <c r="AY30" i="10" s="1"/>
  <c r="AU38" i="10" s="1"/>
  <c r="AQ39" i="10"/>
  <c r="AM37" i="10"/>
  <c r="AM10" i="10" s="1"/>
  <c r="AM39" i="10" s="1"/>
  <c r="AQ29" i="10"/>
  <c r="AQ30" i="10" s="1"/>
  <c r="AQ9" i="10" s="1"/>
  <c r="AI29" i="10"/>
  <c r="AI30" i="10" s="1"/>
  <c r="AM29" i="10"/>
  <c r="AM30" i="10" s="1"/>
  <c r="AI37" i="10"/>
  <c r="AI10" i="10" s="1"/>
  <c r="AI39" i="10" s="1"/>
  <c r="AU29" i="10"/>
  <c r="AU30" i="10" s="1"/>
  <c r="AV29" i="10"/>
  <c r="AV30" i="10" s="1"/>
  <c r="AV36" i="10"/>
  <c r="AV37" i="10" s="1"/>
  <c r="AV10" i="10" s="1"/>
  <c r="AV39" i="10" s="1"/>
  <c r="AX36" i="10"/>
  <c r="AX37" i="10" s="1"/>
  <c r="AX10" i="10" s="1"/>
  <c r="AX39" i="10" s="1"/>
  <c r="AX29" i="10"/>
  <c r="AX30" i="10" s="1"/>
  <c r="AO36" i="10"/>
  <c r="AO37" i="10" s="1"/>
  <c r="AO10" i="10" s="1"/>
  <c r="AO39" i="10" s="1"/>
  <c r="AO29" i="10"/>
  <c r="AO30" i="10" s="1"/>
  <c r="AK38" i="10" s="1"/>
  <c r="AT29" i="10"/>
  <c r="AT30" i="10" s="1"/>
  <c r="AP38" i="10" s="1"/>
  <c r="AT36" i="10"/>
  <c r="AT37" i="10" s="1"/>
  <c r="AT10" i="10" s="1"/>
  <c r="AT39" i="10" s="1"/>
  <c r="AJ29" i="10"/>
  <c r="AJ30" i="10" s="1"/>
  <c r="AJ36" i="10"/>
  <c r="AJ37" i="10" s="1"/>
  <c r="AJ10" i="10" s="1"/>
  <c r="AZ29" i="10"/>
  <c r="AZ36" i="10"/>
  <c r="AS29" i="10"/>
  <c r="AS30" i="10" s="1"/>
  <c r="AS36" i="10"/>
  <c r="AS37" i="10" s="1"/>
  <c r="AP36" i="10"/>
  <c r="AP37" i="10" s="1"/>
  <c r="AP10" i="10" s="1"/>
  <c r="AP39" i="10" s="1"/>
  <c r="AP29" i="10"/>
  <c r="AP30" i="10" s="1"/>
  <c r="AN29" i="10"/>
  <c r="AN30" i="10" s="1"/>
  <c r="AN36" i="10"/>
  <c r="AN37" i="10" s="1"/>
  <c r="BA36" i="10"/>
  <c r="BA37" i="10" s="1"/>
  <c r="BA29" i="10"/>
  <c r="BA30" i="10" s="1"/>
  <c r="AG36" i="10"/>
  <c r="AG37" i="10" s="1"/>
  <c r="AG10" i="10" s="1"/>
  <c r="AG29" i="10"/>
  <c r="AG30" i="10" s="1"/>
  <c r="AW36" i="10"/>
  <c r="AW37" i="10" s="1"/>
  <c r="AW29" i="10"/>
  <c r="AW30" i="10" s="1"/>
  <c r="AR29" i="10"/>
  <c r="AR30" i="10" s="1"/>
  <c r="AR36" i="10"/>
  <c r="AR37" i="10" s="1"/>
  <c r="AL36" i="10"/>
  <c r="AL37" i="10" s="1"/>
  <c r="AL10" i="10" s="1"/>
  <c r="AL39" i="10" s="1"/>
  <c r="AL29" i="10"/>
  <c r="AL30" i="10" s="1"/>
  <c r="AH38" i="10" s="1"/>
  <c r="AK29" i="10"/>
  <c r="AK30" i="10" s="1"/>
  <c r="AK36" i="10"/>
  <c r="AK37" i="10" s="1"/>
  <c r="AK10" i="10" s="1"/>
  <c r="AK39" i="10" s="1"/>
  <c r="AH29" i="10"/>
  <c r="AH30" i="10" s="1"/>
  <c r="AH36" i="10"/>
  <c r="AH37" i="10" s="1"/>
  <c r="AH10" i="10" s="1"/>
  <c r="AH39" i="10" s="1"/>
  <c r="AZ17" i="10"/>
  <c r="AZ25" i="10" s="1"/>
  <c r="AY37" i="10"/>
  <c r="AU37" i="10"/>
  <c r="AP60" i="19" l="1"/>
  <c r="AP59" i="19"/>
  <c r="AP55" i="19"/>
  <c r="AO24" i="21"/>
  <c r="AO47" i="21" s="1"/>
  <c r="AO27" i="21" s="1"/>
  <c r="AO41" i="21"/>
  <c r="BA45" i="21"/>
  <c r="BA24" i="21" s="1"/>
  <c r="AX54" i="21"/>
  <c r="AW47" i="21"/>
  <c r="AW27" i="21" s="1"/>
  <c r="AW46" i="21"/>
  <c r="AW26" i="21" s="1"/>
  <c r="AZ25" i="21"/>
  <c r="AN45" i="21"/>
  <c r="AO54" i="21"/>
  <c r="AP46" i="21"/>
  <c r="AP26" i="21" s="1"/>
  <c r="AP47" i="21"/>
  <c r="AP27" i="21" s="1"/>
  <c r="AR47" i="21"/>
  <c r="AR27" i="21" s="1"/>
  <c r="AR46" i="21"/>
  <c r="AR26" i="21" s="1"/>
  <c r="H50" i="21"/>
  <c r="H59" i="21"/>
  <c r="N27" i="21"/>
  <c r="AN25" i="21"/>
  <c r="AT47" i="21"/>
  <c r="AT27" i="21" s="1"/>
  <c r="AT46" i="21"/>
  <c r="AT26" i="21" s="1"/>
  <c r="BA25" i="21"/>
  <c r="AV47" i="21"/>
  <c r="AV27" i="21" s="1"/>
  <c r="AV46" i="21"/>
  <c r="AV26" i="21" s="1"/>
  <c r="AY54" i="21"/>
  <c r="AS47" i="21"/>
  <c r="AS27" i="21" s="1"/>
  <c r="AS46" i="21"/>
  <c r="AS26" i="21" s="1"/>
  <c r="AU47" i="21"/>
  <c r="AU27" i="21" s="1"/>
  <c r="AU46" i="21"/>
  <c r="AU26" i="21" s="1"/>
  <c r="AX47" i="21"/>
  <c r="AX27" i="21" s="1"/>
  <c r="AX46" i="21"/>
  <c r="AX26" i="21" s="1"/>
  <c r="AQ47" i="21"/>
  <c r="AQ27" i="21" s="1"/>
  <c r="AQ46" i="21"/>
  <c r="AQ26" i="21" s="1"/>
  <c r="AY24" i="21"/>
  <c r="AU53" i="21"/>
  <c r="AL31" i="21"/>
  <c r="AM32" i="21"/>
  <c r="AM40" i="21" s="1"/>
  <c r="AP54" i="21"/>
  <c r="AZ45" i="21"/>
  <c r="H60" i="21"/>
  <c r="P27" i="21"/>
  <c r="AY41" i="21"/>
  <c r="AO25" i="19"/>
  <c r="AK54" i="19"/>
  <c r="AZ26" i="19"/>
  <c r="BA25" i="19"/>
  <c r="AW54" i="19"/>
  <c r="H61" i="19"/>
  <c r="P28" i="19"/>
  <c r="AU47" i="19"/>
  <c r="AU27" i="19" s="1"/>
  <c r="AU48" i="19"/>
  <c r="AU28" i="19" s="1"/>
  <c r="AN42" i="19"/>
  <c r="AN26" i="19"/>
  <c r="AR48" i="19"/>
  <c r="AR28" i="19" s="1"/>
  <c r="AR47" i="19"/>
  <c r="AR27" i="19" s="1"/>
  <c r="BA42" i="19"/>
  <c r="BA26" i="19"/>
  <c r="AW48" i="19"/>
  <c r="AW28" i="19" s="1"/>
  <c r="AW47" i="19"/>
  <c r="AW27" i="19" s="1"/>
  <c r="AQ48" i="19"/>
  <c r="AQ28" i="19" s="1"/>
  <c r="AQ47" i="19"/>
  <c r="AQ27" i="19" s="1"/>
  <c r="AV48" i="19"/>
  <c r="AV28" i="19" s="1"/>
  <c r="AV47" i="19"/>
  <c r="AV27" i="19" s="1"/>
  <c r="AT48" i="19"/>
  <c r="AT28" i="19" s="1"/>
  <c r="AT47" i="19"/>
  <c r="AT27" i="19" s="1"/>
  <c r="AL32" i="19"/>
  <c r="AM33" i="19"/>
  <c r="AM41" i="19" s="1"/>
  <c r="AZ46" i="19"/>
  <c r="AZ42" i="19" s="1"/>
  <c r="AO55" i="19"/>
  <c r="AN25" i="19"/>
  <c r="AJ54" i="19"/>
  <c r="H51" i="19"/>
  <c r="H60" i="19"/>
  <c r="N28" i="19"/>
  <c r="AX48" i="19"/>
  <c r="AX28" i="19" s="1"/>
  <c r="AX47" i="19"/>
  <c r="AX27" i="19" s="1"/>
  <c r="AY55" i="19"/>
  <c r="AY48" i="19"/>
  <c r="AY28" i="19" s="1"/>
  <c r="AY47" i="19"/>
  <c r="AY27" i="19" s="1"/>
  <c r="AS48" i="19"/>
  <c r="AS28" i="19" s="1"/>
  <c r="AS47" i="19"/>
  <c r="AS27" i="19" s="1"/>
  <c r="AO42" i="19"/>
  <c r="AG39" i="10"/>
  <c r="AU9" i="17"/>
  <c r="AZ9" i="17" s="1"/>
  <c r="H15" i="17" s="1"/>
  <c r="H16" i="17" s="1"/>
  <c r="AS33" i="16"/>
  <c r="AW33" i="16"/>
  <c r="AU33" i="16"/>
  <c r="AI33" i="16"/>
  <c r="AN33" i="16"/>
  <c r="AO33" i="16"/>
  <c r="AP33" i="16"/>
  <c r="AX33" i="16"/>
  <c r="AY33" i="16"/>
  <c r="AT33" i="16"/>
  <c r="AZ33" i="16"/>
  <c r="AJ33" i="16"/>
  <c r="AM33" i="16"/>
  <c r="AR33" i="16"/>
  <c r="AL33" i="16"/>
  <c r="AV33" i="16"/>
  <c r="BA33" i="16"/>
  <c r="AH33" i="16"/>
  <c r="AQ33" i="16"/>
  <c r="AG33" i="16"/>
  <c r="AK33" i="16"/>
  <c r="BA38" i="17"/>
  <c r="AW38" i="17"/>
  <c r="AS38" i="17"/>
  <c r="AO38" i="17"/>
  <c r="AK38" i="17"/>
  <c r="AG38" i="17"/>
  <c r="AZ38" i="17"/>
  <c r="AV38" i="17"/>
  <c r="AR38" i="17"/>
  <c r="AN38" i="17"/>
  <c r="AJ38" i="17"/>
  <c r="AY38" i="17"/>
  <c r="AU38" i="17"/>
  <c r="AQ38" i="17"/>
  <c r="AM38" i="17"/>
  <c r="AI38" i="17"/>
  <c r="AX38" i="17"/>
  <c r="AT38" i="17"/>
  <c r="AP38" i="17"/>
  <c r="AL38" i="17"/>
  <c r="AH38" i="17"/>
  <c r="M33" i="17"/>
  <c r="AY39" i="17"/>
  <c r="AY53" i="17" s="1"/>
  <c r="AY54" i="17" s="1"/>
  <c r="AU39" i="17"/>
  <c r="AU53" i="17" s="1"/>
  <c r="AU54" i="17" s="1"/>
  <c r="AQ39" i="17"/>
  <c r="AQ53" i="17" s="1"/>
  <c r="AQ54" i="17" s="1"/>
  <c r="AM39" i="17"/>
  <c r="AM53" i="17" s="1"/>
  <c r="AM54" i="17" s="1"/>
  <c r="AI39" i="17"/>
  <c r="AI53" i="17" s="1"/>
  <c r="AI54" i="17" s="1"/>
  <c r="AX39" i="17"/>
  <c r="AX53" i="17" s="1"/>
  <c r="AX54" i="17" s="1"/>
  <c r="AT39" i="17"/>
  <c r="AT53" i="17" s="1"/>
  <c r="AT54" i="17" s="1"/>
  <c r="AP39" i="17"/>
  <c r="AP53" i="17" s="1"/>
  <c r="AP54" i="17" s="1"/>
  <c r="AL39" i="17"/>
  <c r="AL53" i="17" s="1"/>
  <c r="AL54" i="17" s="1"/>
  <c r="AH39" i="17"/>
  <c r="AH53" i="17" s="1"/>
  <c r="AH54" i="17" s="1"/>
  <c r="BA39" i="17"/>
  <c r="BA53" i="17" s="1"/>
  <c r="BA54" i="17" s="1"/>
  <c r="AW39" i="17"/>
  <c r="AW53" i="17" s="1"/>
  <c r="AW54" i="17" s="1"/>
  <c r="AS39" i="17"/>
  <c r="AS53" i="17" s="1"/>
  <c r="AS54" i="17" s="1"/>
  <c r="AO39" i="17"/>
  <c r="AO53" i="17" s="1"/>
  <c r="AO54" i="17" s="1"/>
  <c r="AK39" i="17"/>
  <c r="AK53" i="17" s="1"/>
  <c r="AK54" i="17" s="1"/>
  <c r="AG39" i="17"/>
  <c r="AG53" i="17" s="1"/>
  <c r="AG54" i="17" s="1"/>
  <c r="H43" i="17"/>
  <c r="H44" i="17" s="1"/>
  <c r="H34" i="17" s="1"/>
  <c r="AZ39" i="17"/>
  <c r="AZ53" i="17" s="1"/>
  <c r="AZ54" i="17" s="1"/>
  <c r="AV39" i="17"/>
  <c r="AV53" i="17" s="1"/>
  <c r="AV54" i="17" s="1"/>
  <c r="AR39" i="17"/>
  <c r="AR53" i="17" s="1"/>
  <c r="AR54" i="17" s="1"/>
  <c r="AN39" i="17"/>
  <c r="AN53" i="17" s="1"/>
  <c r="AN54" i="17" s="1"/>
  <c r="AJ39" i="17"/>
  <c r="AJ53" i="17" s="1"/>
  <c r="AJ54" i="17" s="1"/>
  <c r="AY36" i="16"/>
  <c r="AY50" i="16" s="1"/>
  <c r="AY51" i="16" s="1"/>
  <c r="AU36" i="16"/>
  <c r="AU50" i="16" s="1"/>
  <c r="AU51" i="16" s="1"/>
  <c r="AQ36" i="16"/>
  <c r="AQ50" i="16" s="1"/>
  <c r="AQ51" i="16" s="1"/>
  <c r="AM36" i="16"/>
  <c r="AM50" i="16" s="1"/>
  <c r="AM51" i="16" s="1"/>
  <c r="AI36" i="16"/>
  <c r="AI50" i="16" s="1"/>
  <c r="AI51" i="16" s="1"/>
  <c r="AZ36" i="16"/>
  <c r="AZ50" i="16" s="1"/>
  <c r="AZ51" i="16" s="1"/>
  <c r="AT36" i="16"/>
  <c r="AT50" i="16" s="1"/>
  <c r="AT51" i="16" s="1"/>
  <c r="AO36" i="16"/>
  <c r="AO50" i="16" s="1"/>
  <c r="AO51" i="16" s="1"/>
  <c r="AJ36" i="16"/>
  <c r="AJ50" i="16" s="1"/>
  <c r="AJ51" i="16" s="1"/>
  <c r="AX36" i="16"/>
  <c r="AX50" i="16" s="1"/>
  <c r="AX51" i="16" s="1"/>
  <c r="AS36" i="16"/>
  <c r="AS50" i="16" s="1"/>
  <c r="AS51" i="16" s="1"/>
  <c r="AN36" i="16"/>
  <c r="AN50" i="16" s="1"/>
  <c r="AN51" i="16" s="1"/>
  <c r="AH36" i="16"/>
  <c r="AH50" i="16" s="1"/>
  <c r="AH51" i="16" s="1"/>
  <c r="AW36" i="16"/>
  <c r="AW50" i="16" s="1"/>
  <c r="AW51" i="16" s="1"/>
  <c r="AR36" i="16"/>
  <c r="AR50" i="16" s="1"/>
  <c r="AR51" i="16" s="1"/>
  <c r="H40" i="16"/>
  <c r="H41" i="16" s="1"/>
  <c r="AL36" i="16"/>
  <c r="AL50" i="16" s="1"/>
  <c r="AL51" i="16" s="1"/>
  <c r="AG36" i="16"/>
  <c r="AG50" i="16" s="1"/>
  <c r="AG51" i="16" s="1"/>
  <c r="BA36" i="16"/>
  <c r="BA50" i="16" s="1"/>
  <c r="BA51" i="16" s="1"/>
  <c r="AV36" i="16"/>
  <c r="AV50" i="16" s="1"/>
  <c r="AV51" i="16" s="1"/>
  <c r="AP36" i="16"/>
  <c r="AP50" i="16" s="1"/>
  <c r="AP51" i="16" s="1"/>
  <c r="AK36" i="16"/>
  <c r="AK50" i="16" s="1"/>
  <c r="AK51" i="16" s="1"/>
  <c r="BA35" i="16"/>
  <c r="AW35" i="16"/>
  <c r="AS35" i="16"/>
  <c r="AO35" i="16"/>
  <c r="AK35" i="16"/>
  <c r="AG35" i="16"/>
  <c r="AZ35" i="16"/>
  <c r="AU35" i="16"/>
  <c r="AP35" i="16"/>
  <c r="AJ35" i="16"/>
  <c r="AT35" i="16"/>
  <c r="AN35" i="16"/>
  <c r="AI35" i="16"/>
  <c r="H34" i="16"/>
  <c r="H35" i="16" s="1"/>
  <c r="M30" i="16" s="1"/>
  <c r="AM35" i="16"/>
  <c r="AY35" i="16"/>
  <c r="AX35" i="16"/>
  <c r="AH35" i="16"/>
  <c r="AR35" i="16"/>
  <c r="AV35" i="16"/>
  <c r="AQ35" i="16"/>
  <c r="AL35" i="16"/>
  <c r="H37" i="15"/>
  <c r="M33" i="15" s="1"/>
  <c r="H47" i="15" s="1"/>
  <c r="AH44" i="15"/>
  <c r="AV51" i="15"/>
  <c r="AV44" i="15"/>
  <c r="AS51" i="15"/>
  <c r="AS52" i="15" s="1"/>
  <c r="AS25" i="15" s="1"/>
  <c r="AS44" i="15"/>
  <c r="AS45" i="15" s="1"/>
  <c r="AZ51" i="15"/>
  <c r="AZ44" i="15"/>
  <c r="H32" i="15"/>
  <c r="AJ51" i="15"/>
  <c r="AJ44" i="15"/>
  <c r="AN51" i="15"/>
  <c r="AN52" i="15" s="1"/>
  <c r="AN25" i="15" s="1"/>
  <c r="AN54" i="15" s="1"/>
  <c r="AN44" i="15"/>
  <c r="AN45" i="15" s="1"/>
  <c r="AJ53" i="15" s="1"/>
  <c r="BA51" i="15"/>
  <c r="BA44" i="15"/>
  <c r="AT51" i="15"/>
  <c r="AT52" i="15" s="1"/>
  <c r="AT25" i="15" s="1"/>
  <c r="AT44" i="15"/>
  <c r="AT45" i="15" s="1"/>
  <c r="AK44" i="15"/>
  <c r="AQ51" i="15"/>
  <c r="AQ52" i="15" s="1"/>
  <c r="AQ25" i="15" s="1"/>
  <c r="AQ54" i="15" s="1"/>
  <c r="AQ44" i="15"/>
  <c r="AQ45" i="15" s="1"/>
  <c r="AM53" i="15" s="1"/>
  <c r="AR51" i="15"/>
  <c r="AR52" i="15" s="1"/>
  <c r="AR25" i="15" s="1"/>
  <c r="AR54" i="15" s="1"/>
  <c r="AR44" i="15"/>
  <c r="AR45" i="15" s="1"/>
  <c r="AR24" i="15" s="1"/>
  <c r="AI51" i="15"/>
  <c r="AI44" i="15"/>
  <c r="AO51" i="15"/>
  <c r="AO52" i="15" s="1"/>
  <c r="AO44" i="15"/>
  <c r="AO45" i="15" s="1"/>
  <c r="AX51" i="15"/>
  <c r="AX44" i="15"/>
  <c r="AU51" i="15"/>
  <c r="AU44" i="15"/>
  <c r="AG51" i="15"/>
  <c r="AG44" i="15"/>
  <c r="AW51" i="15"/>
  <c r="AW44" i="15"/>
  <c r="AP51" i="15"/>
  <c r="AP52" i="15" s="1"/>
  <c r="AP44" i="15"/>
  <c r="AP45" i="15" s="1"/>
  <c r="AM51" i="15"/>
  <c r="AM52" i="15" s="1"/>
  <c r="AM44" i="15"/>
  <c r="AM45" i="15" s="1"/>
  <c r="AY51" i="15"/>
  <c r="AY44" i="15"/>
  <c r="AL51" i="15"/>
  <c r="AL44" i="15"/>
  <c r="AV31" i="15"/>
  <c r="AU32" i="15"/>
  <c r="AU40" i="15" s="1"/>
  <c r="AL32" i="15"/>
  <c r="AL40" i="15" s="1"/>
  <c r="AK31" i="15"/>
  <c r="H44" i="15"/>
  <c r="D27" i="11"/>
  <c r="F27" i="11" s="1"/>
  <c r="C28" i="11"/>
  <c r="AJ39" i="10"/>
  <c r="AY26" i="10"/>
  <c r="AY9" i="10"/>
  <c r="AY32" i="10" s="1"/>
  <c r="AY12" i="10" s="1"/>
  <c r="AQ26" i="10"/>
  <c r="AI26" i="10"/>
  <c r="AM38" i="10"/>
  <c r="AI9" i="10"/>
  <c r="AI32" i="10" s="1"/>
  <c r="AI12" i="10" s="1"/>
  <c r="AI38" i="10"/>
  <c r="AM9" i="10"/>
  <c r="AM32" i="10" s="1"/>
  <c r="AM12" i="10" s="1"/>
  <c r="AQ38" i="10"/>
  <c r="AU9" i="10"/>
  <c r="AU32" i="10" s="1"/>
  <c r="AU12" i="10" s="1"/>
  <c r="AZ30" i="10"/>
  <c r="AV38" i="10" s="1"/>
  <c r="AY10" i="10"/>
  <c r="AS38" i="10"/>
  <c r="AW9" i="10"/>
  <c r="AW32" i="10" s="1"/>
  <c r="AW12" i="10" s="1"/>
  <c r="AW38" i="10"/>
  <c r="BA9" i="10"/>
  <c r="BA32" i="10" s="1"/>
  <c r="BA12" i="10" s="1"/>
  <c r="AG38" i="10"/>
  <c r="AK9" i="10"/>
  <c r="AK31" i="10" s="1"/>
  <c r="AK11" i="10" s="1"/>
  <c r="AN38" i="10"/>
  <c r="AR9" i="10"/>
  <c r="AR31" i="10" s="1"/>
  <c r="AR11" i="10" s="1"/>
  <c r="AO38" i="10"/>
  <c r="AS9" i="10"/>
  <c r="AS32" i="10" s="1"/>
  <c r="AS12" i="10" s="1"/>
  <c r="AJ26" i="10"/>
  <c r="AJ9" i="10"/>
  <c r="AJ32" i="10" s="1"/>
  <c r="AJ12" i="10" s="1"/>
  <c r="AL38" i="10"/>
  <c r="AP9" i="10"/>
  <c r="AP32" i="10" s="1"/>
  <c r="AP12" i="10" s="1"/>
  <c r="AR38" i="10"/>
  <c r="AV26" i="10"/>
  <c r="AV9" i="10"/>
  <c r="AV31" i="10" s="1"/>
  <c r="AV11" i="10" s="1"/>
  <c r="AJ38" i="10"/>
  <c r="AN9" i="10"/>
  <c r="AN31" i="10" s="1"/>
  <c r="AN11" i="10" s="1"/>
  <c r="AT38" i="10"/>
  <c r="AX9" i="10"/>
  <c r="AX32" i="10" s="1"/>
  <c r="AX12" i="10" s="1"/>
  <c r="AG26" i="10"/>
  <c r="AX26" i="10"/>
  <c r="AH26" i="10"/>
  <c r="AK26" i="10"/>
  <c r="AO9" i="10"/>
  <c r="AO31" i="10" s="1"/>
  <c r="AO11" i="10" s="1"/>
  <c r="AL26" i="10"/>
  <c r="AZ37" i="10"/>
  <c r="AZ10" i="10" s="1"/>
  <c r="AL9" i="10"/>
  <c r="AL32" i="10" s="1"/>
  <c r="AL12" i="10" s="1"/>
  <c r="AO26" i="10"/>
  <c r="AP26" i="10"/>
  <c r="AG9" i="10"/>
  <c r="AG32" i="10" s="1"/>
  <c r="AG12" i="10" s="1"/>
  <c r="AM26" i="10"/>
  <c r="AT9" i="10"/>
  <c r="AT31" i="10" s="1"/>
  <c r="AT11" i="10" s="1"/>
  <c r="AU26" i="10"/>
  <c r="AU10" i="10"/>
  <c r="AT26" i="10"/>
  <c r="AN10" i="10"/>
  <c r="AN26" i="10"/>
  <c r="AS10" i="10"/>
  <c r="AS26" i="10"/>
  <c r="BA10" i="10"/>
  <c r="BA26" i="10"/>
  <c r="AH9" i="10"/>
  <c r="AH32" i="10" s="1"/>
  <c r="AH12" i="10" s="1"/>
  <c r="AW10" i="10"/>
  <c r="AW26" i="10"/>
  <c r="AR10" i="10"/>
  <c r="AR26" i="10"/>
  <c r="AQ32" i="10"/>
  <c r="AQ12" i="10" s="1"/>
  <c r="AQ31" i="10"/>
  <c r="AQ11" i="10" s="1"/>
  <c r="M18" i="10"/>
  <c r="H32" i="10" s="1"/>
  <c r="AO46" i="21" l="1"/>
  <c r="AO26" i="21" s="1"/>
  <c r="AO59" i="21" s="1"/>
  <c r="AY59" i="19"/>
  <c r="AY60" i="19"/>
  <c r="AW53" i="21"/>
  <c r="BA41" i="21"/>
  <c r="AP58" i="21"/>
  <c r="AX58" i="21"/>
  <c r="AN24" i="21"/>
  <c r="AJ53" i="21"/>
  <c r="AY47" i="21"/>
  <c r="AY27" i="21" s="1"/>
  <c r="AY46" i="21"/>
  <c r="AY26" i="21" s="1"/>
  <c r="AV58" i="21"/>
  <c r="AV59" i="21"/>
  <c r="AT58" i="21"/>
  <c r="AT59" i="21"/>
  <c r="AN41" i="21"/>
  <c r="AZ24" i="21"/>
  <c r="AV53" i="21"/>
  <c r="AM52" i="21"/>
  <c r="AM45" i="21"/>
  <c r="AQ58" i="21"/>
  <c r="AQ59" i="21"/>
  <c r="AU58" i="21"/>
  <c r="AU59" i="21"/>
  <c r="AN54" i="21"/>
  <c r="AR59" i="21"/>
  <c r="AR58" i="21"/>
  <c r="AO58" i="21"/>
  <c r="AZ54" i="21"/>
  <c r="AX59" i="21"/>
  <c r="AP59" i="21"/>
  <c r="AK31" i="21"/>
  <c r="AL32" i="21"/>
  <c r="AL40" i="21" s="1"/>
  <c r="BA54" i="21"/>
  <c r="AZ41" i="21"/>
  <c r="AS58" i="21"/>
  <c r="AS59" i="21"/>
  <c r="BA47" i="21"/>
  <c r="BA27" i="21" s="1"/>
  <c r="BA46" i="21"/>
  <c r="BA26" i="21" s="1"/>
  <c r="H62" i="21"/>
  <c r="AW59" i="21"/>
  <c r="AW58" i="21"/>
  <c r="AX59" i="19"/>
  <c r="AX60" i="19"/>
  <c r="AK32" i="19"/>
  <c r="AL33" i="19"/>
  <c r="AL41" i="19" s="1"/>
  <c r="AS60" i="19"/>
  <c r="AS59" i="19"/>
  <c r="AT60" i="19"/>
  <c r="AT59" i="19"/>
  <c r="AQ60" i="19"/>
  <c r="AQ59" i="19"/>
  <c r="BA55" i="19"/>
  <c r="AN55" i="19"/>
  <c r="AZ55" i="19"/>
  <c r="AZ25" i="19"/>
  <c r="AV54" i="19"/>
  <c r="H63" i="19"/>
  <c r="AM53" i="19"/>
  <c r="AM46" i="19"/>
  <c r="AV60" i="19"/>
  <c r="AV59" i="19"/>
  <c r="AW59" i="19"/>
  <c r="AW60" i="19"/>
  <c r="AR60" i="19"/>
  <c r="AR59" i="19"/>
  <c r="AN48" i="19"/>
  <c r="AN28" i="19" s="1"/>
  <c r="AN47" i="19"/>
  <c r="AN27" i="19" s="1"/>
  <c r="AU59" i="19"/>
  <c r="AU60" i="19"/>
  <c r="BA47" i="19"/>
  <c r="BA27" i="19" s="1"/>
  <c r="BA48" i="19"/>
  <c r="BA28" i="19" s="1"/>
  <c r="AO48" i="19"/>
  <c r="AO28" i="19" s="1"/>
  <c r="AO47" i="19"/>
  <c r="AO27" i="19" s="1"/>
  <c r="AQ43" i="10"/>
  <c r="BA9" i="17"/>
  <c r="H19" i="17" s="1"/>
  <c r="H25" i="17" s="1"/>
  <c r="H17" i="17"/>
  <c r="M19" i="17" s="1"/>
  <c r="H18" i="17" s="1"/>
  <c r="H26" i="17" s="1"/>
  <c r="AP46" i="17"/>
  <c r="AP47" i="17" s="1"/>
  <c r="AP43" i="17" s="1"/>
  <c r="AM46" i="17"/>
  <c r="AM47" i="17" s="1"/>
  <c r="AM26" i="17" s="1"/>
  <c r="AT46" i="17"/>
  <c r="AT47" i="17" s="1"/>
  <c r="AT43" i="17" s="1"/>
  <c r="AQ46" i="17"/>
  <c r="AQ47" i="17" s="1"/>
  <c r="AQ26" i="17" s="1"/>
  <c r="AZ46" i="17"/>
  <c r="AZ47" i="17" s="1"/>
  <c r="AZ26" i="17" s="1"/>
  <c r="AJ46" i="17"/>
  <c r="AJ47" i="17" s="1"/>
  <c r="AJ26" i="17" s="1"/>
  <c r="M34" i="17"/>
  <c r="AS27" i="17"/>
  <c r="AL27" i="17"/>
  <c r="AI27" i="17"/>
  <c r="AY27" i="17"/>
  <c r="AR27" i="17"/>
  <c r="AW27" i="17"/>
  <c r="AJ27" i="17"/>
  <c r="AZ27" i="17"/>
  <c r="AO27" i="17"/>
  <c r="AH27" i="17"/>
  <c r="AX27" i="17"/>
  <c r="AU27" i="17"/>
  <c r="AL46" i="17"/>
  <c r="AL47" i="17" s="1"/>
  <c r="AL43" i="17" s="1"/>
  <c r="AI46" i="17"/>
  <c r="AI47" i="17" s="1"/>
  <c r="AI26" i="17" s="1"/>
  <c r="AY46" i="17"/>
  <c r="AY47" i="17" s="1"/>
  <c r="AV46" i="17"/>
  <c r="AV47" i="17" s="1"/>
  <c r="AV43" i="17" s="1"/>
  <c r="AO46" i="17"/>
  <c r="AO47" i="17" s="1"/>
  <c r="AN27" i="17"/>
  <c r="AS46" i="17"/>
  <c r="AS47" i="17" s="1"/>
  <c r="AS43" i="17" s="1"/>
  <c r="AG27" i="17"/>
  <c r="AP27" i="17"/>
  <c r="AM27" i="17"/>
  <c r="AN46" i="17"/>
  <c r="AN47" i="17" s="1"/>
  <c r="AG46" i="17"/>
  <c r="AG47" i="17" s="1"/>
  <c r="AG26" i="17" s="1"/>
  <c r="AW46" i="17"/>
  <c r="AW47" i="17" s="1"/>
  <c r="AV27" i="17"/>
  <c r="AK27" i="17"/>
  <c r="BA27" i="17"/>
  <c r="AT27" i="17"/>
  <c r="AQ27" i="17"/>
  <c r="AH46" i="17"/>
  <c r="AH47" i="17" s="1"/>
  <c r="AH26" i="17" s="1"/>
  <c r="AX46" i="17"/>
  <c r="AX47" i="17" s="1"/>
  <c r="AX43" i="17" s="1"/>
  <c r="AU46" i="17"/>
  <c r="AU47" i="17" s="1"/>
  <c r="AR46" i="17"/>
  <c r="AR47" i="17" s="1"/>
  <c r="AR43" i="17" s="1"/>
  <c r="AK46" i="17"/>
  <c r="AK47" i="17" s="1"/>
  <c r="BA46" i="17"/>
  <c r="BA47" i="17" s="1"/>
  <c r="BA43" i="17" s="1"/>
  <c r="AU43" i="16"/>
  <c r="AU44" i="16" s="1"/>
  <c r="AU40" i="16" s="1"/>
  <c r="AQ43" i="16"/>
  <c r="AQ44" i="16" s="1"/>
  <c r="AM52" i="16" s="1"/>
  <c r="AI43" i="16"/>
  <c r="AI44" i="16" s="1"/>
  <c r="AI23" i="16" s="1"/>
  <c r="AI46" i="16" s="1"/>
  <c r="AI26" i="16" s="1"/>
  <c r="AY43" i="16"/>
  <c r="AY44" i="16" s="1"/>
  <c r="AY23" i="16" s="1"/>
  <c r="AX43" i="16"/>
  <c r="AX44" i="16" s="1"/>
  <c r="AX23" i="16" s="1"/>
  <c r="AP43" i="16"/>
  <c r="AP44" i="16" s="1"/>
  <c r="AL52" i="16" s="1"/>
  <c r="AK43" i="16"/>
  <c r="AK44" i="16" s="1"/>
  <c r="AG52" i="16" s="1"/>
  <c r="AV43" i="16"/>
  <c r="AV44" i="16" s="1"/>
  <c r="AV23" i="16" s="1"/>
  <c r="AN43" i="16"/>
  <c r="AN44" i="16" s="1"/>
  <c r="AN40" i="16" s="1"/>
  <c r="AO43" i="16"/>
  <c r="AO44" i="16" s="1"/>
  <c r="AO23" i="16" s="1"/>
  <c r="AM43" i="16"/>
  <c r="AM44" i="16" s="1"/>
  <c r="AM40" i="16" s="1"/>
  <c r="BA43" i="16"/>
  <c r="BA44" i="16" s="1"/>
  <c r="AR24" i="16"/>
  <c r="AS24" i="16"/>
  <c r="AT24" i="16"/>
  <c r="AQ24" i="16"/>
  <c r="AK24" i="16"/>
  <c r="AG24" i="16"/>
  <c r="AW24" i="16"/>
  <c r="AX24" i="16"/>
  <c r="AZ24" i="16"/>
  <c r="AU24" i="16"/>
  <c r="AR43" i="16"/>
  <c r="AR44" i="16" s="1"/>
  <c r="AR40" i="16" s="1"/>
  <c r="AT43" i="16"/>
  <c r="AT44" i="16" s="1"/>
  <c r="AZ43" i="16"/>
  <c r="AZ44" i="16" s="1"/>
  <c r="AS43" i="16"/>
  <c r="AS44" i="16" s="1"/>
  <c r="AP24" i="16"/>
  <c r="AL24" i="16"/>
  <c r="AH24" i="16"/>
  <c r="AJ24" i="16"/>
  <c r="AI24" i="16"/>
  <c r="AY24" i="16"/>
  <c r="AL43" i="16"/>
  <c r="AL44" i="16" s="1"/>
  <c r="AH43" i="16"/>
  <c r="AH44" i="16" s="1"/>
  <c r="AH23" i="16" s="1"/>
  <c r="H37" i="16"/>
  <c r="M33" i="16" s="1"/>
  <c r="H36" i="16"/>
  <c r="M32" i="16" s="1"/>
  <c r="AJ43" i="16"/>
  <c r="AJ44" i="16" s="1"/>
  <c r="AJ23" i="16" s="1"/>
  <c r="AG43" i="16"/>
  <c r="AG44" i="16" s="1"/>
  <c r="AG23" i="16" s="1"/>
  <c r="AW43" i="16"/>
  <c r="AW44" i="16" s="1"/>
  <c r="AV24" i="16"/>
  <c r="H31" i="16"/>
  <c r="M31" i="16"/>
  <c r="AN24" i="16"/>
  <c r="AO24" i="16"/>
  <c r="AM24" i="16"/>
  <c r="BA24" i="16"/>
  <c r="H48" i="15"/>
  <c r="H50" i="15" s="1"/>
  <c r="AT41" i="15"/>
  <c r="AQ24" i="15"/>
  <c r="AQ47" i="15" s="1"/>
  <c r="AQ27" i="15" s="1"/>
  <c r="AO53" i="15"/>
  <c r="AS24" i="15"/>
  <c r="AP24" i="15"/>
  <c r="AL53" i="15"/>
  <c r="AT24" i="15"/>
  <c r="AP53" i="15"/>
  <c r="AR41" i="15"/>
  <c r="AQ41" i="15"/>
  <c r="AP41" i="15"/>
  <c r="AP25" i="15"/>
  <c r="AN53" i="15"/>
  <c r="AO24" i="15"/>
  <c r="AK53" i="15"/>
  <c r="AO41" i="15"/>
  <c r="AO25" i="15"/>
  <c r="AU52" i="15"/>
  <c r="AU45" i="15"/>
  <c r="AW31" i="15"/>
  <c r="AV32" i="15"/>
  <c r="AV40" i="15" s="1"/>
  <c r="AN24" i="15"/>
  <c r="AN46" i="15" s="1"/>
  <c r="AN26" i="15" s="1"/>
  <c r="AN41" i="15"/>
  <c r="AS41" i="15"/>
  <c r="H59" i="15"/>
  <c r="N27" i="15"/>
  <c r="AT54" i="15"/>
  <c r="AM24" i="15"/>
  <c r="AI53" i="15"/>
  <c r="AM41" i="15"/>
  <c r="AM25" i="15"/>
  <c r="AJ31" i="15"/>
  <c r="AK32" i="15"/>
  <c r="AK40" i="15" s="1"/>
  <c r="AR47" i="15"/>
  <c r="AR27" i="15" s="1"/>
  <c r="AR46" i="15"/>
  <c r="AR26" i="15" s="1"/>
  <c r="AS54" i="15"/>
  <c r="AL52" i="15"/>
  <c r="AL45" i="15"/>
  <c r="C29" i="11"/>
  <c r="D28" i="11"/>
  <c r="F28" i="11" s="1"/>
  <c r="N12" i="10"/>
  <c r="H33" i="10"/>
  <c r="BA39" i="10"/>
  <c r="AR39" i="10"/>
  <c r="AN39" i="10"/>
  <c r="AW39" i="10"/>
  <c r="AS39" i="10"/>
  <c r="AU39" i="10"/>
  <c r="AZ39" i="10"/>
  <c r="AY39" i="10"/>
  <c r="AY31" i="10"/>
  <c r="AY11" i="10" s="1"/>
  <c r="AY43" i="10" s="1"/>
  <c r="AI31" i="10"/>
  <c r="AI11" i="10" s="1"/>
  <c r="AI43" i="10" s="1"/>
  <c r="AT32" i="10"/>
  <c r="AT12" i="10" s="1"/>
  <c r="AT43" i="10" s="1"/>
  <c r="AU31" i="10"/>
  <c r="AU11" i="10" s="1"/>
  <c r="AU44" i="10" s="1"/>
  <c r="AG31" i="10"/>
  <c r="AG11" i="10" s="1"/>
  <c r="AG43" i="10" s="1"/>
  <c r="AM31" i="10"/>
  <c r="AM11" i="10" s="1"/>
  <c r="AM43" i="10" s="1"/>
  <c r="AN32" i="10"/>
  <c r="AN12" i="10" s="1"/>
  <c r="AN44" i="10" s="1"/>
  <c r="AV32" i="10"/>
  <c r="AV12" i="10" s="1"/>
  <c r="AJ31" i="10"/>
  <c r="AJ11" i="10" s="1"/>
  <c r="AX31" i="10"/>
  <c r="AX11" i="10" s="1"/>
  <c r="AX43" i="10" s="1"/>
  <c r="AW31" i="10"/>
  <c r="AW11" i="10" s="1"/>
  <c r="AW44" i="10" s="1"/>
  <c r="AO32" i="10"/>
  <c r="AO12" i="10" s="1"/>
  <c r="AO44" i="10" s="1"/>
  <c r="AK32" i="10"/>
  <c r="AK12" i="10" s="1"/>
  <c r="AK44" i="10" s="1"/>
  <c r="AZ9" i="10"/>
  <c r="AZ31" i="10" s="1"/>
  <c r="AZ11" i="10" s="1"/>
  <c r="AS31" i="10"/>
  <c r="AS11" i="10" s="1"/>
  <c r="AS44" i="10" s="1"/>
  <c r="AP31" i="10"/>
  <c r="AP11" i="10" s="1"/>
  <c r="AP43" i="10" s="1"/>
  <c r="AL31" i="10"/>
  <c r="AL11" i="10" s="1"/>
  <c r="AR32" i="10"/>
  <c r="AR12" i="10" s="1"/>
  <c r="AR43" i="10" s="1"/>
  <c r="BA31" i="10"/>
  <c r="BA11" i="10" s="1"/>
  <c r="BA43" i="10" s="1"/>
  <c r="AZ26" i="10"/>
  <c r="AH31" i="10"/>
  <c r="AH11" i="10" s="1"/>
  <c r="AQ44" i="10"/>
  <c r="BA60" i="19" l="1"/>
  <c r="AN60" i="19"/>
  <c r="BA59" i="19"/>
  <c r="BA59" i="21"/>
  <c r="BA58" i="21"/>
  <c r="AM41" i="21"/>
  <c r="AM25" i="21"/>
  <c r="AY58" i="21"/>
  <c r="AY59" i="21"/>
  <c r="AL52" i="21"/>
  <c r="AL45" i="21"/>
  <c r="AZ47" i="21"/>
  <c r="AZ27" i="21" s="1"/>
  <c r="AZ46" i="21"/>
  <c r="AZ26" i="21" s="1"/>
  <c r="AJ31" i="21"/>
  <c r="AK32" i="21"/>
  <c r="AK40" i="21" s="1"/>
  <c r="AM24" i="21"/>
  <c r="AI53" i="21"/>
  <c r="AN47" i="21"/>
  <c r="AN27" i="21" s="1"/>
  <c r="AN46" i="21"/>
  <c r="AN26" i="21" s="1"/>
  <c r="AL53" i="19"/>
  <c r="AL46" i="19"/>
  <c r="AM42" i="19"/>
  <c r="AM26" i="19"/>
  <c r="AN59" i="19"/>
  <c r="AJ32" i="19"/>
  <c r="AK33" i="19"/>
  <c r="AK41" i="19" s="1"/>
  <c r="AZ48" i="19"/>
  <c r="AZ28" i="19" s="1"/>
  <c r="AZ47" i="19"/>
  <c r="AZ27" i="19" s="1"/>
  <c r="AO60" i="19"/>
  <c r="AO59" i="19"/>
  <c r="AM25" i="19"/>
  <c r="AI54" i="19"/>
  <c r="AN36" i="17"/>
  <c r="AJ36" i="17"/>
  <c r="AT36" i="17"/>
  <c r="AW36" i="17"/>
  <c r="AO36" i="17"/>
  <c r="AV36" i="17"/>
  <c r="AK36" i="17"/>
  <c r="AR36" i="17"/>
  <c r="AY36" i="17"/>
  <c r="AL36" i="17"/>
  <c r="AZ36" i="17"/>
  <c r="AG36" i="17"/>
  <c r="AU36" i="17"/>
  <c r="AQ36" i="17"/>
  <c r="AH36" i="17"/>
  <c r="AM36" i="17"/>
  <c r="AX36" i="17"/>
  <c r="BA36" i="17"/>
  <c r="AI36" i="17"/>
  <c r="AP36" i="17"/>
  <c r="AS36" i="17"/>
  <c r="H40" i="17"/>
  <c r="M36" i="17" s="1"/>
  <c r="H39" i="17"/>
  <c r="M35" i="17" s="1"/>
  <c r="AY35" i="17"/>
  <c r="AY55" i="17" s="1"/>
  <c r="AO35" i="17"/>
  <c r="AO56" i="17" s="1"/>
  <c r="BA35" i="17"/>
  <c r="BA55" i="17" s="1"/>
  <c r="AP26" i="17"/>
  <c r="AS35" i="17"/>
  <c r="AS56" i="17" s="1"/>
  <c r="AW35" i="17"/>
  <c r="AW56" i="17" s="1"/>
  <c r="AP35" i="17"/>
  <c r="AP55" i="17" s="1"/>
  <c r="AX35" i="17"/>
  <c r="AX55" i="17" s="1"/>
  <c r="AV35" i="17"/>
  <c r="AV56" i="17" s="1"/>
  <c r="AU35" i="17"/>
  <c r="AU55" i="17" s="1"/>
  <c r="AR35" i="17"/>
  <c r="AR56" i="17" s="1"/>
  <c r="AG35" i="17"/>
  <c r="AG56" i="17" s="1"/>
  <c r="AN35" i="17"/>
  <c r="AN56" i="17" s="1"/>
  <c r="AM35" i="17"/>
  <c r="AM56" i="17" s="1"/>
  <c r="AZ35" i="17"/>
  <c r="AZ55" i="17" s="1"/>
  <c r="AT35" i="17"/>
  <c r="AT55" i="17" s="1"/>
  <c r="AL35" i="17"/>
  <c r="AL56" i="17" s="1"/>
  <c r="AT26" i="17"/>
  <c r="AJ35" i="17"/>
  <c r="AH35" i="17"/>
  <c r="AH56" i="17" s="1"/>
  <c r="AI35" i="17"/>
  <c r="AI55" i="17" s="1"/>
  <c r="AQ35" i="17"/>
  <c r="AK35" i="17"/>
  <c r="AK55" i="17" s="1"/>
  <c r="AQ43" i="17"/>
  <c r="AM43" i="17"/>
  <c r="AZ43" i="17"/>
  <c r="AJ43" i="17"/>
  <c r="AH43" i="17"/>
  <c r="AU26" i="17"/>
  <c r="AY26" i="17"/>
  <c r="AY43" i="17"/>
  <c r="BA26" i="17"/>
  <c r="AK26" i="17"/>
  <c r="AO26" i="17"/>
  <c r="AL26" i="17"/>
  <c r="AO43" i="17"/>
  <c r="AI43" i="17"/>
  <c r="AU43" i="17"/>
  <c r="AX26" i="17"/>
  <c r="AN26" i="17"/>
  <c r="AG43" i="17"/>
  <c r="AS26" i="17"/>
  <c r="AK43" i="17"/>
  <c r="AR26" i="17"/>
  <c r="AW26" i="17"/>
  <c r="AN43" i="17"/>
  <c r="AV26" i="17"/>
  <c r="AW43" i="17"/>
  <c r="H46" i="17"/>
  <c r="AU23" i="16"/>
  <c r="AQ52" i="16"/>
  <c r="AQ23" i="16"/>
  <c r="AQ45" i="16" s="1"/>
  <c r="AQ25" i="16" s="1"/>
  <c r="AY40" i="16"/>
  <c r="AQ40" i="16"/>
  <c r="AU52" i="16"/>
  <c r="AI40" i="16"/>
  <c r="AT52" i="16"/>
  <c r="AP23" i="16"/>
  <c r="AP46" i="16" s="1"/>
  <c r="AP26" i="16" s="1"/>
  <c r="AI45" i="16"/>
  <c r="AI25" i="16" s="1"/>
  <c r="AI57" i="16" s="1"/>
  <c r="AX40" i="16"/>
  <c r="AK23" i="16"/>
  <c r="AK46" i="16" s="1"/>
  <c r="AK26" i="16" s="1"/>
  <c r="AK40" i="16"/>
  <c r="AR52" i="16"/>
  <c r="AP40" i="16"/>
  <c r="AV40" i="16"/>
  <c r="AN23" i="16"/>
  <c r="AN45" i="16" s="1"/>
  <c r="AN25" i="16" s="1"/>
  <c r="AO40" i="16"/>
  <c r="AI52" i="16"/>
  <c r="AJ52" i="16"/>
  <c r="AK52" i="16"/>
  <c r="AH40" i="16"/>
  <c r="AM23" i="16"/>
  <c r="AM46" i="16" s="1"/>
  <c r="AM26" i="16" s="1"/>
  <c r="AG40" i="16"/>
  <c r="AV45" i="16"/>
  <c r="AV25" i="16" s="1"/>
  <c r="AV46" i="16"/>
  <c r="AV26" i="16" s="1"/>
  <c r="AM53" i="16"/>
  <c r="AN53" i="16"/>
  <c r="AV53" i="16"/>
  <c r="AJ46" i="16"/>
  <c r="AJ26" i="16" s="1"/>
  <c r="AJ45" i="16"/>
  <c r="AJ25" i="16" s="1"/>
  <c r="AL23" i="16"/>
  <c r="AH52" i="16"/>
  <c r="AP53" i="16"/>
  <c r="AO46" i="16"/>
  <c r="AO26" i="16" s="1"/>
  <c r="AO45" i="16"/>
  <c r="AO25" i="16" s="1"/>
  <c r="AT53" i="16"/>
  <c r="AX45" i="16"/>
  <c r="AX25" i="16" s="1"/>
  <c r="AX46" i="16"/>
  <c r="AX26" i="16" s="1"/>
  <c r="AY53" i="16"/>
  <c r="AJ53" i="16"/>
  <c r="AL40" i="16"/>
  <c r="AS23" i="16"/>
  <c r="AO52" i="16"/>
  <c r="AZ53" i="16"/>
  <c r="AW53" i="16"/>
  <c r="AQ53" i="16"/>
  <c r="AS53" i="16"/>
  <c r="BA23" i="16"/>
  <c r="AW52" i="16"/>
  <c r="BA40" i="16"/>
  <c r="H46" i="16"/>
  <c r="H43" i="16"/>
  <c r="H47" i="16"/>
  <c r="AW23" i="16"/>
  <c r="AS52" i="16"/>
  <c r="AJ40" i="16"/>
  <c r="AL53" i="16"/>
  <c r="AZ23" i="16"/>
  <c r="AV52" i="16"/>
  <c r="AR23" i="16"/>
  <c r="AN52" i="16"/>
  <c r="AZ40" i="16"/>
  <c r="AW40" i="16"/>
  <c r="AK53" i="16"/>
  <c r="AU46" i="16"/>
  <c r="AU26" i="16" s="1"/>
  <c r="AU45" i="16"/>
  <c r="AU25" i="16" s="1"/>
  <c r="AY45" i="16"/>
  <c r="AY25" i="16" s="1"/>
  <c r="AY46" i="16"/>
  <c r="AY26" i="16" s="1"/>
  <c r="AS40" i="16"/>
  <c r="BA53" i="16"/>
  <c r="AO53" i="16"/>
  <c r="AG46" i="16"/>
  <c r="AG26" i="16" s="1"/>
  <c r="AG45" i="16"/>
  <c r="AG25" i="16" s="1"/>
  <c r="AH46" i="16"/>
  <c r="AH26" i="16" s="1"/>
  <c r="AH45" i="16"/>
  <c r="AH25" i="16" s="1"/>
  <c r="AI53" i="16"/>
  <c r="AH53" i="16"/>
  <c r="AT23" i="16"/>
  <c r="AP52" i="16"/>
  <c r="AU53" i="16"/>
  <c r="AX53" i="16"/>
  <c r="AG53" i="16"/>
  <c r="AT40" i="16"/>
  <c r="AR53" i="16"/>
  <c r="P27" i="15"/>
  <c r="H60" i="15"/>
  <c r="H62" i="15" s="1"/>
  <c r="AQ46" i="15"/>
  <c r="AQ26" i="15" s="1"/>
  <c r="AO54" i="15"/>
  <c r="AS46" i="15"/>
  <c r="AS26" i="15" s="1"/>
  <c r="AS47" i="15"/>
  <c r="AS27" i="15" s="1"/>
  <c r="AP54" i="15"/>
  <c r="AP47" i="15"/>
  <c r="AP27" i="15" s="1"/>
  <c r="AP46" i="15"/>
  <c r="AP26" i="15" s="1"/>
  <c r="AO46" i="15"/>
  <c r="AO26" i="15" s="1"/>
  <c r="AO47" i="15"/>
  <c r="AO27" i="15" s="1"/>
  <c r="AT46" i="15"/>
  <c r="AT26" i="15" s="1"/>
  <c r="AT47" i="15"/>
  <c r="AT27" i="15" s="1"/>
  <c r="AV52" i="15"/>
  <c r="AV45" i="15"/>
  <c r="AN47" i="15"/>
  <c r="AN27" i="15" s="1"/>
  <c r="AN59" i="15" s="1"/>
  <c r="AX31" i="15"/>
  <c r="AW32" i="15"/>
  <c r="AW40" i="15" s="1"/>
  <c r="AU24" i="15"/>
  <c r="AQ53" i="15"/>
  <c r="AU25" i="15"/>
  <c r="AU41" i="15"/>
  <c r="AI31" i="15"/>
  <c r="AJ32" i="15"/>
  <c r="AJ40" i="15" s="1"/>
  <c r="AL24" i="15"/>
  <c r="AH53" i="15"/>
  <c r="AK52" i="15"/>
  <c r="AK45" i="15"/>
  <c r="AL41" i="15"/>
  <c r="AL25" i="15"/>
  <c r="AM46" i="15"/>
  <c r="AM26" i="15" s="1"/>
  <c r="AM47" i="15"/>
  <c r="AM27" i="15" s="1"/>
  <c r="AR59" i="15"/>
  <c r="AR58" i="15"/>
  <c r="AM54" i="15"/>
  <c r="D29" i="11"/>
  <c r="F29" i="11" s="1"/>
  <c r="C30" i="11"/>
  <c r="AW43" i="10"/>
  <c r="AN43" i="10"/>
  <c r="AH44" i="10"/>
  <c r="AH43" i="10"/>
  <c r="AL44" i="10"/>
  <c r="AL43" i="10"/>
  <c r="AJ44" i="10"/>
  <c r="AJ43" i="10"/>
  <c r="AO43" i="10"/>
  <c r="AV44" i="10"/>
  <c r="AV43" i="10"/>
  <c r="AU43" i="10"/>
  <c r="AS43" i="10"/>
  <c r="AK43" i="10"/>
  <c r="H45" i="10"/>
  <c r="P12" i="10"/>
  <c r="AY44" i="10"/>
  <c r="AI44" i="10"/>
  <c r="AT44" i="10"/>
  <c r="AG44" i="10"/>
  <c r="AX44" i="10"/>
  <c r="AM44" i="10"/>
  <c r="AR44" i="10"/>
  <c r="AZ32" i="10"/>
  <c r="AZ12" i="10" s="1"/>
  <c r="AZ44" i="10" s="1"/>
  <c r="BA44" i="10"/>
  <c r="AP44" i="10"/>
  <c r="H44" i="10"/>
  <c r="H35" i="10"/>
  <c r="AZ58" i="21" l="1"/>
  <c r="AZ59" i="21"/>
  <c r="AM47" i="21"/>
  <c r="AM27" i="21" s="1"/>
  <c r="AM46" i="21"/>
  <c r="AM26" i="21" s="1"/>
  <c r="AN58" i="21"/>
  <c r="AN59" i="21"/>
  <c r="AK45" i="21"/>
  <c r="AK52" i="21"/>
  <c r="AL24" i="21"/>
  <c r="AH53" i="21"/>
  <c r="AM54" i="21"/>
  <c r="AI31" i="21"/>
  <c r="AJ32" i="21"/>
  <c r="AJ40" i="21" s="1"/>
  <c r="AL41" i="21"/>
  <c r="AL25" i="21"/>
  <c r="AM48" i="19"/>
  <c r="AM28" i="19" s="1"/>
  <c r="AM47" i="19"/>
  <c r="AM27" i="19" s="1"/>
  <c r="AM55" i="19"/>
  <c r="AK53" i="19"/>
  <c r="AK46" i="19"/>
  <c r="AI32" i="19"/>
  <c r="AJ33" i="19"/>
  <c r="AJ41" i="19" s="1"/>
  <c r="AL25" i="19"/>
  <c r="AH54" i="19"/>
  <c r="AZ60" i="19"/>
  <c r="AZ59" i="19"/>
  <c r="AL42" i="19"/>
  <c r="AL26" i="19"/>
  <c r="AJ48" i="17"/>
  <c r="AJ28" i="17" s="1"/>
  <c r="H50" i="17"/>
  <c r="H62" i="17" s="1"/>
  <c r="AQ49" i="17"/>
  <c r="AQ29" i="17" s="1"/>
  <c r="H49" i="17"/>
  <c r="N29" i="17" s="1"/>
  <c r="AY56" i="17"/>
  <c r="AO55" i="17"/>
  <c r="BA56" i="17"/>
  <c r="AS55" i="17"/>
  <c r="AP49" i="17"/>
  <c r="AP29" i="17" s="1"/>
  <c r="AW55" i="17"/>
  <c r="AP56" i="17"/>
  <c r="AP48" i="17"/>
  <c r="AP28" i="17" s="1"/>
  <c r="AX56" i="17"/>
  <c r="AM55" i="17"/>
  <c r="AV55" i="17"/>
  <c r="AU56" i="17"/>
  <c r="AM48" i="17"/>
  <c r="AM28" i="17" s="1"/>
  <c r="AR55" i="17"/>
  <c r="AM49" i="17"/>
  <c r="AM29" i="17" s="1"/>
  <c r="AZ48" i="17"/>
  <c r="AZ28" i="17" s="1"/>
  <c r="AZ56" i="17"/>
  <c r="AG55" i="17"/>
  <c r="AT56" i="17"/>
  <c r="AG48" i="17"/>
  <c r="AG28" i="17" s="1"/>
  <c r="AJ49" i="17"/>
  <c r="AJ29" i="17" s="1"/>
  <c r="AJ60" i="17" s="1"/>
  <c r="AL55" i="17"/>
  <c r="AT48" i="17"/>
  <c r="AT28" i="17" s="1"/>
  <c r="AT49" i="17"/>
  <c r="AT29" i="17" s="1"/>
  <c r="AG49" i="17"/>
  <c r="AG29" i="17" s="1"/>
  <c r="AN55" i="17"/>
  <c r="AZ49" i="17"/>
  <c r="AZ29" i="17" s="1"/>
  <c r="AK56" i="17"/>
  <c r="AJ56" i="17"/>
  <c r="AH55" i="17"/>
  <c r="AJ55" i="17"/>
  <c r="AH48" i="17"/>
  <c r="AH28" i="17" s="1"/>
  <c r="AH49" i="17"/>
  <c r="AH29" i="17" s="1"/>
  <c r="AQ48" i="17"/>
  <c r="AQ28" i="17" s="1"/>
  <c r="AI49" i="17"/>
  <c r="AI29" i="17" s="1"/>
  <c r="AQ55" i="17"/>
  <c r="AQ56" i="17"/>
  <c r="AI56" i="17"/>
  <c r="AI48" i="17"/>
  <c r="AI28" i="17" s="1"/>
  <c r="AW49" i="17"/>
  <c r="AW29" i="17" s="1"/>
  <c r="AW48" i="17"/>
  <c r="AW28" i="17" s="1"/>
  <c r="AR49" i="17"/>
  <c r="AR29" i="17" s="1"/>
  <c r="AR48" i="17"/>
  <c r="AR28" i="17" s="1"/>
  <c r="AK49" i="17"/>
  <c r="AK29" i="17" s="1"/>
  <c r="AK48" i="17"/>
  <c r="AK28" i="17" s="1"/>
  <c r="AV49" i="17"/>
  <c r="AV29" i="17" s="1"/>
  <c r="AV48" i="17"/>
  <c r="AV28" i="17" s="1"/>
  <c r="AS49" i="17"/>
  <c r="AS29" i="17" s="1"/>
  <c r="AS48" i="17"/>
  <c r="AS28" i="17" s="1"/>
  <c r="AX49" i="17"/>
  <c r="AX29" i="17" s="1"/>
  <c r="AX48" i="17"/>
  <c r="AX28" i="17" s="1"/>
  <c r="AL49" i="17"/>
  <c r="AL29" i="17" s="1"/>
  <c r="AL48" i="17"/>
  <c r="AL28" i="17" s="1"/>
  <c r="BA49" i="17"/>
  <c r="BA29" i="17" s="1"/>
  <c r="BA48" i="17"/>
  <c r="BA28" i="17" s="1"/>
  <c r="AU49" i="17"/>
  <c r="AU29" i="17" s="1"/>
  <c r="AU48" i="17"/>
  <c r="AU28" i="17" s="1"/>
  <c r="AN49" i="17"/>
  <c r="AN29" i="17" s="1"/>
  <c r="AN48" i="17"/>
  <c r="AN28" i="17" s="1"/>
  <c r="AO49" i="17"/>
  <c r="AO29" i="17" s="1"/>
  <c r="AO48" i="17"/>
  <c r="AO28" i="17" s="1"/>
  <c r="AY49" i="17"/>
  <c r="AY29" i="17" s="1"/>
  <c r="AY48" i="17"/>
  <c r="AY28" i="17" s="1"/>
  <c r="AQ46" i="16"/>
  <c r="AQ26" i="16" s="1"/>
  <c r="AQ58" i="16" s="1"/>
  <c r="AP45" i="16"/>
  <c r="AP25" i="16" s="1"/>
  <c r="AP58" i="16" s="1"/>
  <c r="AI58" i="16"/>
  <c r="AK45" i="16"/>
  <c r="AK25" i="16" s="1"/>
  <c r="AK58" i="16" s="1"/>
  <c r="AN46" i="16"/>
  <c r="AN26" i="16" s="1"/>
  <c r="AN58" i="16" s="1"/>
  <c r="AM45" i="16"/>
  <c r="AM25" i="16" s="1"/>
  <c r="AM57" i="16" s="1"/>
  <c r="AX57" i="16"/>
  <c r="AG58" i="16"/>
  <c r="AV58" i="16"/>
  <c r="AH58" i="16"/>
  <c r="AU58" i="16"/>
  <c r="AX58" i="16"/>
  <c r="AO58" i="16"/>
  <c r="AV57" i="16"/>
  <c r="AU57" i="16"/>
  <c r="AY58" i="16"/>
  <c r="AJ58" i="16"/>
  <c r="AH57" i="16"/>
  <c r="H58" i="16"/>
  <c r="N26" i="16"/>
  <c r="H49" i="16"/>
  <c r="BA45" i="16"/>
  <c r="BA25" i="16" s="1"/>
  <c r="BA46" i="16"/>
  <c r="BA26" i="16" s="1"/>
  <c r="AO57" i="16"/>
  <c r="H59" i="16"/>
  <c r="P26" i="16"/>
  <c r="AL46" i="16"/>
  <c r="AL26" i="16" s="1"/>
  <c r="AL45" i="16"/>
  <c r="AL25" i="16" s="1"/>
  <c r="AR46" i="16"/>
  <c r="AR26" i="16" s="1"/>
  <c r="AR45" i="16"/>
  <c r="AR25" i="16" s="1"/>
  <c r="AW45" i="16"/>
  <c r="AW25" i="16" s="1"/>
  <c r="AW46" i="16"/>
  <c r="AW26" i="16" s="1"/>
  <c r="AS46" i="16"/>
  <c r="AS26" i="16" s="1"/>
  <c r="AS45" i="16"/>
  <c r="AS25" i="16" s="1"/>
  <c r="AJ57" i="16"/>
  <c r="AG57" i="16"/>
  <c r="AY57" i="16"/>
  <c r="AT46" i="16"/>
  <c r="AT26" i="16" s="1"/>
  <c r="AT45" i="16"/>
  <c r="AT25" i="16" s="1"/>
  <c r="AZ45" i="16"/>
  <c r="AZ25" i="16" s="1"/>
  <c r="AZ46" i="16"/>
  <c r="AZ26" i="16" s="1"/>
  <c r="AP59" i="15"/>
  <c r="AO58" i="15"/>
  <c r="AQ59" i="15"/>
  <c r="AQ58" i="15"/>
  <c r="AP58" i="15"/>
  <c r="AS59" i="15"/>
  <c r="AS58" i="15"/>
  <c r="AO59" i="15"/>
  <c r="AT58" i="15"/>
  <c r="AT59" i="15"/>
  <c r="AN58" i="15"/>
  <c r="AU54" i="15"/>
  <c r="AY31" i="15"/>
  <c r="AX32" i="15"/>
  <c r="AX40" i="15" s="1"/>
  <c r="AU47" i="15"/>
  <c r="AU27" i="15" s="1"/>
  <c r="AU46" i="15"/>
  <c r="AU26" i="15" s="1"/>
  <c r="AV24" i="15"/>
  <c r="AR53" i="15"/>
  <c r="AW45" i="15"/>
  <c r="AW52" i="15"/>
  <c r="AV25" i="15"/>
  <c r="AV41" i="15"/>
  <c r="AM58" i="15"/>
  <c r="AM59" i="15"/>
  <c r="AL54" i="15"/>
  <c r="AK24" i="15"/>
  <c r="AG53" i="15"/>
  <c r="AJ45" i="15"/>
  <c r="AJ24" i="15" s="1"/>
  <c r="AJ52" i="15"/>
  <c r="AK41" i="15"/>
  <c r="AK25" i="15"/>
  <c r="AL47" i="15"/>
  <c r="AL27" i="15" s="1"/>
  <c r="AL46" i="15"/>
  <c r="AL26" i="15" s="1"/>
  <c r="AH31" i="15"/>
  <c r="AI32" i="15"/>
  <c r="AI40" i="15" s="1"/>
  <c r="C31" i="11"/>
  <c r="D30" i="11"/>
  <c r="F30" i="11" s="1"/>
  <c r="H47" i="10"/>
  <c r="AZ43" i="10"/>
  <c r="AM59" i="19" l="1"/>
  <c r="AM60" i="19"/>
  <c r="AM58" i="21"/>
  <c r="AM59" i="21"/>
  <c r="AK41" i="21"/>
  <c r="AK25" i="21"/>
  <c r="AJ52" i="21"/>
  <c r="AJ45" i="21"/>
  <c r="AJ24" i="21" s="1"/>
  <c r="AK24" i="21"/>
  <c r="AG53" i="21"/>
  <c r="AH31" i="21"/>
  <c r="AI32" i="21"/>
  <c r="AI40" i="21" s="1"/>
  <c r="AL54" i="21"/>
  <c r="AL47" i="21"/>
  <c r="AL27" i="21" s="1"/>
  <c r="AL46" i="21"/>
  <c r="AL26" i="21" s="1"/>
  <c r="AH32" i="19"/>
  <c r="AI33" i="19"/>
  <c r="AI41" i="19" s="1"/>
  <c r="AL55" i="19"/>
  <c r="AK25" i="19"/>
  <c r="AG54" i="19"/>
  <c r="AL48" i="19"/>
  <c r="AL28" i="19" s="1"/>
  <c r="AL47" i="19"/>
  <c r="AL27" i="19" s="1"/>
  <c r="AK42" i="19"/>
  <c r="AK26" i="19"/>
  <c r="AJ53" i="19"/>
  <c r="AJ46" i="19"/>
  <c r="AJ25" i="19" s="1"/>
  <c r="H52" i="17"/>
  <c r="P29" i="17"/>
  <c r="H61" i="17"/>
  <c r="H64" i="17" s="1"/>
  <c r="AQ60" i="17"/>
  <c r="AP60" i="17"/>
  <c r="AP61" i="17"/>
  <c r="AM61" i="17"/>
  <c r="AI61" i="17"/>
  <c r="AM60" i="17"/>
  <c r="AJ61" i="17"/>
  <c r="AZ61" i="17"/>
  <c r="AT60" i="17"/>
  <c r="AG60" i="17"/>
  <c r="AG61" i="17"/>
  <c r="AT61" i="17"/>
  <c r="AZ60" i="17"/>
  <c r="AI60" i="17"/>
  <c r="AH61" i="17"/>
  <c r="AH60" i="17"/>
  <c r="AQ61" i="17"/>
  <c r="AQ57" i="16"/>
  <c r="AR60" i="17"/>
  <c r="AR61" i="17"/>
  <c r="AO61" i="17"/>
  <c r="AO60" i="17"/>
  <c r="AU61" i="17"/>
  <c r="AU60" i="17"/>
  <c r="AS60" i="17"/>
  <c r="AS61" i="17"/>
  <c r="AK60" i="17"/>
  <c r="AK61" i="17"/>
  <c r="AY60" i="17"/>
  <c r="AY61" i="17"/>
  <c r="AN61" i="17"/>
  <c r="AN60" i="17"/>
  <c r="BA60" i="17"/>
  <c r="BA61" i="17"/>
  <c r="AX61" i="17"/>
  <c r="AX60" i="17"/>
  <c r="AV60" i="17"/>
  <c r="AV61" i="17"/>
  <c r="AL60" i="17"/>
  <c r="AL61" i="17"/>
  <c r="AW60" i="17"/>
  <c r="AW61" i="17"/>
  <c r="AP57" i="16"/>
  <c r="AN57" i="16"/>
  <c r="AK57" i="16"/>
  <c r="AM58" i="16"/>
  <c r="AZ57" i="16"/>
  <c r="AZ58" i="16"/>
  <c r="AL57" i="16"/>
  <c r="AL58" i="16"/>
  <c r="AT57" i="16"/>
  <c r="AT58" i="16"/>
  <c r="AW57" i="16"/>
  <c r="AW58" i="16"/>
  <c r="AS58" i="16"/>
  <c r="AS57" i="16"/>
  <c r="AR57" i="16"/>
  <c r="AR58" i="16"/>
  <c r="H61" i="16"/>
  <c r="BA57" i="16"/>
  <c r="BA58" i="16"/>
  <c r="AU58" i="15"/>
  <c r="AU59" i="15"/>
  <c r="AV46" i="15"/>
  <c r="AV26" i="15" s="1"/>
  <c r="AV47" i="15"/>
  <c r="AV27" i="15" s="1"/>
  <c r="AW24" i="15"/>
  <c r="AS53" i="15"/>
  <c r="AV54" i="15"/>
  <c r="AZ31" i="15"/>
  <c r="AY32" i="15"/>
  <c r="AY40" i="15" s="1"/>
  <c r="AW25" i="15"/>
  <c r="AW41" i="15"/>
  <c r="AL59" i="15"/>
  <c r="AX45" i="15"/>
  <c r="AX52" i="15"/>
  <c r="AL58" i="15"/>
  <c r="AK46" i="15"/>
  <c r="AK26" i="15" s="1"/>
  <c r="AK47" i="15"/>
  <c r="AK27" i="15" s="1"/>
  <c r="AI52" i="15"/>
  <c r="AI45" i="15"/>
  <c r="AI24" i="15" s="1"/>
  <c r="AK54" i="15"/>
  <c r="AJ41" i="15"/>
  <c r="AJ25" i="15"/>
  <c r="AH32" i="15"/>
  <c r="AH40" i="15" s="1"/>
  <c r="AG31" i="15"/>
  <c r="AG32" i="15" s="1"/>
  <c r="AG40" i="15" s="1"/>
  <c r="AJ47" i="15"/>
  <c r="AJ27" i="15" s="1"/>
  <c r="AJ46" i="15"/>
  <c r="AJ26" i="15" s="1"/>
  <c r="D31" i="11"/>
  <c r="F31" i="11" s="1"/>
  <c r="C32" i="11"/>
  <c r="AL60" i="19" l="1"/>
  <c r="AL58" i="21"/>
  <c r="AL59" i="21"/>
  <c r="AK47" i="21"/>
  <c r="AK27" i="21" s="1"/>
  <c r="AK46" i="21"/>
  <c r="AK26" i="21" s="1"/>
  <c r="AI52" i="21"/>
  <c r="AI45" i="21"/>
  <c r="AI24" i="21" s="1"/>
  <c r="AJ47" i="21"/>
  <c r="AJ27" i="21" s="1"/>
  <c r="AJ46" i="21"/>
  <c r="AJ26" i="21" s="1"/>
  <c r="AG31" i="21"/>
  <c r="AG32" i="21" s="1"/>
  <c r="AG40" i="21" s="1"/>
  <c r="AH32" i="21"/>
  <c r="AH40" i="21" s="1"/>
  <c r="AJ41" i="21"/>
  <c r="AJ25" i="21"/>
  <c r="AK54" i="21"/>
  <c r="AJ42" i="19"/>
  <c r="AJ26" i="19"/>
  <c r="AL59" i="19"/>
  <c r="AK55" i="19"/>
  <c r="AK48" i="19"/>
  <c r="AK28" i="19" s="1"/>
  <c r="AK47" i="19"/>
  <c r="AK27" i="19" s="1"/>
  <c r="AI46" i="19"/>
  <c r="AI25" i="19" s="1"/>
  <c r="AI53" i="19"/>
  <c r="AJ47" i="19"/>
  <c r="AJ27" i="19" s="1"/>
  <c r="AJ48" i="19"/>
  <c r="AJ28" i="19" s="1"/>
  <c r="AG32" i="19"/>
  <c r="AG33" i="19" s="1"/>
  <c r="AG41" i="19" s="1"/>
  <c r="AH33" i="19"/>
  <c r="AH41" i="19" s="1"/>
  <c r="AV58" i="15"/>
  <c r="BA31" i="15"/>
  <c r="BA32" i="15" s="1"/>
  <c r="BA40" i="15" s="1"/>
  <c r="AZ32" i="15"/>
  <c r="AZ40" i="15" s="1"/>
  <c r="AV59" i="15"/>
  <c r="AW54" i="15"/>
  <c r="AW46" i="15"/>
  <c r="AW26" i="15" s="1"/>
  <c r="AW47" i="15"/>
  <c r="AW27" i="15" s="1"/>
  <c r="AX41" i="15"/>
  <c r="AX25" i="15"/>
  <c r="AX24" i="15"/>
  <c r="AT53" i="15"/>
  <c r="AY52" i="15"/>
  <c r="AY45" i="15"/>
  <c r="AK59" i="15"/>
  <c r="AK58" i="15"/>
  <c r="AG45" i="15"/>
  <c r="AG24" i="15" s="1"/>
  <c r="AG52" i="15"/>
  <c r="AI46" i="15"/>
  <c r="AI26" i="15" s="1"/>
  <c r="AI47" i="15"/>
  <c r="AI27" i="15" s="1"/>
  <c r="AH45" i="15"/>
  <c r="AH24" i="15" s="1"/>
  <c r="AH52" i="15"/>
  <c r="AI41" i="15"/>
  <c r="AI25" i="15"/>
  <c r="AJ59" i="15"/>
  <c r="AJ58" i="15"/>
  <c r="AJ54" i="15"/>
  <c r="C33" i="11"/>
  <c r="D32" i="11"/>
  <c r="F32" i="11" s="1"/>
  <c r="AK60" i="19" l="1"/>
  <c r="AK58" i="21"/>
  <c r="AK59" i="21"/>
  <c r="AH45" i="21"/>
  <c r="AH24" i="21" s="1"/>
  <c r="AH52" i="21"/>
  <c r="AG45" i="21"/>
  <c r="AG24" i="21" s="1"/>
  <c r="AG52" i="21"/>
  <c r="AI41" i="21"/>
  <c r="AI25" i="21"/>
  <c r="AJ58" i="21"/>
  <c r="AJ54" i="21"/>
  <c r="AJ59" i="21"/>
  <c r="AI47" i="21"/>
  <c r="AI27" i="21" s="1"/>
  <c r="AI46" i="21"/>
  <c r="AI26" i="21" s="1"/>
  <c r="AK59" i="19"/>
  <c r="AJ55" i="19"/>
  <c r="AJ59" i="19"/>
  <c r="AJ60" i="19"/>
  <c r="AI47" i="19"/>
  <c r="AI27" i="19" s="1"/>
  <c r="AI48" i="19"/>
  <c r="AI28" i="19" s="1"/>
  <c r="AH53" i="19"/>
  <c r="AH46" i="19"/>
  <c r="AH25" i="19" s="1"/>
  <c r="AI42" i="19"/>
  <c r="AI26" i="19"/>
  <c r="AG53" i="19"/>
  <c r="AG46" i="19"/>
  <c r="AG25" i="19" s="1"/>
  <c r="AW59" i="15"/>
  <c r="AX46" i="15"/>
  <c r="AX26" i="15" s="1"/>
  <c r="AX47" i="15"/>
  <c r="AX27" i="15" s="1"/>
  <c r="AY24" i="15"/>
  <c r="AU53" i="15"/>
  <c r="AW58" i="15"/>
  <c r="AX54" i="15"/>
  <c r="AZ45" i="15"/>
  <c r="AZ52" i="15"/>
  <c r="AY41" i="15"/>
  <c r="AY25" i="15"/>
  <c r="BA45" i="15"/>
  <c r="BA52" i="15"/>
  <c r="AI59" i="15"/>
  <c r="AI58" i="15"/>
  <c r="AI54" i="15"/>
  <c r="AH41" i="15"/>
  <c r="AH25" i="15"/>
  <c r="AG41" i="15"/>
  <c r="AG25" i="15"/>
  <c r="AH47" i="15"/>
  <c r="AH27" i="15" s="1"/>
  <c r="AH46" i="15"/>
  <c r="AH26" i="15" s="1"/>
  <c r="AG46" i="15"/>
  <c r="AG26" i="15" s="1"/>
  <c r="AG47" i="15"/>
  <c r="AG27" i="15" s="1"/>
  <c r="D33" i="11"/>
  <c r="F33" i="11" s="1"/>
  <c r="C34" i="11"/>
  <c r="AG25" i="21" l="1"/>
  <c r="AG41" i="21"/>
  <c r="AG47" i="21"/>
  <c r="AG27" i="21" s="1"/>
  <c r="AG46" i="21"/>
  <c r="AG26" i="21" s="1"/>
  <c r="AH25" i="21"/>
  <c r="AH41" i="21"/>
  <c r="AI58" i="21"/>
  <c r="AI59" i="21"/>
  <c r="AI54" i="21"/>
  <c r="AH47" i="21"/>
  <c r="AH27" i="21" s="1"/>
  <c r="AH46" i="21"/>
  <c r="AH26" i="21" s="1"/>
  <c r="AG48" i="19"/>
  <c r="AG28" i="19" s="1"/>
  <c r="AG47" i="19"/>
  <c r="AG27" i="19" s="1"/>
  <c r="AH47" i="19"/>
  <c r="AH27" i="19" s="1"/>
  <c r="AH48" i="19"/>
  <c r="AH28" i="19" s="1"/>
  <c r="AI60" i="19"/>
  <c r="AI55" i="19"/>
  <c r="AI59" i="19"/>
  <c r="AG42" i="19"/>
  <c r="AG26" i="19"/>
  <c r="AH42" i="19"/>
  <c r="AH26" i="19"/>
  <c r="AX59" i="15"/>
  <c r="AX58" i="15"/>
  <c r="AY54" i="15"/>
  <c r="AY46" i="15"/>
  <c r="AY26" i="15" s="1"/>
  <c r="AY47" i="15"/>
  <c r="AY27" i="15" s="1"/>
  <c r="BA41" i="15"/>
  <c r="BA25" i="15"/>
  <c r="AZ41" i="15"/>
  <c r="AZ25" i="15"/>
  <c r="BA24" i="15"/>
  <c r="AW53" i="15"/>
  <c r="AV53" i="15"/>
  <c r="AZ24" i="15"/>
  <c r="AG54" i="15"/>
  <c r="AG59" i="15"/>
  <c r="AG58" i="15"/>
  <c r="AH59" i="15"/>
  <c r="AH54" i="15"/>
  <c r="AH58" i="15"/>
  <c r="C35" i="11"/>
  <c r="D34" i="11"/>
  <c r="F34" i="11" s="1"/>
  <c r="AH54" i="21" l="1"/>
  <c r="AH58" i="21"/>
  <c r="AH59" i="21"/>
  <c r="AG59" i="21"/>
  <c r="AG58" i="21"/>
  <c r="AG54" i="21"/>
  <c r="AH60" i="19"/>
  <c r="AH59" i="19"/>
  <c r="AH55" i="19"/>
  <c r="AG55" i="19"/>
  <c r="AG60" i="19"/>
  <c r="AG59" i="19"/>
  <c r="AY58" i="15"/>
  <c r="AY59" i="15"/>
  <c r="BA46" i="15"/>
  <c r="BA26" i="15" s="1"/>
  <c r="BA47" i="15"/>
  <c r="BA27" i="15" s="1"/>
  <c r="AZ54" i="15"/>
  <c r="BA54" i="15"/>
  <c r="AZ46" i="15"/>
  <c r="AZ26" i="15" s="1"/>
  <c r="AZ47" i="15"/>
  <c r="AZ27" i="15" s="1"/>
  <c r="C36" i="11"/>
  <c r="D35" i="11"/>
  <c r="F35" i="11" s="1"/>
  <c r="BA59" i="15" l="1"/>
  <c r="BA58" i="15"/>
  <c r="AZ59" i="15"/>
  <c r="AZ58" i="15"/>
  <c r="C37" i="11"/>
  <c r="D36" i="11"/>
  <c r="F36" i="11" s="1"/>
  <c r="C38" i="11" l="1"/>
  <c r="D37" i="11"/>
  <c r="F37" i="11" s="1"/>
  <c r="C39" i="11" l="1"/>
  <c r="D38" i="11"/>
  <c r="F38" i="11" s="1"/>
  <c r="C40" i="11" l="1"/>
  <c r="D39" i="11"/>
  <c r="F39" i="11" s="1"/>
  <c r="D40" i="11" l="1"/>
  <c r="F40" i="11" s="1"/>
  <c r="C41" i="11"/>
  <c r="C42" i="11" l="1"/>
  <c r="D41" i="11"/>
  <c r="F41" i="11" s="1"/>
  <c r="C43" i="11" l="1"/>
  <c r="D43" i="11" s="1"/>
  <c r="F43" i="11" s="1"/>
  <c r="D42" i="11"/>
  <c r="F42" i="11" s="1"/>
</calcChain>
</file>

<file path=xl/sharedStrings.xml><?xml version="1.0" encoding="utf-8"?>
<sst xmlns="http://schemas.openxmlformats.org/spreadsheetml/2006/main" count="851" uniqueCount="187">
  <si>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</si>
  <si>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</si>
  <si>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</si>
  <si>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</si>
  <si>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</si>
  <si>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Waveguide impedance</t>
  </si>
  <si>
    <t>Terminating impedance</t>
  </si>
  <si>
    <t>Waveguide length</t>
  </si>
  <si>
    <t>Frequency</t>
  </si>
  <si>
    <t>Wavelength</t>
  </si>
  <si>
    <t>Transformed impedance</t>
  </si>
  <si>
    <t xml:space="preserve">f = </t>
  </si>
  <si>
    <t>MHz</t>
  </si>
  <si>
    <t>m</t>
  </si>
  <si>
    <t>Ohm</t>
  </si>
  <si>
    <t xml:space="preserve">𝛌 = </t>
  </si>
  <si>
    <t xml:space="preserve">a = </t>
  </si>
  <si>
    <t xml:space="preserve">b = </t>
  </si>
  <si>
    <t>𝛌</t>
  </si>
  <si>
    <t>Relative waveguide length</t>
  </si>
  <si>
    <t xml:space="preserve">c = </t>
  </si>
  <si>
    <t xml:space="preserve">d = </t>
  </si>
  <si>
    <t>Feedpoint to Short</t>
  </si>
  <si>
    <t>Total waveguide length</t>
  </si>
  <si>
    <t xml:space="preserve">L = </t>
  </si>
  <si>
    <t>Relative wavelength</t>
  </si>
  <si>
    <t>Short impedance</t>
  </si>
  <si>
    <t>Wire distance</t>
  </si>
  <si>
    <t>Wire diameter</t>
  </si>
  <si>
    <t>mm</t>
  </si>
  <si>
    <t>Frequ var</t>
  </si>
  <si>
    <t>%</t>
  </si>
  <si>
    <t xml:space="preserve">Abs = </t>
  </si>
  <si>
    <t>Deviation</t>
  </si>
  <si>
    <t>to be: Re Z</t>
  </si>
  <si>
    <t>to be: Im Z</t>
  </si>
  <si>
    <t xml:space="preserve"> Re(Z) / Ohm</t>
  </si>
  <si>
    <t xml:space="preserve"> Im(Z) / Ohm</t>
  </si>
  <si>
    <t>Complex Impedance Transformation</t>
  </si>
  <si>
    <t>Waveguide Impedance Transformation</t>
  </si>
  <si>
    <t xml:space="preserve">s = </t>
  </si>
  <si>
    <t xml:space="preserve">s/d = </t>
  </si>
  <si>
    <t>Relative effective permitivity</t>
  </si>
  <si>
    <t>(s/d min = 0,173)</t>
  </si>
  <si>
    <t>Parallel Wires Waveguide</t>
  </si>
  <si>
    <t>Two Bands Waveguide</t>
  </si>
  <si>
    <t>Terminating Impedance</t>
  </si>
  <si>
    <t>𝛌/4  Waveguide Impedance Transformation</t>
  </si>
  <si>
    <t>input</t>
  </si>
  <si>
    <t>output</t>
  </si>
  <si>
    <t>towards antenna</t>
  </si>
  <si>
    <t>towards short</t>
  </si>
  <si>
    <t>Solver Application</t>
  </si>
  <si>
    <t>Cost function for solver</t>
  </si>
  <si>
    <t>Squared Deviation</t>
  </si>
  <si>
    <t>Transformed impedance Z</t>
  </si>
  <si>
    <t>ok</t>
  </si>
  <si>
    <t>Frequency deviation step for graphic</t>
  </si>
  <si>
    <t>These fields are dedicated to work with EXCEL Solver.</t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</si>
  <si>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 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</si>
  <si>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</si>
  <si>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</si>
  <si>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 xml:space="preserve"> = </t>
    </r>
  </si>
  <si>
    <r>
      <t>ℇ</t>
    </r>
    <r>
      <rPr>
        <b/>
        <i/>
        <vertAlign val="subscript"/>
        <sz val="18"/>
        <color theme="1"/>
        <rFont val="Times New Roman"/>
        <family val="1"/>
      </rPr>
      <t>r</t>
    </r>
    <r>
      <rPr>
        <b/>
        <i/>
        <sz val="18"/>
        <color theme="1"/>
        <rFont val="Times New Roman"/>
        <family val="1"/>
      </rPr>
      <t xml:space="preserve"> = 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</si>
  <si>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 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</si>
  <si>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= </t>
    </r>
  </si>
  <si>
    <t>+ j</t>
  </si>
  <si>
    <r>
      <t>Re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</si>
  <si>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</si>
  <si>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>) 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</si>
  <si>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</si>
  <si>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 = </t>
    </r>
  </si>
  <si>
    <r>
      <t xml:space="preserve"> Z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 = </t>
    </r>
  </si>
  <si>
    <t>L = </t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</si>
  <si>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 </t>
    </r>
  </si>
  <si>
    <t xml:space="preserve">f  = </t>
  </si>
  <si>
    <r>
      <t>j Im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</si>
  <si>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</si>
  <si>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</si>
  <si>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t xml:space="preserve">Re (Z) = </t>
  </si>
  <si>
    <t xml:space="preserve">j Im (Z) = </t>
  </si>
  <si>
    <t>Use CRG method, set goal to minimize the cost function.</t>
  </si>
  <si>
    <t>Synthesis of Loop Antennas</t>
  </si>
  <si>
    <t>Wire Loop Antenna</t>
  </si>
  <si>
    <t>d = </t>
  </si>
  <si>
    <t xml:space="preserve">D = </t>
  </si>
  <si>
    <t>d/D</t>
  </si>
  <si>
    <t>ZA</t>
  </si>
  <si>
    <t>Zsim</t>
  </si>
  <si>
    <t>pot</t>
  </si>
  <si>
    <t>factor</t>
  </si>
  <si>
    <t>d</t>
  </si>
  <si>
    <t>D</t>
  </si>
  <si>
    <t>Synthesis of Wire Loop Antenna</t>
  </si>
  <si>
    <t>D = </t>
  </si>
  <si>
    <t xml:space="preserve">Wire diameter </t>
  </si>
  <si>
    <t>Outer diameter</t>
  </si>
  <si>
    <t>Waveguide imped. (feed netw.)</t>
  </si>
  <si>
    <t>Loop impedance (terminating)</t>
  </si>
  <si>
    <t>s = </t>
  </si>
  <si>
    <t>fac =</t>
  </si>
  <si>
    <t>pot =</t>
  </si>
  <si>
    <t>d/D =</t>
  </si>
  <si>
    <t>Feed angle (feedpoint to short)</t>
  </si>
  <si>
    <t>⍺ = </t>
  </si>
  <si>
    <t>°</t>
  </si>
  <si>
    <t>C = </t>
  </si>
  <si>
    <t>Circumference (1 wavelength)</t>
  </si>
  <si>
    <t>Band width</t>
  </si>
  <si>
    <t>Band distance</t>
  </si>
  <si>
    <t xml:space="preserve">plus </t>
  </si>
  <si>
    <t>Impedance Transformation</t>
  </si>
  <si>
    <t>Synthesis of Band Loop Antenna</t>
  </si>
  <si>
    <t>Loop Antenna Impedance from Experience</t>
  </si>
  <si>
    <t>ZAsim</t>
  </si>
  <si>
    <t>Functional Approximation</t>
  </si>
  <si>
    <t>Cost fct:</t>
  </si>
  <si>
    <t>Substrate Permittivity</t>
  </si>
  <si>
    <t>Effective Permittivity</t>
  </si>
  <si>
    <r>
      <t>ℇ</t>
    </r>
    <r>
      <rPr>
        <b/>
        <i/>
        <vertAlign val="subscript"/>
        <sz val="18"/>
        <color theme="1"/>
        <rFont val="Times New Roman"/>
        <family val="1"/>
      </rPr>
      <t>r,eff</t>
    </r>
    <r>
      <rPr>
        <b/>
        <i/>
        <sz val="18"/>
        <color theme="1"/>
        <rFont val="Times New Roman"/>
        <family val="1"/>
      </rPr>
      <t xml:space="preserve"> = </t>
    </r>
  </si>
  <si>
    <t>funktioniert!!!</t>
  </si>
  <si>
    <t>s/d</t>
  </si>
  <si>
    <t>k</t>
  </si>
  <si>
    <t>k1</t>
  </si>
  <si>
    <t>(12.9)</t>
  </si>
  <si>
    <t>(12.11)</t>
  </si>
  <si>
    <t>s/mm</t>
  </si>
  <si>
    <t>d/mm</t>
  </si>
  <si>
    <t>h/mm</t>
  </si>
  <si>
    <t>eps_r</t>
  </si>
  <si>
    <t>h/d</t>
  </si>
  <si>
    <t>Z_L0_small</t>
  </si>
  <si>
    <t>Z_L0_wide</t>
  </si>
  <si>
    <t>Z_L0</t>
  </si>
  <si>
    <t>k'</t>
  </si>
  <si>
    <t>k1'</t>
  </si>
  <si>
    <t>K(k')/K(k)_small</t>
  </si>
  <si>
    <t>K(k')/K(k)_large</t>
  </si>
  <si>
    <t>K(k')/K(k)</t>
  </si>
  <si>
    <t>K(k1')/K(k1)_small</t>
  </si>
  <si>
    <t>K(k1')/K(k1)_large</t>
  </si>
  <si>
    <t>K(k1')/K(k1)</t>
  </si>
  <si>
    <t>eps_r_eff</t>
  </si>
  <si>
    <t>Z_L</t>
  </si>
  <si>
    <t>Synthesis of Band Loop Antenna on Substrate</t>
  </si>
  <si>
    <t>Substrate height</t>
  </si>
  <si>
    <t xml:space="preserve">h = </t>
  </si>
  <si>
    <t xml:space="preserve">Wavelength </t>
  </si>
  <si>
    <t>Tool Results vs Experience</t>
  </si>
  <si>
    <t>Planar Structure Antenna on Substrate</t>
  </si>
  <si>
    <t>Planar Structure Antenna</t>
  </si>
  <si>
    <t>Build</t>
  </si>
  <si>
    <t>Angle alpha</t>
  </si>
  <si>
    <t>Wire</t>
  </si>
  <si>
    <t>Experiments and Mesurements</t>
  </si>
  <si>
    <t>Planar</t>
  </si>
  <si>
    <t>Name / Type</t>
  </si>
  <si>
    <t>⍺/deg</t>
  </si>
  <si>
    <t>f/MHz</t>
  </si>
  <si>
    <t>D/mm</t>
  </si>
  <si>
    <t>Wire or Band distance</t>
  </si>
  <si>
    <t>Frequ.</t>
  </si>
  <si>
    <t>Synthesis EXCEL Tool  /  Vers 24.10.2022</t>
  </si>
  <si>
    <t>Wire or Conduct. width</t>
  </si>
  <si>
    <t>Deviations and Differences</t>
  </si>
  <si>
    <t>Total</t>
  </si>
  <si>
    <t>new Diameter</t>
  </si>
  <si>
    <t>should be Diameter</t>
  </si>
  <si>
    <t>Confidence</t>
  </si>
  <si>
    <t>Cost Fct</t>
  </si>
  <si>
    <t>old Tool Diameter</t>
  </si>
  <si>
    <t>Improvement</t>
  </si>
  <si>
    <t>Correction Diameter Computation</t>
  </si>
  <si>
    <t>WiFi Loop</t>
  </si>
  <si>
    <t>LoRa Loop</t>
  </si>
  <si>
    <t>LoRa Alu Foil</t>
  </si>
  <si>
    <t>LoRa Cop Foil</t>
  </si>
  <si>
    <t>70cm HAM</t>
  </si>
  <si>
    <t>Frequ. Dev</t>
  </si>
  <si>
    <t>Deviation Percentages</t>
  </si>
  <si>
    <t>Synthesis of Plate Waveguide Loop Antenna</t>
  </si>
  <si>
    <t>Thickness</t>
  </si>
  <si>
    <t xml:space="preserve">t = </t>
  </si>
  <si>
    <t>Distance</t>
  </si>
  <si>
    <t>Version 4.2     (28.02.2024)</t>
  </si>
  <si>
    <t>Thick Conductor Antenna</t>
  </si>
  <si>
    <t>Two Plate Waveguide Matching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</si>
</sst>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"/>
    <numFmt numFmtId="167" formatCode="0.0000"/>
    <numFmt numFmtId="168" formatCode="#,##0.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8"/>
      <color theme="1"/>
      <name val="Times New Roman"/>
      <family val="1"/>
    </font>
    <font>
      <i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8"/>
      <color rgb="FF0070C0"/>
      <name val="Times New Roman"/>
      <family val="1"/>
    </font>
    <font>
      <b/>
      <sz val="18"/>
      <color theme="5" tint="-0.249977111117893"/>
      <name val="Times New Roman"/>
      <family val="1"/>
    </font>
    <font>
      <b/>
      <i/>
      <vertAlign val="subscript"/>
      <sz val="18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8"/>
      <color rgb="FFFF9300"/>
      <name val="Times New Roman"/>
      <family val="1"/>
    </font>
    <font>
      <b/>
      <sz val="12"/>
      <color rgb="FFFF9300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FFFD78"/>
      <name val="Calibri"/>
      <family val="2"/>
      <scheme val="minor"/>
    </font>
    <font>
      <b/>
      <sz val="12"/>
      <color rgb="FF73FB79"/>
      <name val="Calibri"/>
      <family val="2"/>
      <scheme val="minor"/>
    </font>
    <font>
      <b/>
      <sz val="12"/>
      <color rgb="FF73FE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0" xfId="0" applyFont="1" applyFill="1"/>
    <xf numFmtId="0" fontId="10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2" fillId="5" borderId="0" xfId="0" applyFont="1" applyFill="1" applyProtection="1">
      <protection hidden="1"/>
    </xf>
    <xf numFmtId="0" fontId="3" fillId="5" borderId="0" xfId="0" applyFont="1" applyFill="1" applyProtection="1">
      <protection hidden="1"/>
    </xf>
    <xf numFmtId="0" fontId="4" fillId="5" borderId="0" xfId="0" applyFont="1" applyFill="1"/>
    <xf numFmtId="0" fontId="5" fillId="5" borderId="0" xfId="0" applyFont="1" applyFill="1" applyProtection="1">
      <protection hidden="1"/>
    </xf>
    <xf numFmtId="0" fontId="6" fillId="5" borderId="0" xfId="0" applyFont="1" applyFill="1"/>
    <xf numFmtId="0" fontId="7" fillId="5" borderId="0" xfId="0" applyFont="1" applyFill="1" applyAlignment="1">
      <alignment horizontal="left"/>
    </xf>
    <xf numFmtId="14" fontId="1" fillId="5" borderId="0" xfId="0" applyNumberFormat="1" applyFont="1" applyFill="1" applyAlignment="1">
      <alignment horizontal="left"/>
    </xf>
    <xf numFmtId="0" fontId="8" fillId="5" borderId="0" xfId="0" applyFont="1" applyFill="1" applyProtection="1">
      <protection hidden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0" fillId="2" borderId="0" xfId="0" applyFont="1" applyFill="1" applyAlignment="1">
      <alignment horizontal="right" vertical="center"/>
    </xf>
    <xf numFmtId="0" fontId="10" fillId="4" borderId="1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49" fontId="10" fillId="4" borderId="2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49" fontId="9" fillId="2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vertical="center"/>
    </xf>
    <xf numFmtId="0" fontId="9" fillId="4" borderId="5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49" fontId="10" fillId="4" borderId="0" xfId="0" applyNumberFormat="1" applyFont="1" applyFill="1" applyAlignment="1">
      <alignment horizontal="right" vertical="center"/>
    </xf>
    <xf numFmtId="0" fontId="10" fillId="4" borderId="5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49" fontId="10" fillId="5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49" fontId="10" fillId="4" borderId="7" xfId="0" applyNumberFormat="1" applyFont="1" applyFill="1" applyBorder="1" applyAlignment="1">
      <alignment horizontal="right" vertical="center"/>
    </xf>
    <xf numFmtId="0" fontId="10" fillId="4" borderId="8" xfId="0" applyFont="1" applyFill="1" applyBorder="1" applyAlignment="1">
      <alignment vertical="center"/>
    </xf>
    <xf numFmtId="2" fontId="10" fillId="2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49" fontId="12" fillId="4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49" fontId="13" fillId="4" borderId="0" xfId="0" applyNumberFormat="1" applyFont="1" applyFill="1" applyAlignment="1">
      <alignment horizontal="right" vertical="center"/>
    </xf>
    <xf numFmtId="0" fontId="13" fillId="4" borderId="5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2" fontId="10" fillId="4" borderId="2" xfId="0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right" vertical="center"/>
    </xf>
    <xf numFmtId="2" fontId="9" fillId="2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2" fontId="10" fillId="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2" fontId="10" fillId="5" borderId="0" xfId="0" applyNumberFormat="1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167" fontId="10" fillId="5" borderId="0" xfId="0" applyNumberFormat="1" applyFont="1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2" fontId="10" fillId="4" borderId="7" xfId="0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right" vertical="center"/>
    </xf>
    <xf numFmtId="166" fontId="10" fillId="5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2" fontId="15" fillId="5" borderId="0" xfId="0" applyNumberFormat="1" applyFont="1" applyFill="1" applyAlignment="1">
      <alignment vertical="center"/>
    </xf>
    <xf numFmtId="2" fontId="16" fillId="5" borderId="0" xfId="0" applyNumberFormat="1" applyFont="1" applyFill="1" applyAlignment="1">
      <alignment vertical="center"/>
    </xf>
    <xf numFmtId="0" fontId="10" fillId="2" borderId="0" xfId="0" applyFont="1" applyFill="1" applyAlignment="1" applyProtection="1">
      <alignment vertical="center"/>
      <protection locked="0"/>
    </xf>
    <xf numFmtId="166" fontId="10" fillId="2" borderId="0" xfId="0" applyNumberFormat="1" applyFont="1" applyFill="1" applyAlignment="1" applyProtection="1">
      <alignment vertical="center"/>
      <protection locked="0"/>
    </xf>
    <xf numFmtId="164" fontId="10" fillId="2" borderId="0" xfId="0" applyNumberFormat="1" applyFont="1" applyFill="1" applyAlignment="1" applyProtection="1">
      <alignment vertical="center"/>
      <protection locked="0"/>
    </xf>
    <xf numFmtId="165" fontId="10" fillId="2" borderId="0" xfId="0" applyNumberFormat="1" applyFont="1" applyFill="1" applyAlignment="1" applyProtection="1">
      <alignment vertical="center"/>
      <protection locked="0"/>
    </xf>
    <xf numFmtId="167" fontId="10" fillId="2" borderId="0" xfId="0" applyNumberFormat="1" applyFont="1" applyFill="1" applyAlignment="1" applyProtection="1">
      <alignment vertical="center"/>
      <protection locked="0"/>
    </xf>
    <xf numFmtId="2" fontId="10" fillId="2" borderId="0" xfId="0" applyNumberFormat="1" applyFont="1" applyFill="1" applyAlignment="1" applyProtection="1">
      <alignment vertical="center"/>
      <protection locked="0"/>
    </xf>
    <xf numFmtId="49" fontId="12" fillId="5" borderId="0" xfId="0" applyNumberFormat="1" applyFont="1" applyFill="1" applyAlignment="1">
      <alignment horizontal="right" vertical="center"/>
    </xf>
    <xf numFmtId="49" fontId="18" fillId="2" borderId="0" xfId="0" applyNumberFormat="1" applyFont="1" applyFill="1" applyAlignment="1">
      <alignment horizontal="right" vertical="center"/>
    </xf>
    <xf numFmtId="0" fontId="12" fillId="4" borderId="2" xfId="0" applyFont="1" applyFill="1" applyBorder="1" applyAlignment="1">
      <alignment vertical="center"/>
    </xf>
    <xf numFmtId="0" fontId="18" fillId="2" borderId="0" xfId="0" applyFont="1" applyFill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12" fillId="4" borderId="7" xfId="0" applyFont="1" applyFill="1" applyBorder="1" applyAlignment="1">
      <alignment vertical="center"/>
    </xf>
    <xf numFmtId="0" fontId="18" fillId="4" borderId="0" xfId="0" applyFont="1" applyFill="1" applyAlignment="1">
      <alignment vertical="center"/>
    </xf>
    <xf numFmtId="49" fontId="12" fillId="2" borderId="0" xfId="0" applyNumberFormat="1" applyFont="1" applyFill="1" applyAlignment="1">
      <alignment horizontal="right" vertical="center"/>
    </xf>
    <xf numFmtId="49" fontId="12" fillId="4" borderId="2" xfId="0" applyNumberFormat="1" applyFont="1" applyFill="1" applyBorder="1" applyAlignment="1">
      <alignment horizontal="right" vertical="center"/>
    </xf>
    <xf numFmtId="49" fontId="12" fillId="5" borderId="0" xfId="0" quotePrefix="1" applyNumberFormat="1" applyFont="1" applyFill="1" applyAlignment="1">
      <alignment horizontal="right" vertical="center"/>
    </xf>
    <xf numFmtId="49" fontId="12" fillId="4" borderId="7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2" fontId="19" fillId="5" borderId="0" xfId="0" applyNumberFormat="1" applyFont="1" applyFill="1" applyAlignment="1">
      <alignment vertical="center"/>
    </xf>
    <xf numFmtId="0" fontId="20" fillId="5" borderId="0" xfId="0" quotePrefix="1" applyFont="1" applyFill="1" applyAlignment="1">
      <alignment horizontal="right" vertical="center"/>
    </xf>
    <xf numFmtId="2" fontId="20" fillId="5" borderId="0" xfId="0" applyNumberFormat="1" applyFont="1" applyFill="1" applyAlignment="1">
      <alignment vertical="center"/>
    </xf>
    <xf numFmtId="11" fontId="11" fillId="5" borderId="0" xfId="0" applyNumberFormat="1" applyFont="1" applyFill="1" applyAlignment="1">
      <alignment vertical="center"/>
    </xf>
    <xf numFmtId="11" fontId="11" fillId="2" borderId="0" xfId="0" applyNumberFormat="1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right" vertical="center"/>
    </xf>
    <xf numFmtId="166" fontId="10" fillId="5" borderId="0" xfId="0" applyNumberFormat="1" applyFont="1" applyFill="1" applyAlignment="1" applyProtection="1">
      <alignment vertical="center"/>
      <protection locked="0"/>
    </xf>
    <xf numFmtId="167" fontId="10" fillId="5" borderId="0" xfId="0" applyNumberFormat="1" applyFont="1" applyFill="1" applyAlignment="1" applyProtection="1">
      <alignment vertical="center"/>
      <protection locked="0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right"/>
    </xf>
    <xf numFmtId="2" fontId="10" fillId="2" borderId="0" xfId="0" applyNumberFormat="1" applyFont="1" applyFill="1" applyAlignment="1">
      <alignment horizontal="right" vertical="center"/>
    </xf>
    <xf numFmtId="0" fontId="23" fillId="6" borderId="0" xfId="0" applyFont="1" applyFill="1" applyAlignment="1">
      <alignment horizontal="right" wrapText="1"/>
    </xf>
    <xf numFmtId="0" fontId="23" fillId="6" borderId="0" xfId="0" applyFont="1" applyFill="1" applyAlignment="1">
      <alignment horizontal="right"/>
    </xf>
    <xf numFmtId="0" fontId="25" fillId="6" borderId="0" xfId="0" applyFont="1" applyFill="1" applyAlignment="1">
      <alignment horizontal="left"/>
    </xf>
    <xf numFmtId="0" fontId="25" fillId="7" borderId="0" xfId="0" applyFont="1" applyFill="1" applyAlignment="1">
      <alignment horizontal="left"/>
    </xf>
    <xf numFmtId="0" fontId="25" fillId="8" borderId="0" xfId="0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6" fillId="6" borderId="0" xfId="0" applyFont="1" applyFill="1" applyAlignment="1">
      <alignment horizontal="left"/>
    </xf>
    <xf numFmtId="0" fontId="26" fillId="6" borderId="0" xfId="0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166" fontId="23" fillId="6" borderId="0" xfId="0" applyNumberFormat="1" applyFont="1" applyFill="1" applyAlignment="1">
      <alignment horizontal="right"/>
    </xf>
    <xf numFmtId="0" fontId="25" fillId="10" borderId="0" xfId="0" applyFont="1" applyFill="1" applyAlignment="1">
      <alignment horizontal="left"/>
    </xf>
    <xf numFmtId="168" fontId="23" fillId="6" borderId="0" xfId="0" applyNumberFormat="1" applyFont="1" applyFill="1" applyAlignment="1">
      <alignment horizontal="right"/>
    </xf>
    <xf numFmtId="0" fontId="25" fillId="2" borderId="0" xfId="0" applyFont="1" applyFill="1" applyAlignment="1">
      <alignment horizontal="left"/>
    </xf>
    <xf numFmtId="166" fontId="27" fillId="6" borderId="0" xfId="0" applyNumberFormat="1" applyFont="1" applyFill="1" applyAlignment="1">
      <alignment horizontal="right"/>
    </xf>
    <xf numFmtId="0" fontId="27" fillId="6" borderId="0" xfId="0" applyFont="1" applyFill="1" applyAlignment="1">
      <alignment horizontal="right"/>
    </xf>
    <xf numFmtId="166" fontId="28" fillId="6" borderId="0" xfId="0" applyNumberFormat="1" applyFont="1" applyFill="1" applyAlignment="1">
      <alignment horizontal="right"/>
    </xf>
    <xf numFmtId="0" fontId="28" fillId="6" borderId="0" xfId="0" applyFont="1" applyFill="1" applyAlignment="1">
      <alignment horizontal="right"/>
    </xf>
    <xf numFmtId="166" fontId="29" fillId="6" borderId="0" xfId="0" applyNumberFormat="1" applyFont="1" applyFill="1" applyAlignment="1">
      <alignment horizontal="right"/>
    </xf>
    <xf numFmtId="0" fontId="29" fillId="6" borderId="0" xfId="0" applyFont="1" applyFill="1" applyAlignment="1">
      <alignment horizontal="right"/>
    </xf>
    <xf numFmtId="0" fontId="10" fillId="11" borderId="0" xfId="0" applyFont="1" applyFill="1" applyAlignment="1">
      <alignment vertical="center"/>
    </xf>
    <xf numFmtId="166" fontId="10" fillId="2" borderId="0" xfId="0" applyNumberFormat="1" applyFont="1" applyFill="1" applyAlignment="1">
      <alignment vertical="center"/>
    </xf>
    <xf numFmtId="0" fontId="9" fillId="11" borderId="0" xfId="0" applyFont="1" applyFill="1" applyAlignment="1">
      <alignment vertical="center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  <color rgb="FF73FB79"/>
      <color rgb="FFFFFD78"/>
      <color rgb="FFFF7E79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Impedance Transform.'!$AF$43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Transform.'!$AG$43:$BA$43</c:f>
              <c:numCache>
                <c:formatCode>General</c:formatCode>
                <c:ptCount val="21"/>
                <c:pt idx="0">
                  <c:v>2.1355957219824608</c:v>
                </c:pt>
                <c:pt idx="1">
                  <c:v>2.7736596025694777</c:v>
                </c:pt>
                <c:pt idx="2">
                  <c:v>3.6608162005863822</c:v>
                </c:pt>
                <c:pt idx="3">
                  <c:v>4.9257446726044911</c:v>
                </c:pt>
                <c:pt idx="4">
                  <c:v>6.7799307033634513</c:v>
                </c:pt>
                <c:pt idx="5">
                  <c:v>9.5763269576234684</c:v>
                </c:pt>
                <c:pt idx="6">
                  <c:v>13.895606010571354</c:v>
                </c:pt>
                <c:pt idx="7">
                  <c:v>20.59745401701991</c:v>
                </c:pt>
                <c:pt idx="8">
                  <c:v>30.457482637035966</c:v>
                </c:pt>
                <c:pt idx="9">
                  <c:v>42.278857199647561</c:v>
                </c:pt>
                <c:pt idx="10">
                  <c:v>49.999894473639841</c:v>
                </c:pt>
                <c:pt idx="11">
                  <c:v>47.632565542064931</c:v>
                </c:pt>
                <c:pt idx="12">
                  <c:v>38.667806103246576</c:v>
                </c:pt>
                <c:pt idx="13">
                  <c:v>29.480374904405473</c:v>
                </c:pt>
                <c:pt idx="14">
                  <c:v>22.436090315488894</c:v>
                </c:pt>
                <c:pt idx="15">
                  <c:v>17.458442985936511</c:v>
                </c:pt>
                <c:pt idx="16">
                  <c:v>13.972045584987264</c:v>
                </c:pt>
                <c:pt idx="17">
                  <c:v>11.490437976511904</c:v>
                </c:pt>
                <c:pt idx="18">
                  <c:v>9.6825984294606435</c:v>
                </c:pt>
                <c:pt idx="19">
                  <c:v>8.3341699846557997</c:v>
                </c:pt>
                <c:pt idx="20">
                  <c:v>7.3064560498523203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A34C-9B55-192B27C52D2A}"/>
            </c:ext>
          </c:extLst>
        </c:ser>
        <c:ser>
          <c:idx val="1"/>
          <c:order val="1"/>
          <c:tx>
            <c:strRef>
              <c:f>'Complex Impedance Transform.'!$AF$44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Transform.'!$AG$44:$BA$44</c:f>
              <c:numCache>
                <c:formatCode>General</c:formatCode>
                <c:ptCount val="21"/>
                <c:pt idx="0">
                  <c:v>-2.7027754074517309</c:v>
                </c:pt>
                <c:pt idx="1">
                  <c:v>-3.6095329587534071</c:v>
                </c:pt>
                <c:pt idx="2">
                  <c:v>-4.7174895805803194</c:v>
                </c:pt>
                <c:pt idx="3">
                  <c:v>-6.073909654760671</c:v>
                </c:pt>
                <c:pt idx="4">
                  <c:v>-7.7264291792646143</c:v>
                </c:pt>
                <c:pt idx="5">
                  <c:v>-9.695962241301892</c:v>
                </c:pt>
                <c:pt idx="6">
                  <c:v>-11.890055126579062</c:v>
                </c:pt>
                <c:pt idx="7">
                  <c:v>-13.856539213955271</c:v>
                </c:pt>
                <c:pt idx="8">
                  <c:v>-14.224793161495057</c:v>
                </c:pt>
                <c:pt idx="9">
                  <c:v>-10.222078203472263</c:v>
                </c:pt>
                <c:pt idx="10">
                  <c:v>9.0388190647817536E-5</c:v>
                </c:pt>
                <c:pt idx="11">
                  <c:v>12.163664702916853</c:v>
                </c:pt>
                <c:pt idx="12">
                  <c:v>20.164114166084079</c:v>
                </c:pt>
                <c:pt idx="13">
                  <c:v>23.453590103497582</c:v>
                </c:pt>
                <c:pt idx="14">
                  <c:v>24.118406184675717</c:v>
                </c:pt>
                <c:pt idx="15">
                  <c:v>23.693466623680528</c:v>
                </c:pt>
                <c:pt idx="16">
                  <c:v>22.907585602351038</c:v>
                </c:pt>
                <c:pt idx="17">
                  <c:v>22.059005497974908</c:v>
                </c:pt>
                <c:pt idx="18">
                  <c:v>21.25882137416373</c:v>
                </c:pt>
                <c:pt idx="19">
                  <c:v>20.541730721542642</c:v>
                </c:pt>
                <c:pt idx="20">
                  <c:v>19.912347597163869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A34C-9B55-192B27C5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'Wire Loop'!$AF$58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'Wire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'Wire Loop'!$AG$58:$BA$58</c:f>
              <c:numCache>
                <c:formatCode>General</c:formatCode>
                <c:ptCount val="21"/>
                <c:pt idx="0">
                  <c:v>4.4331202931395977</c:v>
                </c:pt>
                <c:pt idx="1">
                  <c:v>5.6439703497260414</c:v>
                </c:pt>
                <c:pt idx="2">
                  <c:v>7.2580673849335824</c:v>
                </c:pt>
                <c:pt idx="3">
                  <c:v>9.434803652632473</c:v>
                </c:pt>
                <c:pt idx="4">
                  <c:v>12.395372623038831</c:v>
                </c:pt>
                <c:pt idx="5">
                  <c:v>16.427478357132411</c:v>
                </c:pt>
                <c:pt idx="6">
                  <c:v>21.845615410655547</c:v>
                </c:pt>
                <c:pt idx="7">
                  <c:v>28.825036302268504</c:v>
                </c:pt>
                <c:pt idx="8">
                  <c:v>36.99472460018351</c:v>
                </c:pt>
                <c:pt idx="9">
                  <c:v>44.880433058227339</c:v>
                </c:pt>
                <c:pt idx="10">
                  <c:v>49.999956999328354</c:v>
                </c:pt>
                <c:pt idx="11">
                  <c:v>50.50703890350178</c:v>
                </c:pt>
                <c:pt idx="12">
                  <c:v>46.862298207160116</c:v>
                </c:pt>
                <c:pt idx="13">
                  <c:v>41.117971353492919</c:v>
                </c:pt>
                <c:pt idx="14">
                  <c:v>35.114815466440611</c:v>
                </c:pt>
                <c:pt idx="15">
                  <c:v>29.781590004861268</c:v>
                </c:pt>
                <c:pt idx="16">
                  <c:v>25.373402742675584</c:v>
                </c:pt>
                <c:pt idx="17">
                  <c:v>21.837143185031337</c:v>
                </c:pt>
                <c:pt idx="18">
                  <c:v>19.025980945401393</c:v>
                </c:pt>
                <c:pt idx="19">
                  <c:v>16.788801043778946</c:v>
                </c:pt>
                <c:pt idx="20">
                  <c:v>14.998112531570936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F-C94D-907F-C73FBB8CBEE9}"/>
            </c:ext>
          </c:extLst>
        </c:ser>
        <c:ser>
          <c:idx val="1"/>
          <c:order val="1"/>
          <c:tx>
            <c:strRef>
              <c:f>'Wire Loop'!$AF$59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'Wire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'Wire Loop'!$AG$59:$BA$59</c:f>
              <c:numCache>
                <c:formatCode>General</c:formatCode>
                <c:ptCount val="21"/>
                <c:pt idx="0">
                  <c:v>-0.83300798171198498</c:v>
                </c:pt>
                <c:pt idx="1">
                  <c:v>-1.7104407564324229</c:v>
                </c:pt>
                <c:pt idx="2">
                  <c:v>-2.7434049120816821</c:v>
                </c:pt>
                <c:pt idx="3">
                  <c:v>-3.9407776875728509</c:v>
                </c:pt>
                <c:pt idx="4">
                  <c:v>-5.284948666305211</c:v>
                </c:pt>
                <c:pt idx="5">
                  <c:v>-6.6957740459569175</c:v>
                </c:pt>
                <c:pt idx="6">
                  <c:v>-7.9624938387954893</c:v>
                </c:pt>
                <c:pt idx="7">
                  <c:v>-8.6416929756238101</c:v>
                </c:pt>
                <c:pt idx="8">
                  <c:v>-7.990932379838811</c:v>
                </c:pt>
                <c:pt idx="9">
                  <c:v>-5.1777743426817207</c:v>
                </c:pt>
                <c:pt idx="10">
                  <c:v>6.093483044670867E-5</c:v>
                </c:pt>
                <c:pt idx="11">
                  <c:v>6.4717542567377739</c:v>
                </c:pt>
                <c:pt idx="12">
                  <c:v>12.520233690041518</c:v>
                </c:pt>
                <c:pt idx="13">
                  <c:v>17.077518390587429</c:v>
                </c:pt>
                <c:pt idx="14">
                  <c:v>20.047465385775055</c:v>
                </c:pt>
                <c:pt idx="15">
                  <c:v>21.808559784651685</c:v>
                </c:pt>
                <c:pt idx="16">
                  <c:v>22.782087452772359</c:v>
                </c:pt>
                <c:pt idx="17">
                  <c:v>23.282104673291112</c:v>
                </c:pt>
                <c:pt idx="18">
                  <c:v>23.510879921284154</c:v>
                </c:pt>
                <c:pt idx="19">
                  <c:v>23.590805511668556</c:v>
                </c:pt>
                <c:pt idx="20">
                  <c:v>23.593958987373504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F-C94D-907F-C73FBB8C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495846600977"/>
          <c:y val="0.85993956808070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'Planar Band Loop'!$AF$57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Loop'!$AG$30:$BA$30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Loop'!$AG$57:$BA$57</c:f>
              <c:numCache>
                <c:formatCode>General</c:formatCode>
                <c:ptCount val="21"/>
                <c:pt idx="0">
                  <c:v>5.8582750955529876</c:v>
                </c:pt>
                <c:pt idx="1">
                  <c:v>7.3685800299423274</c:v>
                </c:pt>
                <c:pt idx="2">
                  <c:v>9.3326693518090025</c:v>
                </c:pt>
                <c:pt idx="3">
                  <c:v>11.899899948206755</c:v>
                </c:pt>
                <c:pt idx="4">
                  <c:v>15.256073842649938</c:v>
                </c:pt>
                <c:pt idx="5">
                  <c:v>19.604959008595259</c:v>
                </c:pt>
                <c:pt idx="6">
                  <c:v>25.102421716958101</c:v>
                </c:pt>
                <c:pt idx="7">
                  <c:v>31.701530334416681</c:v>
                </c:pt>
                <c:pt idx="8">
                  <c:v>38.897749901348135</c:v>
                </c:pt>
                <c:pt idx="9">
                  <c:v>45.525558723243336</c:v>
                </c:pt>
                <c:pt idx="10">
                  <c:v>49.999791665831665</c:v>
                </c:pt>
                <c:pt idx="11">
                  <c:v>51.188113272419308</c:v>
                </c:pt>
                <c:pt idx="12">
                  <c:v>49.186530072671978</c:v>
                </c:pt>
                <c:pt idx="13">
                  <c:v>45.102320338343382</c:v>
                </c:pt>
                <c:pt idx="14">
                  <c:v>40.208459949565835</c:v>
                </c:pt>
                <c:pt idx="15">
                  <c:v>35.386485407697258</c:v>
                </c:pt>
                <c:pt idx="16">
                  <c:v>31.06527088891157</c:v>
                </c:pt>
                <c:pt idx="17">
                  <c:v>27.37399128530188</c:v>
                </c:pt>
                <c:pt idx="18">
                  <c:v>24.293064740300494</c:v>
                </c:pt>
                <c:pt idx="19">
                  <c:v>21.746406671933041</c:v>
                </c:pt>
                <c:pt idx="20">
                  <c:v>19.646437971401244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1-1146-B8B7-C29DF71A7E87}"/>
            </c:ext>
          </c:extLst>
        </c:ser>
        <c:ser>
          <c:idx val="1"/>
          <c:order val="1"/>
          <c:tx>
            <c:strRef>
              <c:f>'Planar Band Loop'!$AF$58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Loop'!$AG$30:$BA$30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Loop'!$AG$58:$BA$58</c:f>
              <c:numCache>
                <c:formatCode>General</c:formatCode>
                <c:ptCount val="21"/>
                <c:pt idx="0">
                  <c:v>0.92525971427952369</c:v>
                </c:pt>
                <c:pt idx="1">
                  <c:v>0.13442622360921319</c:v>
                </c:pt>
                <c:pt idx="2">
                  <c:v>-0.78555699282470459</c:v>
                </c:pt>
                <c:pt idx="3">
                  <c:v>-1.8330321612554863</c:v>
                </c:pt>
                <c:pt idx="4">
                  <c:v>-2.9792279117305873</c:v>
                </c:pt>
                <c:pt idx="5">
                  <c:v>-4.1410194510458656</c:v>
                </c:pt>
                <c:pt idx="6">
                  <c:v>-5.138757979536023</c:v>
                </c:pt>
                <c:pt idx="7">
                  <c:v>-5.650281139409266</c:v>
                </c:pt>
                <c:pt idx="8">
                  <c:v>-5.2120796055315957</c:v>
                </c:pt>
                <c:pt idx="9">
                  <c:v>-3.3679427541267173</c:v>
                </c:pt>
                <c:pt idx="10">
                  <c:v>-4.985144231378714E-5</c:v>
                </c:pt>
                <c:pt idx="11">
                  <c:v>4.4156940303876331</c:v>
                </c:pt>
                <c:pt idx="12">
                  <c:v>9.0134180198811649</c:v>
                </c:pt>
                <c:pt idx="13">
                  <c:v>13.056189142556377</c:v>
                </c:pt>
                <c:pt idx="14">
                  <c:v>16.226154966977511</c:v>
                </c:pt>
                <c:pt idx="15">
                  <c:v>18.546971411975012</c:v>
                </c:pt>
                <c:pt idx="16">
                  <c:v>20.190025676497761</c:v>
                </c:pt>
                <c:pt idx="17">
                  <c:v>21.343809549773553</c:v>
                </c:pt>
                <c:pt idx="18">
                  <c:v>22.162812782922291</c:v>
                </c:pt>
                <c:pt idx="19">
                  <c:v>22.759498876548147</c:v>
                </c:pt>
                <c:pt idx="20">
                  <c:v>23.211397861373708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1-1146-B8B7-C29DF71A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495846600977"/>
          <c:y val="0.87022895506414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'Planar Band Loop Substrate'!$AF$60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 Substrate'!$AG$33:$BA$33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 Substrate'!$AG$60:$BA$60</c:f>
              <c:numCache>
                <c:formatCode>General</c:formatCode>
                <c:ptCount val="21"/>
                <c:pt idx="0">
                  <c:v>6.0961421864162615</c:v>
                </c:pt>
                <c:pt idx="1">
                  <c:v>7.6524332024030102</c:v>
                </c:pt>
                <c:pt idx="2">
                  <c:v>9.668196522139155</c:v>
                </c:pt>
                <c:pt idx="3">
                  <c:v>12.289863740405604</c:v>
                </c:pt>
                <c:pt idx="4">
                  <c:v>15.696153900119052</c:v>
                </c:pt>
                <c:pt idx="5">
                  <c:v>20.076969977934169</c:v>
                </c:pt>
                <c:pt idx="6">
                  <c:v>25.566047508892169</c:v>
                </c:pt>
                <c:pt idx="7">
                  <c:v>32.091591531321818</c:v>
                </c:pt>
                <c:pt idx="8">
                  <c:v>39.143661928290449</c:v>
                </c:pt>
                <c:pt idx="9">
                  <c:v>45.606276448048497</c:v>
                </c:pt>
                <c:pt idx="10">
                  <c:v>49.999825403875441</c:v>
                </c:pt>
                <c:pt idx="11">
                  <c:v>51.270470486147495</c:v>
                </c:pt>
                <c:pt idx="12">
                  <c:v>49.481271760037323</c:v>
                </c:pt>
                <c:pt idx="13">
                  <c:v>45.634831037440442</c:v>
                </c:pt>
                <c:pt idx="14">
                  <c:v>40.924253838875366</c:v>
                </c:pt>
                <c:pt idx="15">
                  <c:v>36.208775123185042</c:v>
                </c:pt>
                <c:pt idx="16">
                  <c:v>31.929974834492274</c:v>
                </c:pt>
                <c:pt idx="17">
                  <c:v>28.238629665793141</c:v>
                </c:pt>
                <c:pt idx="18">
                  <c:v>25.133465618166408</c:v>
                </c:pt>
                <c:pt idx="19">
                  <c:v>22.55082532151588</c:v>
                </c:pt>
                <c:pt idx="20">
                  <c:v>20.410658686286538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9-AF40-B48A-384D7110E671}"/>
            </c:ext>
          </c:extLst>
        </c:ser>
        <c:ser>
          <c:idx val="1"/>
          <c:order val="1"/>
          <c:tx>
            <c:strRef>
              <c:f>'Planar Band Loop Substrate'!$AF$61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 Substrate'!$AG$33:$BA$33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 Substrate'!$AG$61:$BA$61</c:f>
              <c:numCache>
                <c:formatCode>General</c:formatCode>
                <c:ptCount val="21"/>
                <c:pt idx="0">
                  <c:v>1.2493723219565744</c:v>
                </c:pt>
                <c:pt idx="1">
                  <c:v>0.47455945195869498</c:v>
                </c:pt>
                <c:pt idx="2">
                  <c:v>-0.42607574820643168</c:v>
                </c:pt>
                <c:pt idx="3">
                  <c:v>-1.4501081318142182</c:v>
                </c:pt>
                <c:pt idx="4">
                  <c:v>-2.5685552524220667</c:v>
                </c:pt>
                <c:pt idx="5">
                  <c:v>-3.7001973729643125</c:v>
                </c:pt>
                <c:pt idx="6">
                  <c:v>-4.6729276005591593</c:v>
                </c:pt>
                <c:pt idx="7">
                  <c:v>-5.1836160227158006</c:v>
                </c:pt>
                <c:pt idx="8">
                  <c:v>-4.8032811042040828</c:v>
                </c:pt>
                <c:pt idx="9">
                  <c:v>-3.1138071952884361</c:v>
                </c:pt>
                <c:pt idx="10">
                  <c:v>2.7456311269200354E-6</c:v>
                </c:pt>
                <c:pt idx="11">
                  <c:v>4.1263649144705692</c:v>
                </c:pt>
                <c:pt idx="12">
                  <c:v>8.4932003920311434</c:v>
                </c:pt>
                <c:pt idx="13">
                  <c:v>12.415005891649372</c:v>
                </c:pt>
                <c:pt idx="14">
                  <c:v>15.56511355000004</c:v>
                </c:pt>
                <c:pt idx="15">
                  <c:v>17.931017423230681</c:v>
                </c:pt>
                <c:pt idx="16">
                  <c:v>19.650524144690735</c:v>
                </c:pt>
                <c:pt idx="17">
                  <c:v>20.890618056799173</c:v>
                </c:pt>
                <c:pt idx="18">
                  <c:v>21.794653591853638</c:v>
                </c:pt>
                <c:pt idx="19">
                  <c:v>22.470356558603452</c:v>
                </c:pt>
                <c:pt idx="20">
                  <c:v>22.993867666644363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9-AF40-B48A-384D7110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495846600977"/>
          <c:y val="0.85993956808070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'Thick Loop'!$AF$58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'Thick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'Thick Loop'!$AG$58:$BA$58</c:f>
              <c:numCache>
                <c:formatCode>General</c:formatCode>
                <c:ptCount val="21"/>
                <c:pt idx="0">
                  <c:v>5.3878350082251254</c:v>
                </c:pt>
                <c:pt idx="1">
                  <c:v>6.8038621091038722</c:v>
                </c:pt>
                <c:pt idx="2">
                  <c:v>8.6602264490855863</c:v>
                </c:pt>
                <c:pt idx="3">
                  <c:v>11.111167315713876</c:v>
                </c:pt>
                <c:pt idx="4">
                  <c:v>14.355774519309884</c:v>
                </c:pt>
                <c:pt idx="5">
                  <c:v>18.625727477032076</c:v>
                </c:pt>
                <c:pt idx="6">
                  <c:v>24.124468208541924</c:v>
                </c:pt>
                <c:pt idx="7">
                  <c:v>30.863495295612438</c:v>
                </c:pt>
                <c:pt idx="8">
                  <c:v>38.360119634950422</c:v>
                </c:pt>
                <c:pt idx="9">
                  <c:v>45.347300731054773</c:v>
                </c:pt>
                <c:pt idx="10">
                  <c:v>49.999981766853892</c:v>
                </c:pt>
                <c:pt idx="11">
                  <c:v>51.00341393017996</c:v>
                </c:pt>
                <c:pt idx="12">
                  <c:v>48.536628006165131</c:v>
                </c:pt>
                <c:pt idx="13">
                  <c:v>43.9506897943048</c:v>
                </c:pt>
                <c:pt idx="14">
                  <c:v>38.689712528052546</c:v>
                </c:pt>
                <c:pt idx="15">
                  <c:v>33.670898489311959</c:v>
                </c:pt>
                <c:pt idx="16">
                  <c:v>29.286200135081458</c:v>
                </c:pt>
                <c:pt idx="17">
                  <c:v>25.614898611469986</c:v>
                </c:pt>
                <c:pt idx="18">
                  <c:v>22.598414253151926</c:v>
                </c:pt>
                <c:pt idx="19">
                  <c:v>20.135651934034765</c:v>
                </c:pt>
                <c:pt idx="20">
                  <c:v>18.124627926661255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8-794C-8C79-4B99EA08D433}"/>
            </c:ext>
          </c:extLst>
        </c:ser>
        <c:ser>
          <c:idx val="1"/>
          <c:order val="1"/>
          <c:tx>
            <c:strRef>
              <c:f>'Thick Loop'!$AF$59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'Thick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'Thick Loop'!$AG$59:$BA$59</c:f>
              <c:numCache>
                <c:formatCode>General</c:formatCode>
                <c:ptCount val="21"/>
                <c:pt idx="0">
                  <c:v>0.30815555684546242</c:v>
                </c:pt>
                <c:pt idx="1">
                  <c:v>-0.51349497467415439</c:v>
                </c:pt>
                <c:pt idx="2">
                  <c:v>-1.4718708911755061</c:v>
                </c:pt>
                <c:pt idx="3">
                  <c:v>-2.5676221621108839</c:v>
                </c:pt>
                <c:pt idx="4">
                  <c:v>-3.7736375533528252</c:v>
                </c:pt>
                <c:pt idx="5">
                  <c:v>-5.0046829000316286</c:v>
                </c:pt>
                <c:pt idx="6">
                  <c:v>-6.0674878182494387</c:v>
                </c:pt>
                <c:pt idx="7">
                  <c:v>-6.6005225654585677</c:v>
                </c:pt>
                <c:pt idx="8">
                  <c:v>-6.0626340125706015</c:v>
                </c:pt>
                <c:pt idx="9">
                  <c:v>-3.9055586896900145</c:v>
                </c:pt>
                <c:pt idx="10">
                  <c:v>3.5779569874417455E-5</c:v>
                </c:pt>
                <c:pt idx="11">
                  <c:v>5.0275124521848022</c:v>
                </c:pt>
                <c:pt idx="12">
                  <c:v>10.09251482518394</c:v>
                </c:pt>
                <c:pt idx="13">
                  <c:v>14.351182837668464</c:v>
                </c:pt>
                <c:pt idx="14">
                  <c:v>17.521130886653413</c:v>
                </c:pt>
                <c:pt idx="15">
                  <c:v>19.714744737667782</c:v>
                </c:pt>
                <c:pt idx="16">
                  <c:v>21.177247531291599</c:v>
                </c:pt>
                <c:pt idx="17">
                  <c:v>22.140309770947759</c:v>
                </c:pt>
                <c:pt idx="18">
                  <c:v>22.778546756394043</c:v>
                </c:pt>
                <c:pt idx="19">
                  <c:v>23.211584921697451</c:v>
                </c:pt>
                <c:pt idx="20">
                  <c:v>23.517922382672701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8-794C-8C79-4B99EA08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'Plate Waveguide'!$AF$59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'Plate Waveguide'!$AG$32:$BA$32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'Plate Waveguide'!$AG$59:$BA$59</c:f>
              <c:numCache>
                <c:formatCode>General</c:formatCode>
                <c:ptCount val="21"/>
                <c:pt idx="0">
                  <c:v>5.2878015034717532</c:v>
                </c:pt>
                <c:pt idx="1">
                  <c:v>6.6832058547227158</c:v>
                </c:pt>
                <c:pt idx="2">
                  <c:v>8.5156948993926811</c:v>
                </c:pt>
                <c:pt idx="3">
                  <c:v>10.94037070907971</c:v>
                </c:pt>
                <c:pt idx="4">
                  <c:v>14.158989258823402</c:v>
                </c:pt>
                <c:pt idx="5">
                  <c:v>18.409203162055245</c:v>
                </c:pt>
                <c:pt idx="6">
                  <c:v>23.90521296699826</c:v>
                </c:pt>
                <c:pt idx="7">
                  <c:v>30.67267449932654</c:v>
                </c:pt>
                <c:pt idx="8">
                  <c:v>38.235838505270664</c:v>
                </c:pt>
                <c:pt idx="9">
                  <c:v>45.305663746322388</c:v>
                </c:pt>
                <c:pt idx="10">
                  <c:v>49.999993073648298</c:v>
                </c:pt>
                <c:pt idx="11">
                  <c:v>50.959797044130966</c:v>
                </c:pt>
                <c:pt idx="12">
                  <c:v>48.385478629607988</c:v>
                </c:pt>
                <c:pt idx="13">
                  <c:v>43.687218826020661</c:v>
                </c:pt>
                <c:pt idx="14">
                  <c:v>38.347753779565068</c:v>
                </c:pt>
                <c:pt idx="15">
                  <c:v>33.289970455942353</c:v>
                </c:pt>
                <c:pt idx="16">
                  <c:v>28.895686241502421</c:v>
                </c:pt>
                <c:pt idx="17">
                  <c:v>25.232295821869247</c:v>
                </c:pt>
                <c:pt idx="18">
                  <c:v>22.232484971852941</c:v>
                </c:pt>
                <c:pt idx="19">
                  <c:v>19.78981154556589</c:v>
                </c:pt>
                <c:pt idx="20">
                  <c:v>17.799345225435061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2-484C-AA9E-47FD9D08E7CA}"/>
            </c:ext>
          </c:extLst>
        </c:ser>
        <c:ser>
          <c:idx val="1"/>
          <c:order val="1"/>
          <c:tx>
            <c:strRef>
              <c:f>'Plate Waveguide'!$AF$60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'Plate Waveguide'!$AG$32:$BA$32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'Plate Waveguide'!$AG$60:$BA$60</c:f>
              <c:numCache>
                <c:formatCode>General</c:formatCode>
                <c:ptCount val="21"/>
                <c:pt idx="0">
                  <c:v>0.18128581844830791</c:v>
                </c:pt>
                <c:pt idx="1">
                  <c:v>-0.64671028101035566</c:v>
                </c:pt>
                <c:pt idx="2">
                  <c:v>-1.6132029021720937</c:v>
                </c:pt>
                <c:pt idx="3">
                  <c:v>-2.7194754849242586</c:v>
                </c:pt>
                <c:pt idx="4">
                  <c:v>-3.9390044957093209</c:v>
                </c:pt>
                <c:pt idx="5">
                  <c:v>-5.1864412574945264</c:v>
                </c:pt>
                <c:pt idx="6">
                  <c:v>-6.2659276582911971</c:v>
                </c:pt>
                <c:pt idx="7">
                  <c:v>-6.8073452522084139</c:v>
                </c:pt>
                <c:pt idx="8">
                  <c:v>-6.2513071410573051</c:v>
                </c:pt>
                <c:pt idx="9">
                  <c:v>-4.0266048875238463</c:v>
                </c:pt>
                <c:pt idx="10">
                  <c:v>3.0016315801735161E-7</c:v>
                </c:pt>
                <c:pt idx="11">
                  <c:v>5.1650357089816819</c:v>
                </c:pt>
                <c:pt idx="12">
                  <c:v>10.331106597424736</c:v>
                </c:pt>
                <c:pt idx="13">
                  <c:v>14.630913801959728</c:v>
                </c:pt>
                <c:pt idx="14">
                  <c:v>17.79339843381284</c:v>
                </c:pt>
                <c:pt idx="15">
                  <c:v>19.953074485568948</c:v>
                </c:pt>
                <c:pt idx="16">
                  <c:v>21.372088997424306</c:v>
                </c:pt>
                <c:pt idx="17">
                  <c:v>22.291266964656884</c:v>
                </c:pt>
                <c:pt idx="18">
                  <c:v>22.889075208659001</c:v>
                </c:pt>
                <c:pt idx="19">
                  <c:v>23.286229869956877</c:v>
                </c:pt>
                <c:pt idx="20">
                  <c:v>23.561106106533096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84C-AA9E-47FD9D08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'ZA for Loops'!$E$13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Loops'!$D$14:$D$16</c:f>
              <c:numCache>
                <c:formatCode>General</c:formatCode>
                <c:ptCount val="3"/>
                <c:pt idx="0">
                  <c:v>9.0909090909090905E-3</c:v>
                </c:pt>
                <c:pt idx="1">
                  <c:v>2.2936363636363637E-2</c:v>
                </c:pt>
                <c:pt idx="2">
                  <c:v>0.11363636363636363</c:v>
                </c:pt>
              </c:numCache>
            </c:numRef>
          </c:xVal>
          <c:yVal>
            <c:numRef>
              <c:f>'ZA for Loops'!$E$14:$E$16</c:f>
              <c:numCache>
                <c:formatCode>General</c:formatCode>
                <c:ptCount val="3"/>
                <c:pt idx="0">
                  <c:v>1261</c:v>
                </c:pt>
                <c:pt idx="1">
                  <c:v>1072</c:v>
                </c:pt>
                <c:pt idx="2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2-D24B-8CB1-0BB6BB5109B4}"/>
            </c:ext>
          </c:extLst>
        </c:ser>
        <c:ser>
          <c:idx val="1"/>
          <c:order val="1"/>
          <c:tx>
            <c:strRef>
              <c:f>'ZA for Loops'!$F$13</c:f>
              <c:strCache>
                <c:ptCount val="1"/>
                <c:pt idx="0">
                  <c:v>Zsim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 for Loops'!$D$14:$D$16</c:f>
              <c:numCache>
                <c:formatCode>General</c:formatCode>
                <c:ptCount val="3"/>
                <c:pt idx="0">
                  <c:v>9.0909090909090905E-3</c:v>
                </c:pt>
                <c:pt idx="1">
                  <c:v>2.2936363636363637E-2</c:v>
                </c:pt>
                <c:pt idx="2">
                  <c:v>0.11363636363636363</c:v>
                </c:pt>
              </c:numCache>
            </c:numRef>
          </c:xVal>
          <c:yVal>
            <c:numRef>
              <c:f>'ZA for Loops'!$F$14:$F$16</c:f>
              <c:numCache>
                <c:formatCode>General</c:formatCode>
                <c:ptCount val="3"/>
                <c:pt idx="0">
                  <c:v>1262.6356959116997</c:v>
                </c:pt>
                <c:pt idx="1">
                  <c:v>1068.9473236621766</c:v>
                </c:pt>
                <c:pt idx="2">
                  <c:v>801.48975845942914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F2-D24B-8CB1-0BB6BB51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25152"/>
        <c:axId val="1229626800"/>
      </c:scatterChart>
      <c:valAx>
        <c:axId val="12296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9626800"/>
        <c:crosses val="autoZero"/>
        <c:crossBetween val="midCat"/>
      </c:valAx>
      <c:valAx>
        <c:axId val="1229626800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96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337350757741274"/>
          <c:y val="0.15259607879969467"/>
          <c:w val="0.71325298484517452"/>
          <c:h val="0.60906964986854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 for Loops'!$F$22</c:f>
              <c:strCache>
                <c:ptCount val="1"/>
                <c:pt idx="0">
                  <c:v>ZAsim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Loops'!$D$23:$D$43</c:f>
              <c:numCache>
                <c:formatCode>General</c:formatCode>
                <c:ptCount val="21"/>
                <c:pt idx="0">
                  <c:v>1E-4</c:v>
                </c:pt>
                <c:pt idx="1">
                  <c:v>1.5000000000000001E-4</c:v>
                </c:pt>
                <c:pt idx="2">
                  <c:v>2.2500000000000002E-4</c:v>
                </c:pt>
                <c:pt idx="3">
                  <c:v>3.3750000000000002E-4</c:v>
                </c:pt>
                <c:pt idx="4">
                  <c:v>5.0625000000000008E-4</c:v>
                </c:pt>
                <c:pt idx="5">
                  <c:v>7.5937500000000018E-4</c:v>
                </c:pt>
                <c:pt idx="6">
                  <c:v>1.1390625000000001E-3</c:v>
                </c:pt>
                <c:pt idx="7">
                  <c:v>1.7085937500000003E-3</c:v>
                </c:pt>
                <c:pt idx="8">
                  <c:v>2.5628906250000005E-3</c:v>
                </c:pt>
                <c:pt idx="9">
                  <c:v>3.8443359375000007E-3</c:v>
                </c:pt>
                <c:pt idx="10">
                  <c:v>5.7665039062500005E-3</c:v>
                </c:pt>
                <c:pt idx="11">
                  <c:v>8.6497558593750003E-3</c:v>
                </c:pt>
                <c:pt idx="12">
                  <c:v>1.29746337890625E-2</c:v>
                </c:pt>
                <c:pt idx="13">
                  <c:v>1.946195068359375E-2</c:v>
                </c:pt>
                <c:pt idx="14">
                  <c:v>2.9192926025390625E-2</c:v>
                </c:pt>
                <c:pt idx="15">
                  <c:v>4.3789389038085935E-2</c:v>
                </c:pt>
                <c:pt idx="16">
                  <c:v>6.5684083557128903E-2</c:v>
                </c:pt>
                <c:pt idx="17">
                  <c:v>9.8526125335693354E-2</c:v>
                </c:pt>
                <c:pt idx="18">
                  <c:v>0.14778918800354005</c:v>
                </c:pt>
                <c:pt idx="19">
                  <c:v>0.22168378200531005</c:v>
                </c:pt>
                <c:pt idx="20">
                  <c:v>0.33252567300796504</c:v>
                </c:pt>
              </c:numCache>
            </c:numRef>
          </c:xVal>
          <c:yVal>
            <c:numRef>
              <c:f>'ZA for Loops'!$F$23:$F$43</c:f>
              <c:numCache>
                <c:formatCode>General</c:formatCode>
                <c:ptCount val="21"/>
                <c:pt idx="0">
                  <c:v>2842.5859792432229</c:v>
                </c:pt>
                <c:pt idx="1">
                  <c:v>2642.5755450843494</c:v>
                </c:pt>
                <c:pt idx="2">
                  <c:v>2456.638273202549</c:v>
                </c:pt>
                <c:pt idx="3">
                  <c:v>2283.7839457758864</c:v>
                </c:pt>
                <c:pt idx="4">
                  <c:v>2123.0920188279779</c:v>
                </c:pt>
                <c:pt idx="5">
                  <c:v>1973.7067198270747</c:v>
                </c:pt>
                <c:pt idx="6">
                  <c:v>1834.8324902285751</c:v>
                </c:pt>
                <c:pt idx="7">
                  <c:v>1705.729748689997</c:v>
                </c:pt>
                <c:pt idx="8">
                  <c:v>1585.7109523952158</c:v>
                </c:pt>
                <c:pt idx="9">
                  <c:v>1474.1369355123616</c:v>
                </c:pt>
                <c:pt idx="10">
                  <c:v>1370.4135052856514</c:v>
                </c:pt>
                <c:pt idx="11">
                  <c:v>1273.9882776334912</c:v>
                </c:pt>
                <c:pt idx="12">
                  <c:v>1184.3477354006654</c:v>
                </c:pt>
                <c:pt idx="13">
                  <c:v>1101.0144935982025</c:v>
                </c:pt>
                <c:pt idx="14">
                  <c:v>1023.5447570668149</c:v>
                </c:pt>
                <c:pt idx="15">
                  <c:v>951.52595702458211</c:v>
                </c:pt>
                <c:pt idx="16">
                  <c:v>884.57455391219787</c:v>
                </c:pt>
                <c:pt idx="17">
                  <c:v>822.33399483472965</c:v>
                </c:pt>
                <c:pt idx="18">
                  <c:v>764.47281472214661</c:v>
                </c:pt>
                <c:pt idx="19">
                  <c:v>710.68287109625862</c:v>
                </c:pt>
                <c:pt idx="20">
                  <c:v>660.67770304323096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C-E440-81F2-5FA888B1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9376"/>
        <c:axId val="1232806304"/>
      </c:scatterChart>
      <c:valAx>
        <c:axId val="123280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6304"/>
        <c:crosses val="autoZero"/>
        <c:crossBetween val="midCat"/>
      </c:valAx>
      <c:valAx>
        <c:axId val="12328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725240594925635"/>
          <c:y val="0.13880327416862692"/>
          <c:w val="0.67733092738407696"/>
          <c:h val="0.6724385046212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 for Loops'!$F$22</c:f>
              <c:strCache>
                <c:ptCount val="1"/>
                <c:pt idx="0">
                  <c:v>ZAsim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Loops'!$D$23:$D$43</c:f>
              <c:numCache>
                <c:formatCode>General</c:formatCode>
                <c:ptCount val="21"/>
                <c:pt idx="0">
                  <c:v>1E-4</c:v>
                </c:pt>
                <c:pt idx="1">
                  <c:v>1.5000000000000001E-4</c:v>
                </c:pt>
                <c:pt idx="2">
                  <c:v>2.2500000000000002E-4</c:v>
                </c:pt>
                <c:pt idx="3">
                  <c:v>3.3750000000000002E-4</c:v>
                </c:pt>
                <c:pt idx="4">
                  <c:v>5.0625000000000008E-4</c:v>
                </c:pt>
                <c:pt idx="5">
                  <c:v>7.5937500000000018E-4</c:v>
                </c:pt>
                <c:pt idx="6">
                  <c:v>1.1390625000000001E-3</c:v>
                </c:pt>
                <c:pt idx="7">
                  <c:v>1.7085937500000003E-3</c:v>
                </c:pt>
                <c:pt idx="8">
                  <c:v>2.5628906250000005E-3</c:v>
                </c:pt>
                <c:pt idx="9">
                  <c:v>3.8443359375000007E-3</c:v>
                </c:pt>
                <c:pt idx="10">
                  <c:v>5.7665039062500005E-3</c:v>
                </c:pt>
                <c:pt idx="11">
                  <c:v>8.6497558593750003E-3</c:v>
                </c:pt>
                <c:pt idx="12">
                  <c:v>1.29746337890625E-2</c:v>
                </c:pt>
                <c:pt idx="13">
                  <c:v>1.946195068359375E-2</c:v>
                </c:pt>
                <c:pt idx="14">
                  <c:v>2.9192926025390625E-2</c:v>
                </c:pt>
                <c:pt idx="15">
                  <c:v>4.3789389038085935E-2</c:v>
                </c:pt>
                <c:pt idx="16">
                  <c:v>6.5684083557128903E-2</c:v>
                </c:pt>
                <c:pt idx="17">
                  <c:v>9.8526125335693354E-2</c:v>
                </c:pt>
                <c:pt idx="18">
                  <c:v>0.14778918800354005</c:v>
                </c:pt>
                <c:pt idx="19">
                  <c:v>0.22168378200531005</c:v>
                </c:pt>
                <c:pt idx="20">
                  <c:v>0.33252567300796504</c:v>
                </c:pt>
              </c:numCache>
            </c:numRef>
          </c:xVal>
          <c:yVal>
            <c:numRef>
              <c:f>'ZA for Loops'!$F$23:$F$43</c:f>
              <c:numCache>
                <c:formatCode>General</c:formatCode>
                <c:ptCount val="21"/>
                <c:pt idx="0">
                  <c:v>2842.5859792432229</c:v>
                </c:pt>
                <c:pt idx="1">
                  <c:v>2642.5755450843494</c:v>
                </c:pt>
                <c:pt idx="2">
                  <c:v>2456.638273202549</c:v>
                </c:pt>
                <c:pt idx="3">
                  <c:v>2283.7839457758864</c:v>
                </c:pt>
                <c:pt idx="4">
                  <c:v>2123.0920188279779</c:v>
                </c:pt>
                <c:pt idx="5">
                  <c:v>1973.7067198270747</c:v>
                </c:pt>
                <c:pt idx="6">
                  <c:v>1834.8324902285751</c:v>
                </c:pt>
                <c:pt idx="7">
                  <c:v>1705.729748689997</c:v>
                </c:pt>
                <c:pt idx="8">
                  <c:v>1585.7109523952158</c:v>
                </c:pt>
                <c:pt idx="9">
                  <c:v>1474.1369355123616</c:v>
                </c:pt>
                <c:pt idx="10">
                  <c:v>1370.4135052856514</c:v>
                </c:pt>
                <c:pt idx="11">
                  <c:v>1273.9882776334912</c:v>
                </c:pt>
                <c:pt idx="12">
                  <c:v>1184.3477354006654</c:v>
                </c:pt>
                <c:pt idx="13">
                  <c:v>1101.0144935982025</c:v>
                </c:pt>
                <c:pt idx="14">
                  <c:v>1023.5447570668149</c:v>
                </c:pt>
                <c:pt idx="15">
                  <c:v>951.52595702458211</c:v>
                </c:pt>
                <c:pt idx="16">
                  <c:v>884.57455391219787</c:v>
                </c:pt>
                <c:pt idx="17">
                  <c:v>822.33399483472965</c:v>
                </c:pt>
                <c:pt idx="18">
                  <c:v>764.47281472214661</c:v>
                </c:pt>
                <c:pt idx="19">
                  <c:v>710.68287109625862</c:v>
                </c:pt>
                <c:pt idx="20">
                  <c:v>660.67770304323096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D-EB43-A5A8-6B1D571B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9376"/>
        <c:axId val="1232806304"/>
      </c:scatterChart>
      <c:valAx>
        <c:axId val="12328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6304"/>
        <c:crosses val="autoZero"/>
        <c:crossBetween val="midCat"/>
      </c:valAx>
      <c:valAx>
        <c:axId val="12328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hyperlink" Target="https://www.youtube.com/channel/UClPnzFiUQ_J0KyaXQarIFhQ/featured" TargetMode="External"/><Relationship Id="rId4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2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3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5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10" Type="http://schemas.microsoft.com/office/2007/relationships/hdphoto" Target="../media/hdphoto2.wdp"/><Relationship Id="rId4" Type="http://schemas.openxmlformats.org/officeDocument/2006/relationships/image" Target="../media/image11.png"/><Relationship Id="rId9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6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10" Type="http://schemas.microsoft.com/office/2007/relationships/hdphoto" Target="../media/hdphoto3.wdp"/><Relationship Id="rId4" Type="http://schemas.openxmlformats.org/officeDocument/2006/relationships/image" Target="../media/image11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18143</xdr:colOff>
      <xdr:row>9</xdr:row>
      <xdr:rowOff>189024</xdr:rowOff>
    </xdr:from>
    <xdr:to>
      <xdr:col>5</xdr:col>
      <xdr:colOff>308428</xdr:colOff>
      <xdr:row>21</xdr:row>
      <xdr:rowOff>112484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C69E48-04EB-C1C6-C501-D259CF57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1214" y="2112167"/>
          <a:ext cx="2367643" cy="2318317"/>
        </a:xfrm>
        <a:prstGeom prst="rect">
          <a:avLst/>
        </a:prstGeom>
      </xdr:spPr>
    </xdr:pic>
    <xdr:clientData/>
  </xdr:twoCellAnchor>
  <xdr:twoCellAnchor editAs="oneCell">
    <xdr:from>
      <xdr:col>6</xdr:col>
      <xdr:colOff>1941285</xdr:colOff>
      <xdr:row>4</xdr:row>
      <xdr:rowOff>45356</xdr:rowOff>
    </xdr:from>
    <xdr:to>
      <xdr:col>10</xdr:col>
      <xdr:colOff>1295399</xdr:colOff>
      <xdr:row>29</xdr:row>
      <xdr:rowOff>145143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40FC487-DE2B-1EFD-55D6-0C5182DE04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73000"/>
                  </a14:imgEffect>
                  <a14:imgEffect>
                    <a14:colorTemperature colorTemp="2695"/>
                  </a14:imgEffect>
                  <a14:imgEffect>
                    <a14:saturation sat="400000"/>
                  </a14:imgEffect>
                  <a14:imgEffect>
                    <a14:brightnessContrast bright="14000" contrast="54000"/>
                  </a14:imgEffect>
                </a14:imgLayer>
              </a14:imgProps>
            </a:ext>
          </a:extLst>
        </a:blip>
        <a:srcRect b="27144"/>
        <a:stretch/>
      </xdr:blipFill>
      <xdr:spPr>
        <a:xfrm>
          <a:off x="6703785" y="970642"/>
          <a:ext cx="7772400" cy="530678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68035</xdr:colOff>
      <xdr:row>5</xdr:row>
      <xdr:rowOff>84366</xdr:rowOff>
    </xdr:from>
    <xdr:to>
      <xdr:col>14</xdr:col>
      <xdr:colOff>512535</xdr:colOff>
      <xdr:row>18</xdr:row>
      <xdr:rowOff>33566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4BB901-BA29-1202-C597-657D680E4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81643</xdr:colOff>
      <xdr:row>20</xdr:row>
      <xdr:rowOff>90714</xdr:rowOff>
    </xdr:from>
    <xdr:to>
      <xdr:col>14</xdr:col>
      <xdr:colOff>471714</xdr:colOff>
      <xdr:row>40</xdr:row>
      <xdr:rowOff>187778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892DE2-B946-715B-C975-87C94ABF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689429</xdr:colOff>
      <xdr:row>20</xdr:row>
      <xdr:rowOff>99787</xdr:rowOff>
    </xdr:from>
    <xdr:to>
      <xdr:col>20</xdr:col>
      <xdr:colOff>308429</xdr:colOff>
      <xdr:row>40</xdr:row>
      <xdr:rowOff>166915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B1B9BEF-5E81-9C4E-B175-4CF7EA4F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54429</xdr:rowOff>
    </xdr:to>
    <xdr:pic>
      <xdr:nvPicPr>
        <xdr:cNvPr id="6" name="Grafik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99B46-77F0-E04D-9B6B-6AEAAA6D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7872" y="0"/>
          <a:ext cx="2596520" cy="2476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45357</xdr:colOff>
      <xdr:row>5</xdr:row>
      <xdr:rowOff>33891</xdr:rowOff>
    </xdr:from>
    <xdr:to>
      <xdr:col>16</xdr:col>
      <xdr:colOff>517072</xdr:colOff>
      <xdr:row>8</xdr:row>
      <xdr:rowOff>130628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66AE037-23E8-1690-127F-CF42DE17A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58214" y="1449034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81643</xdr:colOff>
      <xdr:row>5</xdr:row>
      <xdr:rowOff>18143</xdr:rowOff>
    </xdr:from>
    <xdr:to>
      <xdr:col>22</xdr:col>
      <xdr:colOff>348343</xdr:colOff>
      <xdr:row>8</xdr:row>
      <xdr:rowOff>117929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F6259FB-DB0D-D20F-C5BF-12D27F3E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64786" y="1433286"/>
          <a:ext cx="3060700" cy="1079500"/>
        </a:xfrm>
        <a:prstGeom prst="rect">
          <a:avLst/>
        </a:prstGeom>
      </xdr:spPr>
    </xdr:pic>
    <xdr:clientData/>
  </xdr:twoCellAnchor>
  <xdr:twoCellAnchor editAs="oneCell">
    <xdr:from>
      <xdr:col>17</xdr:col>
      <xdr:colOff>480786</xdr:colOff>
      <xdr:row>20</xdr:row>
      <xdr:rowOff>272143</xdr:rowOff>
    </xdr:from>
    <xdr:to>
      <xdr:col>22</xdr:col>
      <xdr:colOff>582386</xdr:colOff>
      <xdr:row>24</xdr:row>
      <xdr:rowOff>94343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465D4C9-366B-ECEF-4258-35F05116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4500" y="6105072"/>
          <a:ext cx="3594100" cy="1092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163287</xdr:colOff>
      <xdr:row>21</xdr:row>
      <xdr:rowOff>27215</xdr:rowOff>
    </xdr:from>
    <xdr:to>
      <xdr:col>16</xdr:col>
      <xdr:colOff>635002</xdr:colOff>
      <xdr:row>24</xdr:row>
      <xdr:rowOff>123951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3175098-7CB9-3B45-AF15-2D402A2E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5216" y="6150429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317500</xdr:colOff>
      <xdr:row>11</xdr:row>
      <xdr:rowOff>154215</xdr:rowOff>
    </xdr:from>
    <xdr:to>
      <xdr:col>20</xdr:col>
      <xdr:colOff>639243</xdr:colOff>
      <xdr:row>13</xdr:row>
      <xdr:rowOff>163285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FB3D736C-6CFD-1066-CE6F-765A5F716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09714" y="3419929"/>
          <a:ext cx="1718743" cy="589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468923</xdr:colOff>
      <xdr:row>6</xdr:row>
      <xdr:rowOff>39076</xdr:rowOff>
    </xdr:from>
    <xdr:to>
      <xdr:col>14</xdr:col>
      <xdr:colOff>677984</xdr:colOff>
      <xdr:row>11</xdr:row>
      <xdr:rowOff>137745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BA57075E-6DB4-6BB5-0AF5-54B7B0C1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3538" y="1758461"/>
          <a:ext cx="3022600" cy="161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90714</xdr:colOff>
      <xdr:row>7</xdr:row>
      <xdr:rowOff>165699</xdr:rowOff>
    </xdr:from>
    <xdr:to>
      <xdr:col>21</xdr:col>
      <xdr:colOff>453571</xdr:colOff>
      <xdr:row>10</xdr:row>
      <xdr:rowOff>141067</xdr:rowOff>
    </xdr:to>
    <xdr:pic>
      <xdr:nvPicPr>
        <xdr:cNvPr id="23" name="Picture 3" descr="equation_1.pdf">
          <a:extLst>
            <a:ext uri="{FF2B5EF4-FFF2-40B4-BE49-F238E27FC236}">
              <a16:creationId xmlns:a16="http://schemas.microsoft.com/office/drawing/2014/main" id="{CD6E5FB4-D5C1-C54C-6EB9-D11951AE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04071" y="2161413"/>
          <a:ext cx="3855357" cy="900654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435429</xdr:colOff>
      <xdr:row>18</xdr:row>
      <xdr:rowOff>29309</xdr:rowOff>
    </xdr:from>
    <xdr:to>
      <xdr:col>15</xdr:col>
      <xdr:colOff>489857</xdr:colOff>
      <xdr:row>23</xdr:row>
      <xdr:rowOff>208644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16BCFD9F-51E2-5EE2-7040-DC067BB07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7810" r="22552" b="11610"/>
        <a:stretch/>
      </xdr:blipFill>
      <xdr:spPr>
        <a:xfrm>
          <a:off x="7656286" y="5408666"/>
          <a:ext cx="2848428" cy="1685192"/>
        </a:xfrm>
        <a:prstGeom prst="rect">
          <a:avLst/>
        </a:prstGeom>
      </xdr:spPr>
    </xdr:pic>
    <xdr:clientData/>
  </xdr:twoCellAnchor>
  <xdr:twoCellAnchor editAs="oneCell">
    <xdr:from>
      <xdr:col>16</xdr:col>
      <xdr:colOff>226787</xdr:colOff>
      <xdr:row>19</xdr:row>
      <xdr:rowOff>62365</xdr:rowOff>
    </xdr:from>
    <xdr:to>
      <xdr:col>25</xdr:col>
      <xdr:colOff>163287</xdr:colOff>
      <xdr:row>22</xdr:row>
      <xdr:rowOff>117928</xdr:rowOff>
    </xdr:to>
    <xdr:pic>
      <xdr:nvPicPr>
        <xdr:cNvPr id="26" name="Picture 2" descr="equation.pdf">
          <a:extLst>
            <a:ext uri="{FF2B5EF4-FFF2-40B4-BE49-F238E27FC236}">
              <a16:creationId xmlns:a16="http://schemas.microsoft.com/office/drawing/2014/main" id="{0E064A2E-0283-B218-4570-3E03F231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40144" y="5713865"/>
          <a:ext cx="6223000" cy="980849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421192</xdr:colOff>
      <xdr:row>8</xdr:row>
      <xdr:rowOff>108858</xdr:rowOff>
    </xdr:to>
    <xdr:pic>
      <xdr:nvPicPr>
        <xdr:cNvPr id="27" name="Grafik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89B14-E84A-F348-B438-8A5B9A96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2429" y="0"/>
          <a:ext cx="2598334" cy="2467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4</xdr:row>
      <xdr:rowOff>176590</xdr:rowOff>
    </xdr:from>
    <xdr:to>
      <xdr:col>25</xdr:col>
      <xdr:colOff>297542</xdr:colOff>
      <xdr:row>12</xdr:row>
      <xdr:rowOff>105153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D5C7919-D67E-115E-8330-6FD3E5FC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108858</xdr:rowOff>
    </xdr:to>
    <xdr:pic>
      <xdr:nvPicPr>
        <xdr:cNvPr id="2" name="Grafik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59AA32-D992-4C42-95AD-7ADB5A27A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95172" y="0"/>
          <a:ext cx="2596519" cy="2472872"/>
        </a:xfrm>
        <a:prstGeom prst="rect">
          <a:avLst/>
        </a:prstGeom>
      </xdr:spPr>
    </xdr:pic>
    <xdr:clientData/>
  </xdr:twoCellAnchor>
  <xdr:twoCellAnchor editAs="oneCell">
    <xdr:from>
      <xdr:col>9</xdr:col>
      <xdr:colOff>352780</xdr:colOff>
      <xdr:row>3</xdr:row>
      <xdr:rowOff>206937</xdr:rowOff>
    </xdr:from>
    <xdr:to>
      <xdr:col>17</xdr:col>
      <xdr:colOff>827517</xdr:colOff>
      <xdr:row>11</xdr:row>
      <xdr:rowOff>107784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BA5CCE1-F013-5271-1E2F-8662A726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5137" y="1059651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14</xdr:row>
      <xdr:rowOff>235857</xdr:rowOff>
    </xdr:from>
    <xdr:to>
      <xdr:col>21</xdr:col>
      <xdr:colOff>186873</xdr:colOff>
      <xdr:row>18</xdr:row>
      <xdr:rowOff>154214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0A0F8A9-1CA4-B8B5-E9F0-865D481F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7287" y="4499428"/>
          <a:ext cx="5067300" cy="1079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18</xdr:row>
      <xdr:rowOff>235858</xdr:rowOff>
    </xdr:from>
    <xdr:to>
      <xdr:col>18</xdr:col>
      <xdr:colOff>593272</xdr:colOff>
      <xdr:row>21</xdr:row>
      <xdr:rowOff>47172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32FDF7C-9867-01EC-2F7C-704ACFB6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4286" y="5424715"/>
          <a:ext cx="3251200" cy="73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19</xdr:row>
      <xdr:rowOff>217714</xdr:rowOff>
    </xdr:from>
    <xdr:to>
      <xdr:col>25</xdr:col>
      <xdr:colOff>405301</xdr:colOff>
      <xdr:row>23</xdr:row>
      <xdr:rowOff>253999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B2685F9-87C8-DEAC-D567-A1CD55C5D6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45179" y="5696857"/>
          <a:ext cx="4269051" cy="1360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22</xdr:row>
      <xdr:rowOff>208643</xdr:rowOff>
    </xdr:from>
    <xdr:to>
      <xdr:col>25</xdr:col>
      <xdr:colOff>381000</xdr:colOff>
      <xdr:row>35</xdr:row>
      <xdr:rowOff>268133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A07C59BA-2CE6-D5C1-4A7F-D9E7A793A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0115" y="6558643"/>
          <a:ext cx="10102599" cy="40509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19</xdr:row>
      <xdr:rowOff>176590</xdr:rowOff>
    </xdr:from>
    <xdr:to>
      <xdr:col>25</xdr:col>
      <xdr:colOff>297542</xdr:colOff>
      <xdr:row>27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D98F5-8A4D-2D41-A797-2A64F2C8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39C745-5C2C-C642-AD32-27E899369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10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18</xdr:row>
      <xdr:rowOff>234151</xdr:rowOff>
    </xdr:from>
    <xdr:to>
      <xdr:col>17</xdr:col>
      <xdr:colOff>816354</xdr:colOff>
      <xdr:row>26</xdr:row>
      <xdr:rowOff>134998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39A5DCA-C286-D54F-AE7D-99B82414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93280" y="1667437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29</xdr:row>
      <xdr:rowOff>235857</xdr:rowOff>
    </xdr:from>
    <xdr:to>
      <xdr:col>21</xdr:col>
      <xdr:colOff>186873</xdr:colOff>
      <xdr:row>33</xdr:row>
      <xdr:rowOff>154215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491D140-B457-3D46-8231-833F95F08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4503057"/>
          <a:ext cx="5069115" cy="108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33</xdr:row>
      <xdr:rowOff>235858</xdr:rowOff>
    </xdr:from>
    <xdr:to>
      <xdr:col>18</xdr:col>
      <xdr:colOff>593271</xdr:colOff>
      <xdr:row>36</xdr:row>
      <xdr:rowOff>47172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755BE29-6612-D741-9F0B-D07EDAD9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5671458"/>
          <a:ext cx="3253015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34</xdr:row>
      <xdr:rowOff>217714</xdr:rowOff>
    </xdr:from>
    <xdr:to>
      <xdr:col>25</xdr:col>
      <xdr:colOff>405302</xdr:colOff>
      <xdr:row>38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4629AAA-259F-D443-8F11-F377D878B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5945414"/>
          <a:ext cx="4269051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37</xdr:row>
      <xdr:rowOff>208643</xdr:rowOff>
    </xdr:from>
    <xdr:to>
      <xdr:col>25</xdr:col>
      <xdr:colOff>351693</xdr:colOff>
      <xdr:row>50</xdr:row>
      <xdr:rowOff>268133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AEBA6BF-C99B-4147-BB46-2B6A23E37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54672" y="6914243"/>
          <a:ext cx="10106228" cy="405999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361460</xdr:colOff>
      <xdr:row>4</xdr:row>
      <xdr:rowOff>19537</xdr:rowOff>
    </xdr:from>
    <xdr:to>
      <xdr:col>22</xdr:col>
      <xdr:colOff>490127</xdr:colOff>
      <xdr:row>18</xdr:row>
      <xdr:rowOff>138723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052D03-2E10-8537-BA41-C60449C4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04768" y="1162537"/>
          <a:ext cx="4612744" cy="4368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18</xdr:row>
      <xdr:rowOff>176590</xdr:rowOff>
    </xdr:from>
    <xdr:to>
      <xdr:col>25</xdr:col>
      <xdr:colOff>297542</xdr:colOff>
      <xdr:row>26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8BAE33-0F01-4A49-B45F-D88E5322D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25DD80-229F-D747-8669-155892EC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17</xdr:row>
      <xdr:rowOff>234151</xdr:rowOff>
    </xdr:from>
    <xdr:to>
      <xdr:col>17</xdr:col>
      <xdr:colOff>816354</xdr:colOff>
      <xdr:row>25</xdr:row>
      <xdr:rowOff>134997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CA18EBC-627F-FE4B-AEE1-C8384004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618951"/>
          <a:ext cx="5091817" cy="2390047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28</xdr:row>
      <xdr:rowOff>235857</xdr:rowOff>
    </xdr:from>
    <xdr:to>
      <xdr:col>21</xdr:col>
      <xdr:colOff>186873</xdr:colOff>
      <xdr:row>32</xdr:row>
      <xdr:rowOff>154216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0935854-C424-D14C-AAA7-6F496819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9036957"/>
          <a:ext cx="5069115" cy="108675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32</xdr:row>
      <xdr:rowOff>235858</xdr:rowOff>
    </xdr:from>
    <xdr:to>
      <xdr:col>18</xdr:col>
      <xdr:colOff>593271</xdr:colOff>
      <xdr:row>35</xdr:row>
      <xdr:rowOff>47171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5E205F3-74A1-DE41-AFFE-0EE3555E3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10205358"/>
          <a:ext cx="3253014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33</xdr:row>
      <xdr:rowOff>217714</xdr:rowOff>
    </xdr:from>
    <xdr:to>
      <xdr:col>25</xdr:col>
      <xdr:colOff>405302</xdr:colOff>
      <xdr:row>37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E4D5FD9-D342-A244-90F3-BA0FFCC003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4793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36</xdr:row>
      <xdr:rowOff>208643</xdr:rowOff>
    </xdr:from>
    <xdr:to>
      <xdr:col>25</xdr:col>
      <xdr:colOff>351693</xdr:colOff>
      <xdr:row>49</xdr:row>
      <xdr:rowOff>268132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3BA992D-A449-AC4A-A179-3EC0E1B4D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448143"/>
          <a:ext cx="10115021" cy="4059990"/>
        </a:xfrm>
        <a:prstGeom prst="rect">
          <a:avLst/>
        </a:prstGeom>
      </xdr:spPr>
    </xdr:pic>
    <xdr:clientData/>
  </xdr:twoCellAnchor>
  <xdr:twoCellAnchor editAs="oneCell">
    <xdr:from>
      <xdr:col>17</xdr:col>
      <xdr:colOff>50242</xdr:colOff>
      <xdr:row>3</xdr:row>
      <xdr:rowOff>287702</xdr:rowOff>
    </xdr:from>
    <xdr:to>
      <xdr:col>22</xdr:col>
      <xdr:colOff>657032</xdr:colOff>
      <xdr:row>17</xdr:row>
      <xdr:rowOff>208644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B0A6C2A-2CE8-C280-D849-A1E6695F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80885" y="1140416"/>
          <a:ext cx="4362361" cy="40937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21</xdr:row>
      <xdr:rowOff>176590</xdr:rowOff>
    </xdr:from>
    <xdr:to>
      <xdr:col>25</xdr:col>
      <xdr:colOff>297542</xdr:colOff>
      <xdr:row>29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5C57E5-544E-2843-AE27-ABBCE727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1BFBF2-1A84-8C44-9CB2-DFF4C726E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20</xdr:row>
      <xdr:rowOff>234151</xdr:rowOff>
    </xdr:from>
    <xdr:to>
      <xdr:col>17</xdr:col>
      <xdr:colOff>816354</xdr:colOff>
      <xdr:row>28</xdr:row>
      <xdr:rowOff>134999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921FB70-1A5A-4549-B06B-2A67353C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618951"/>
          <a:ext cx="5091817" cy="2390047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31</xdr:row>
      <xdr:rowOff>235857</xdr:rowOff>
    </xdr:from>
    <xdr:to>
      <xdr:col>21</xdr:col>
      <xdr:colOff>186873</xdr:colOff>
      <xdr:row>35</xdr:row>
      <xdr:rowOff>154216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F5707F7-8F45-EA43-8A82-441C3D74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9036957"/>
          <a:ext cx="5069115" cy="108675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35</xdr:row>
      <xdr:rowOff>235858</xdr:rowOff>
    </xdr:from>
    <xdr:to>
      <xdr:col>18</xdr:col>
      <xdr:colOff>593271</xdr:colOff>
      <xdr:row>38</xdr:row>
      <xdr:rowOff>47171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AE04419-593C-FC46-B50F-35AD6E988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10205358"/>
          <a:ext cx="3253014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36</xdr:row>
      <xdr:rowOff>217714</xdr:rowOff>
    </xdr:from>
    <xdr:to>
      <xdr:col>25</xdr:col>
      <xdr:colOff>405302</xdr:colOff>
      <xdr:row>40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0A650B3-DF4B-454E-810E-F11DCC8C1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4793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39</xdr:row>
      <xdr:rowOff>208643</xdr:rowOff>
    </xdr:from>
    <xdr:to>
      <xdr:col>25</xdr:col>
      <xdr:colOff>351693</xdr:colOff>
      <xdr:row>52</xdr:row>
      <xdr:rowOff>268131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55A538C-D1ED-DF4F-80C9-C635719F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448143"/>
          <a:ext cx="10115021" cy="4059990"/>
        </a:xfrm>
        <a:prstGeom prst="rect">
          <a:avLst/>
        </a:prstGeom>
      </xdr:spPr>
    </xdr:pic>
    <xdr:clientData/>
  </xdr:twoCellAnchor>
  <xdr:twoCellAnchor editAs="oneCell">
    <xdr:from>
      <xdr:col>16</xdr:col>
      <xdr:colOff>695680</xdr:colOff>
      <xdr:row>4</xdr:row>
      <xdr:rowOff>278060</xdr:rowOff>
    </xdr:from>
    <xdr:to>
      <xdr:col>23</xdr:col>
      <xdr:colOff>308429</xdr:colOff>
      <xdr:row>19</xdr:row>
      <xdr:rowOff>36286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F644C8F4-8076-663D-A805-C3763EAC66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7526" t="6936" r="1363" b="4653"/>
        <a:stretch/>
      </xdr:blipFill>
      <xdr:spPr>
        <a:xfrm>
          <a:off x="11127823" y="1421060"/>
          <a:ext cx="4765320" cy="4330226"/>
        </a:xfrm>
        <a:prstGeom prst="rect">
          <a:avLst/>
        </a:prstGeom>
        <a:ln w="19050">
          <a:solidFill>
            <a:schemeClr val="bg1">
              <a:lumMod val="95000"/>
            </a:schemeClr>
          </a:solidFill>
        </a:ln>
        <a:effectLst>
          <a:outerShdw blurRad="50800" dist="163926" dir="18900000" algn="bl" rotWithShape="0">
            <a:prstClr val="black">
              <a:alpha val="78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19</xdr:row>
      <xdr:rowOff>176590</xdr:rowOff>
    </xdr:from>
    <xdr:to>
      <xdr:col>25</xdr:col>
      <xdr:colOff>297542</xdr:colOff>
      <xdr:row>27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78E4A6-6E82-834C-9DB1-42327C3EF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0C1CA5-E3C1-0E46-A4C3-B1A631182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18</xdr:row>
      <xdr:rowOff>234151</xdr:rowOff>
    </xdr:from>
    <xdr:to>
      <xdr:col>17</xdr:col>
      <xdr:colOff>816354</xdr:colOff>
      <xdr:row>26</xdr:row>
      <xdr:rowOff>134997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2ED951C-85EC-7A42-9CCC-EAA806711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276051"/>
          <a:ext cx="5091817" cy="2390046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29</xdr:row>
      <xdr:rowOff>235857</xdr:rowOff>
    </xdr:from>
    <xdr:to>
      <xdr:col>21</xdr:col>
      <xdr:colOff>186873</xdr:colOff>
      <xdr:row>33</xdr:row>
      <xdr:rowOff>154215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98FF955-E903-0746-A6F9-104219D58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8694057"/>
          <a:ext cx="5069115" cy="1086759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33</xdr:row>
      <xdr:rowOff>235858</xdr:rowOff>
    </xdr:from>
    <xdr:to>
      <xdr:col>18</xdr:col>
      <xdr:colOff>593271</xdr:colOff>
      <xdr:row>36</xdr:row>
      <xdr:rowOff>47171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AB0A46F-35B1-7A4F-AA35-64D9E0015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9862458"/>
          <a:ext cx="3253014" cy="738413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34</xdr:row>
      <xdr:rowOff>217714</xdr:rowOff>
    </xdr:from>
    <xdr:to>
      <xdr:col>25</xdr:col>
      <xdr:colOff>405302</xdr:colOff>
      <xdr:row>38</xdr:row>
      <xdr:rowOff>254000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CA74CC-C9BE-0244-8896-448AC03975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1364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37</xdr:row>
      <xdr:rowOff>208643</xdr:rowOff>
    </xdr:from>
    <xdr:to>
      <xdr:col>25</xdr:col>
      <xdr:colOff>351693</xdr:colOff>
      <xdr:row>50</xdr:row>
      <xdr:rowOff>268132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EA86493-D6B8-0648-B216-76579889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105243"/>
          <a:ext cx="10115021" cy="4059989"/>
        </a:xfrm>
        <a:prstGeom prst="rect">
          <a:avLst/>
        </a:prstGeom>
      </xdr:spPr>
    </xdr:pic>
    <xdr:clientData/>
  </xdr:twoCellAnchor>
  <xdr:twoCellAnchor editAs="oneCell">
    <xdr:from>
      <xdr:col>17</xdr:col>
      <xdr:colOff>362857</xdr:colOff>
      <xdr:row>5</xdr:row>
      <xdr:rowOff>9071</xdr:rowOff>
    </xdr:from>
    <xdr:to>
      <xdr:col>22</xdr:col>
      <xdr:colOff>483674</xdr:colOff>
      <xdr:row>17</xdr:row>
      <xdr:rowOff>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E1964453-95A7-3442-B629-9379CEAD2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37000"/>
                  </a14:imgEffect>
                  <a14:imgEffect>
                    <a14:colorTemperature colorTemp="3059"/>
                  </a14:imgEffect>
                  <a14:imgEffect>
                    <a14:saturation sat="185000"/>
                  </a14:imgEffect>
                  <a14:imgEffect>
                    <a14:brightnessContrast bright="52000" contrast="78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493500" y="1442357"/>
          <a:ext cx="3876388" cy="35832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20</xdr:row>
      <xdr:rowOff>176590</xdr:rowOff>
    </xdr:from>
    <xdr:to>
      <xdr:col>25</xdr:col>
      <xdr:colOff>297542</xdr:colOff>
      <xdr:row>28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02CF3-9FCC-9848-963D-01CE8D66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AC27DD-967F-FE4D-9361-C0990377F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19</xdr:row>
      <xdr:rowOff>234151</xdr:rowOff>
    </xdr:from>
    <xdr:to>
      <xdr:col>17</xdr:col>
      <xdr:colOff>816354</xdr:colOff>
      <xdr:row>27</xdr:row>
      <xdr:rowOff>134997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39F3419-84C3-5A41-ADBE-42ECF37C9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618951"/>
          <a:ext cx="5091817" cy="2390047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30</xdr:row>
      <xdr:rowOff>235857</xdr:rowOff>
    </xdr:from>
    <xdr:to>
      <xdr:col>21</xdr:col>
      <xdr:colOff>186873</xdr:colOff>
      <xdr:row>34</xdr:row>
      <xdr:rowOff>154216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F51CB99-C017-444D-B66B-866992A49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9036957"/>
          <a:ext cx="5069115" cy="108675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34</xdr:row>
      <xdr:rowOff>235858</xdr:rowOff>
    </xdr:from>
    <xdr:to>
      <xdr:col>18</xdr:col>
      <xdr:colOff>593271</xdr:colOff>
      <xdr:row>37</xdr:row>
      <xdr:rowOff>47171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0F83FA0-0ACC-864F-B3FF-861A3ABC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10205358"/>
          <a:ext cx="3253014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35</xdr:row>
      <xdr:rowOff>217714</xdr:rowOff>
    </xdr:from>
    <xdr:to>
      <xdr:col>25</xdr:col>
      <xdr:colOff>405302</xdr:colOff>
      <xdr:row>39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F75367B-E374-854C-A0DE-4B11D64CE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4793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38</xdr:row>
      <xdr:rowOff>208643</xdr:rowOff>
    </xdr:from>
    <xdr:to>
      <xdr:col>25</xdr:col>
      <xdr:colOff>351693</xdr:colOff>
      <xdr:row>51</xdr:row>
      <xdr:rowOff>268132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DE00AAE-5CAF-7E46-9A5C-11C8E476E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448143"/>
          <a:ext cx="10115021" cy="4059990"/>
        </a:xfrm>
        <a:prstGeom prst="rect">
          <a:avLst/>
        </a:prstGeom>
      </xdr:spPr>
    </xdr:pic>
    <xdr:clientData/>
  </xdr:twoCellAnchor>
  <xdr:twoCellAnchor editAs="oneCell">
    <xdr:from>
      <xdr:col>17</xdr:col>
      <xdr:colOff>217715</xdr:colOff>
      <xdr:row>5</xdr:row>
      <xdr:rowOff>208643</xdr:rowOff>
    </xdr:from>
    <xdr:to>
      <xdr:col>21</xdr:col>
      <xdr:colOff>644074</xdr:colOff>
      <xdr:row>17</xdr:row>
      <xdr:rowOff>154216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9408B76-C403-FD50-1244-32D22E4A2A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38000"/>
                  </a14:imgEffect>
                  <a14:imgEffect>
                    <a14:colorTemperature colorTemp="4461"/>
                  </a14:imgEffect>
                  <a14:imgEffect>
                    <a14:saturation sat="331000"/>
                  </a14:imgEffect>
                  <a14:imgEffect>
                    <a14:brightnessContrast bright="70000" contrast="62000"/>
                  </a14:imgEffect>
                </a14:imgLayer>
              </a14:imgProps>
            </a:ext>
          </a:extLst>
        </a:blip>
        <a:srcRect l="13305" t="5640" r="9605" b="9761"/>
        <a:stretch/>
      </xdr:blipFill>
      <xdr:spPr>
        <a:xfrm>
          <a:off x="11348358" y="1641929"/>
          <a:ext cx="3483430" cy="353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C8F2-C30C-5A4A-8EC4-D52F58782D34}">
  <dimension ref="B1:L43"/>
  <sheetViews>
    <sheetView topLeftCell="A4" zoomScale="140" zoomScaleNormal="140" workbookViewId="0">
      <pane xSplit="25" topLeftCell="Z1" activePane="topRight" state="frozen"/>
      <selection pane="topRight" activeCell="A37" sqref="A37:XFD38"/>
    </sheetView>
  </sheetViews>
  <sheetFormatPr baseColWidth="10" defaultRowHeight="16" x14ac:dyDescent="0.2"/>
  <cols>
    <col min="1" max="1" width="3.5" style="1" customWidth="1"/>
    <col min="2" max="2" width="4.1640625" style="1" customWidth="1"/>
    <col min="3" max="3" width="12.5" style="1" customWidth="1"/>
    <col min="4" max="4" width="5.6640625" style="1" customWidth="1"/>
    <col min="5" max="5" width="4.83203125" style="1" customWidth="1"/>
    <col min="6" max="6" width="31.83203125" style="1" customWidth="1"/>
    <col min="7" max="11" width="27.6640625" style="1" customWidth="1"/>
    <col min="12" max="12" width="4.33203125" style="1" customWidth="1"/>
    <col min="13" max="16384" width="10.83203125" style="1"/>
  </cols>
  <sheetData>
    <row r="1" spans="2:12" ht="17" thickBot="1" x14ac:dyDescent="0.25"/>
    <row r="2" spans="2:12" ht="17" thickTop="1" x14ac:dyDescent="0.2"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spans="2:12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3" x14ac:dyDescent="0.25">
      <c r="B4" s="9"/>
      <c r="C4" s="12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2:12" x14ac:dyDescent="0.2">
      <c r="B6" s="9"/>
      <c r="C6" s="13" t="s">
        <v>0</v>
      </c>
      <c r="D6" s="10"/>
      <c r="E6" s="10"/>
      <c r="F6" s="10"/>
      <c r="G6" s="10"/>
      <c r="H6" s="10"/>
      <c r="I6" s="10"/>
      <c r="J6" s="10"/>
      <c r="K6" s="10"/>
      <c r="L6" s="11"/>
    </row>
    <row r="7" spans="2:12" x14ac:dyDescent="0.2">
      <c r="B7" s="9"/>
      <c r="C7" s="13" t="s">
        <v>1</v>
      </c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spans="2:12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2:12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2:12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2:12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2:12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2:12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2:12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2:12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2:12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1"/>
    </row>
    <row r="21" spans="2:12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2:12" ht="18" x14ac:dyDescent="0.2">
      <c r="B22" s="9"/>
      <c r="C22" s="14" t="s">
        <v>2</v>
      </c>
      <c r="D22" s="10"/>
      <c r="E22" s="10"/>
      <c r="F22" s="10"/>
      <c r="G22" s="10"/>
      <c r="H22" s="10"/>
      <c r="I22" s="10"/>
      <c r="J22" s="10"/>
      <c r="K22" s="10"/>
      <c r="L22" s="11"/>
    </row>
    <row r="23" spans="2:12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2:12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2:12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2:12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 ht="33" x14ac:dyDescent="0.35">
      <c r="B27" s="9"/>
      <c r="C27" s="12" t="s">
        <v>3</v>
      </c>
      <c r="D27" s="10"/>
      <c r="E27" s="15" t="s">
        <v>82</v>
      </c>
      <c r="F27" s="16"/>
      <c r="G27" s="10"/>
      <c r="H27" s="10"/>
      <c r="I27" s="10"/>
      <c r="J27" s="10"/>
      <c r="K27" s="10"/>
      <c r="L27" s="11"/>
    </row>
    <row r="28" spans="2:12" ht="10" customHeight="1" x14ac:dyDescent="0.25">
      <c r="B28" s="9"/>
      <c r="C28" s="10"/>
      <c r="D28" s="10"/>
      <c r="E28" s="16"/>
      <c r="F28" s="16"/>
      <c r="G28" s="10"/>
      <c r="H28" s="10"/>
      <c r="I28" s="10"/>
      <c r="J28" s="10"/>
      <c r="K28" s="10"/>
      <c r="L28" s="11"/>
    </row>
    <row r="29" spans="2:12" ht="19" customHeight="1" x14ac:dyDescent="0.2">
      <c r="B29" s="9"/>
      <c r="C29" s="10"/>
      <c r="D29" s="10"/>
      <c r="E29" s="10"/>
      <c r="F29" s="17" t="s">
        <v>111</v>
      </c>
      <c r="G29" s="10"/>
      <c r="H29" s="10"/>
      <c r="I29" s="10"/>
      <c r="J29" s="10"/>
      <c r="K29" s="10"/>
      <c r="L29" s="11"/>
    </row>
    <row r="30" spans="2:12" ht="19" customHeight="1" x14ac:dyDescent="0.2">
      <c r="B30" s="9"/>
      <c r="C30" s="10"/>
      <c r="D30" s="10"/>
      <c r="E30" s="10"/>
      <c r="F30" s="10" t="s">
        <v>110</v>
      </c>
      <c r="G30" s="10"/>
      <c r="H30" s="10"/>
      <c r="I30" s="10"/>
      <c r="J30" s="10"/>
      <c r="K30" s="10"/>
      <c r="L30" s="11"/>
    </row>
    <row r="31" spans="2:12" ht="19" customHeight="1" x14ac:dyDescent="0.2">
      <c r="B31" s="9"/>
      <c r="C31" s="10"/>
      <c r="D31" s="10"/>
      <c r="E31" s="10"/>
      <c r="F31" s="17" t="s">
        <v>83</v>
      </c>
      <c r="G31" s="10"/>
      <c r="H31" s="10"/>
      <c r="I31" s="10"/>
      <c r="J31" s="10"/>
      <c r="K31" s="10"/>
      <c r="L31" s="11"/>
    </row>
    <row r="32" spans="2:12" ht="19" customHeight="1" x14ac:dyDescent="0.2">
      <c r="B32" s="9"/>
      <c r="C32" s="10"/>
      <c r="D32" s="10"/>
      <c r="E32" s="10"/>
      <c r="F32" s="17" t="s">
        <v>150</v>
      </c>
      <c r="G32" s="10"/>
      <c r="H32" s="10"/>
      <c r="I32" s="10"/>
      <c r="J32" s="10"/>
      <c r="K32" s="10"/>
      <c r="L32" s="11"/>
    </row>
    <row r="33" spans="2:12" ht="19" customHeight="1" x14ac:dyDescent="0.2">
      <c r="B33" s="9"/>
      <c r="C33" s="10"/>
      <c r="D33" s="10"/>
      <c r="E33" s="10"/>
      <c r="F33" s="17" t="s">
        <v>149</v>
      </c>
      <c r="G33" s="10"/>
      <c r="H33" s="10"/>
      <c r="I33" s="10"/>
      <c r="J33" s="10"/>
      <c r="K33" s="10"/>
      <c r="L33" s="11"/>
    </row>
    <row r="34" spans="2:12" ht="19" customHeight="1" x14ac:dyDescent="0.2">
      <c r="B34" s="9"/>
      <c r="C34" s="10"/>
      <c r="D34" s="10"/>
      <c r="E34" s="10"/>
      <c r="F34" s="10" t="s">
        <v>110</v>
      </c>
      <c r="G34" s="10"/>
      <c r="H34" s="10"/>
      <c r="I34" s="10"/>
      <c r="J34" s="10"/>
      <c r="K34" s="10"/>
      <c r="L34" s="11"/>
    </row>
    <row r="35" spans="2:12" ht="19" customHeight="1" x14ac:dyDescent="0.2">
      <c r="B35" s="9"/>
      <c r="C35" s="10"/>
      <c r="D35" s="10"/>
      <c r="E35" s="10"/>
      <c r="F35" s="17" t="s">
        <v>185</v>
      </c>
      <c r="G35" s="10"/>
      <c r="H35" s="10"/>
      <c r="I35" s="10"/>
      <c r="J35" s="10"/>
      <c r="K35" s="10"/>
      <c r="L35" s="11"/>
    </row>
    <row r="36" spans="2:12" ht="19" customHeight="1" x14ac:dyDescent="0.2">
      <c r="B36" s="9"/>
      <c r="C36" s="10"/>
      <c r="D36" s="10"/>
      <c r="E36" s="10"/>
      <c r="F36" s="17" t="s">
        <v>186</v>
      </c>
      <c r="G36" s="10"/>
      <c r="H36" s="10"/>
      <c r="I36" s="10"/>
      <c r="J36" s="10"/>
      <c r="K36" s="10"/>
      <c r="L36" s="11"/>
    </row>
    <row r="37" spans="2:12" ht="19" customHeight="1" x14ac:dyDescent="0.2">
      <c r="B37" s="9"/>
      <c r="C37" s="10"/>
      <c r="D37" s="10"/>
      <c r="E37" s="10"/>
      <c r="F37" s="17"/>
      <c r="G37" s="10"/>
      <c r="H37" s="10"/>
      <c r="I37" s="10"/>
      <c r="J37" s="10"/>
      <c r="K37" s="10"/>
      <c r="L37" s="11"/>
    </row>
    <row r="38" spans="2:12" ht="18" customHeight="1" x14ac:dyDescent="0.2">
      <c r="B38" s="9"/>
      <c r="C38" s="10" t="s">
        <v>184</v>
      </c>
      <c r="D38" s="10"/>
      <c r="E38" s="10"/>
      <c r="F38" s="17"/>
      <c r="G38" s="10"/>
      <c r="H38" s="10"/>
      <c r="I38" s="10"/>
      <c r="J38" s="10"/>
      <c r="K38" s="10"/>
      <c r="L38" s="11"/>
    </row>
    <row r="39" spans="2:12" x14ac:dyDescent="0.2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1"/>
    </row>
    <row r="40" spans="2:12" x14ac:dyDescent="0.2">
      <c r="B40" s="9"/>
      <c r="C40" s="18"/>
      <c r="D40" s="10"/>
      <c r="E40" s="10"/>
      <c r="F40" s="10"/>
      <c r="G40" s="10"/>
      <c r="H40" s="10"/>
      <c r="I40" s="10"/>
      <c r="J40" s="10"/>
      <c r="K40" s="10"/>
      <c r="L40" s="11"/>
    </row>
    <row r="41" spans="2:12" x14ac:dyDescent="0.2">
      <c r="B41" s="9"/>
      <c r="C41" s="19" t="s">
        <v>4</v>
      </c>
      <c r="D41" s="10"/>
      <c r="E41" s="10"/>
      <c r="F41" s="10"/>
      <c r="G41" s="10"/>
      <c r="H41" s="10"/>
      <c r="I41" s="10"/>
      <c r="J41" s="10"/>
      <c r="K41" s="10"/>
      <c r="L41" s="11"/>
    </row>
    <row r="42" spans="2:12" ht="17" thickBot="1" x14ac:dyDescent="0.25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2"/>
    </row>
    <row r="43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EB2D-0E7F-B845-97BA-A4A7F92313DA}">
  <dimension ref="B2:U4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1640625" style="1" customWidth="1"/>
    <col min="2" max="2" width="4.1640625" style="1" customWidth="1"/>
    <col min="3" max="3" width="10.83203125" style="103"/>
    <col min="4" max="4" width="15.1640625" style="103" customWidth="1"/>
    <col min="5" max="5" width="10.83203125" style="103"/>
    <col min="6" max="6" width="10.83203125" style="1"/>
    <col min="7" max="7" width="11.6640625" style="1" customWidth="1"/>
    <col min="8" max="8" width="11.83203125" style="1" bestFit="1" customWidth="1"/>
    <col min="9" max="16384" width="10.83203125" style="1"/>
  </cols>
  <sheetData>
    <row r="2" spans="2:21" x14ac:dyDescent="0.2">
      <c r="B2" s="101"/>
      <c r="C2" s="102"/>
      <c r="D2" s="102"/>
      <c r="E2" s="102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3" spans="2:21" ht="28" x14ac:dyDescent="0.2">
      <c r="B3" s="101"/>
      <c r="C3" s="4" t="s">
        <v>113</v>
      </c>
      <c r="D3" s="4"/>
      <c r="E3" s="4"/>
      <c r="F3" s="4"/>
      <c r="G3" s="76"/>
      <c r="H3" s="55"/>
      <c r="I3" s="88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</row>
    <row r="4" spans="2:21" x14ac:dyDescent="0.2">
      <c r="B4" s="101"/>
      <c r="C4" s="102"/>
      <c r="D4" s="102"/>
      <c r="E4" s="102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x14ac:dyDescent="0.2">
      <c r="B5" s="101"/>
      <c r="C5" s="102"/>
      <c r="D5" s="102"/>
      <c r="E5" s="102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2:21" ht="23" x14ac:dyDescent="0.25">
      <c r="B6" s="101"/>
      <c r="C6" s="104" t="s">
        <v>115</v>
      </c>
      <c r="D6" s="105"/>
      <c r="E6" s="105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2:21" x14ac:dyDescent="0.2">
      <c r="B7" s="101"/>
      <c r="C7" s="102"/>
      <c r="D7" s="102"/>
      <c r="E7" s="102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</row>
    <row r="8" spans="2:21" x14ac:dyDescent="0.2">
      <c r="B8" s="101"/>
      <c r="C8" s="102"/>
      <c r="D8" s="102" t="s">
        <v>85</v>
      </c>
      <c r="E8" s="102">
        <v>110</v>
      </c>
      <c r="F8" s="101" t="s">
        <v>29</v>
      </c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</row>
    <row r="9" spans="2:21" x14ac:dyDescent="0.2">
      <c r="B9" s="101"/>
      <c r="C9" s="102"/>
      <c r="D9" s="102"/>
      <c r="E9" s="102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</row>
    <row r="10" spans="2:21" x14ac:dyDescent="0.2">
      <c r="B10" s="101"/>
      <c r="C10" s="102"/>
      <c r="D10" s="102"/>
      <c r="E10" s="101" t="s">
        <v>90</v>
      </c>
      <c r="F10" s="1">
        <v>541.93345087277214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</row>
    <row r="11" spans="2:21" x14ac:dyDescent="0.2">
      <c r="B11" s="101"/>
      <c r="C11" s="102"/>
      <c r="D11" s="102"/>
      <c r="E11" s="101" t="s">
        <v>89</v>
      </c>
      <c r="F11" s="1">
        <v>0.17994191272575752</v>
      </c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</row>
    <row r="12" spans="2:21" x14ac:dyDescent="0.2">
      <c r="B12" s="101"/>
      <c r="C12" s="102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</row>
    <row r="13" spans="2:21" x14ac:dyDescent="0.2">
      <c r="B13" s="101"/>
      <c r="C13" s="102" t="s">
        <v>91</v>
      </c>
      <c r="D13" s="102" t="s">
        <v>86</v>
      </c>
      <c r="E13" s="102" t="s">
        <v>87</v>
      </c>
      <c r="F13" s="102" t="s">
        <v>88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</row>
    <row r="14" spans="2:21" x14ac:dyDescent="0.2">
      <c r="B14" s="101"/>
      <c r="C14" s="102">
        <v>1</v>
      </c>
      <c r="D14" s="102">
        <f xml:space="preserve"> 1 / E8</f>
        <v>9.0909090909090905E-3</v>
      </c>
      <c r="E14" s="102">
        <v>1261</v>
      </c>
      <c r="F14" s="102">
        <f>F$10 *  POWER(D14, -F$11)</f>
        <v>1262.6356959116997</v>
      </c>
      <c r="G14" s="101"/>
      <c r="H14" s="101">
        <f>(E14-F14)*(E14-F14)</f>
        <v>2.6755011155511559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2:21" x14ac:dyDescent="0.2">
      <c r="B15" s="101"/>
      <c r="C15" s="102">
        <v>2.5299999999999998</v>
      </c>
      <c r="D15" s="102">
        <f xml:space="preserve"> 2.523 /E8</f>
        <v>2.2936363636363637E-2</v>
      </c>
      <c r="E15" s="102">
        <v>1072</v>
      </c>
      <c r="F15" s="102">
        <f t="shared" ref="F15:F16" si="0">F$10 *  POWER(D15, -F$11)</f>
        <v>1068.9473236621766</v>
      </c>
      <c r="G15" s="101"/>
      <c r="H15" s="101">
        <f t="shared" ref="H15:H16" si="1">(E15-F15)*(E15-F15)</f>
        <v>9.318832823506968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2:21" x14ac:dyDescent="0.2">
      <c r="B16" s="101"/>
      <c r="C16" s="102">
        <v>12.5</v>
      </c>
      <c r="D16" s="102">
        <f xml:space="preserve"> 12.5 / E8</f>
        <v>0.11363636363636363</v>
      </c>
      <c r="E16" s="102">
        <v>800</v>
      </c>
      <c r="F16" s="102">
        <f t="shared" si="0"/>
        <v>801.48975845942914</v>
      </c>
      <c r="G16" s="101"/>
      <c r="H16" s="101">
        <f t="shared" si="1"/>
        <v>2.2193802674406853</v>
      </c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21" x14ac:dyDescent="0.2">
      <c r="B17" s="101"/>
      <c r="C17" s="102"/>
      <c r="D17" s="102"/>
      <c r="E17" s="102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</row>
    <row r="18" spans="2:21" x14ac:dyDescent="0.2">
      <c r="B18" s="101"/>
      <c r="C18" s="102"/>
      <c r="D18" s="102"/>
      <c r="E18" s="102"/>
      <c r="F18" s="101"/>
      <c r="G18" s="101" t="s">
        <v>116</v>
      </c>
      <c r="H18" s="1">
        <f>SUM(H14:H17)</f>
        <v>14.213714206498809</v>
      </c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21" x14ac:dyDescent="0.2">
      <c r="B19" s="101"/>
      <c r="C19" s="102">
        <v>1.5</v>
      </c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</row>
    <row r="20" spans="2:21" x14ac:dyDescent="0.2">
      <c r="B20" s="101"/>
      <c r="C20" s="102" t="s">
        <v>92</v>
      </c>
      <c r="D20" s="102"/>
      <c r="E20" s="102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21" x14ac:dyDescent="0.2">
      <c r="B21" s="101"/>
      <c r="C21" s="102">
        <v>10</v>
      </c>
      <c r="D21" s="102"/>
      <c r="E21" s="102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21" x14ac:dyDescent="0.2">
      <c r="B22" s="101"/>
      <c r="C22" s="102" t="s">
        <v>91</v>
      </c>
      <c r="D22" s="102" t="s">
        <v>86</v>
      </c>
      <c r="E22" s="102"/>
      <c r="F22" s="102" t="s">
        <v>114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21" x14ac:dyDescent="0.2">
      <c r="B23" s="101"/>
      <c r="C23" s="102">
        <v>1E-3</v>
      </c>
      <c r="D23" s="102">
        <f>C23/C$21</f>
        <v>1E-4</v>
      </c>
      <c r="E23" s="102"/>
      <c r="F23" s="102">
        <f>F$10 *  POWER(D23, -F$11)</f>
        <v>2842.5859792432229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21" x14ac:dyDescent="0.2">
      <c r="B24" s="101"/>
      <c r="C24" s="102">
        <f>C23*C$19</f>
        <v>1.5E-3</v>
      </c>
      <c r="D24" s="102">
        <f t="shared" ref="D24:D43" si="2">C24/C$21</f>
        <v>1.5000000000000001E-4</v>
      </c>
      <c r="E24" s="102"/>
      <c r="F24" s="102">
        <f t="shared" ref="F24:F35" si="3">F$10 *  POWER(D24, -F$11)</f>
        <v>2642.5755450843494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21" x14ac:dyDescent="0.2">
      <c r="B25" s="101"/>
      <c r="C25" s="102">
        <f t="shared" ref="C25:C43" si="4">C24*C$19</f>
        <v>2.2500000000000003E-3</v>
      </c>
      <c r="D25" s="102">
        <f t="shared" si="2"/>
        <v>2.2500000000000002E-4</v>
      </c>
      <c r="E25" s="102"/>
      <c r="F25" s="102">
        <f t="shared" si="3"/>
        <v>2456.638273202549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21" x14ac:dyDescent="0.2">
      <c r="B26" s="101"/>
      <c r="C26" s="102">
        <f t="shared" si="4"/>
        <v>3.3750000000000004E-3</v>
      </c>
      <c r="D26" s="102">
        <f t="shared" si="2"/>
        <v>3.3750000000000002E-4</v>
      </c>
      <c r="E26" s="102"/>
      <c r="F26" s="102">
        <f t="shared" si="3"/>
        <v>2283.7839457758864</v>
      </c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21" x14ac:dyDescent="0.2">
      <c r="B27" s="101"/>
      <c r="C27" s="102">
        <f t="shared" si="4"/>
        <v>5.062500000000001E-3</v>
      </c>
      <c r="D27" s="102">
        <f t="shared" si="2"/>
        <v>5.0625000000000008E-4</v>
      </c>
      <c r="E27" s="102"/>
      <c r="F27" s="102">
        <f t="shared" si="3"/>
        <v>2123.0920188279779</v>
      </c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21" x14ac:dyDescent="0.2">
      <c r="B28" s="101"/>
      <c r="C28" s="102">
        <f t="shared" si="4"/>
        <v>7.5937500000000015E-3</v>
      </c>
      <c r="D28" s="102">
        <f t="shared" si="2"/>
        <v>7.5937500000000018E-4</v>
      </c>
      <c r="E28" s="102"/>
      <c r="F28" s="102">
        <f t="shared" si="3"/>
        <v>1973.7067198270747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21" x14ac:dyDescent="0.2">
      <c r="B29" s="101"/>
      <c r="C29" s="102">
        <f t="shared" si="4"/>
        <v>1.1390625000000001E-2</v>
      </c>
      <c r="D29" s="102">
        <f t="shared" si="2"/>
        <v>1.1390625000000001E-3</v>
      </c>
      <c r="E29" s="102"/>
      <c r="F29" s="102">
        <f t="shared" si="3"/>
        <v>1834.8324902285751</v>
      </c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21" x14ac:dyDescent="0.2">
      <c r="B30" s="101"/>
      <c r="C30" s="102">
        <f t="shared" si="4"/>
        <v>1.7085937500000002E-2</v>
      </c>
      <c r="D30" s="102">
        <f t="shared" si="2"/>
        <v>1.7085937500000003E-3</v>
      </c>
      <c r="E30" s="102"/>
      <c r="F30" s="102">
        <f t="shared" si="3"/>
        <v>1705.729748689997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21" x14ac:dyDescent="0.2">
      <c r="B31" s="101"/>
      <c r="C31" s="102">
        <f t="shared" si="4"/>
        <v>2.5628906250000003E-2</v>
      </c>
      <c r="D31" s="102">
        <f t="shared" si="2"/>
        <v>2.5628906250000005E-3</v>
      </c>
      <c r="E31" s="102"/>
      <c r="F31" s="102">
        <f t="shared" si="3"/>
        <v>1585.7109523952158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21" x14ac:dyDescent="0.2">
      <c r="B32" s="101"/>
      <c r="C32" s="102">
        <f t="shared" si="4"/>
        <v>3.8443359375000007E-2</v>
      </c>
      <c r="D32" s="102">
        <f t="shared" si="2"/>
        <v>3.8443359375000007E-3</v>
      </c>
      <c r="E32" s="102"/>
      <c r="F32" s="102">
        <f t="shared" si="3"/>
        <v>1474.1369355123616</v>
      </c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 x14ac:dyDescent="0.2">
      <c r="B33" s="101"/>
      <c r="C33" s="102">
        <f t="shared" si="4"/>
        <v>5.7665039062500006E-2</v>
      </c>
      <c r="D33" s="102">
        <f t="shared" si="2"/>
        <v>5.7665039062500005E-3</v>
      </c>
      <c r="E33" s="102"/>
      <c r="F33" s="102">
        <f t="shared" si="3"/>
        <v>1370.4135052856514</v>
      </c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 x14ac:dyDescent="0.2">
      <c r="B34" s="101"/>
      <c r="C34" s="102">
        <f t="shared" si="4"/>
        <v>8.649755859375001E-2</v>
      </c>
      <c r="D34" s="102">
        <f t="shared" si="2"/>
        <v>8.6497558593750003E-3</v>
      </c>
      <c r="E34" s="102"/>
      <c r="F34" s="102">
        <f t="shared" si="3"/>
        <v>1273.9882776334912</v>
      </c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 x14ac:dyDescent="0.2">
      <c r="B35" s="101"/>
      <c r="C35" s="102">
        <f t="shared" si="4"/>
        <v>0.12974633789062501</v>
      </c>
      <c r="D35" s="102">
        <f t="shared" si="2"/>
        <v>1.29746337890625E-2</v>
      </c>
      <c r="E35" s="102"/>
      <c r="F35" s="102">
        <f t="shared" si="3"/>
        <v>1184.3477354006654</v>
      </c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 x14ac:dyDescent="0.2">
      <c r="B36" s="101"/>
      <c r="C36" s="102">
        <f t="shared" si="4"/>
        <v>0.19461950683593751</v>
      </c>
      <c r="D36" s="102">
        <f t="shared" si="2"/>
        <v>1.946195068359375E-2</v>
      </c>
      <c r="E36" s="102"/>
      <c r="F36" s="102">
        <f t="shared" ref="F36:F43" si="5">F$10 *  POWER(D36, -F$11)</f>
        <v>1101.0144935982025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 x14ac:dyDescent="0.2">
      <c r="B37" s="101"/>
      <c r="C37" s="102">
        <f t="shared" si="4"/>
        <v>0.29192926025390625</v>
      </c>
      <c r="D37" s="102">
        <f t="shared" si="2"/>
        <v>2.9192926025390625E-2</v>
      </c>
      <c r="E37" s="102"/>
      <c r="F37" s="102">
        <f t="shared" si="5"/>
        <v>1023.5447570668149</v>
      </c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 x14ac:dyDescent="0.2">
      <c r="B38" s="101"/>
      <c r="C38" s="102">
        <f t="shared" si="4"/>
        <v>0.43789389038085935</v>
      </c>
      <c r="D38" s="102">
        <f t="shared" si="2"/>
        <v>4.3789389038085935E-2</v>
      </c>
      <c r="E38" s="102"/>
      <c r="F38" s="102">
        <f t="shared" si="5"/>
        <v>951.52595702458211</v>
      </c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 x14ac:dyDescent="0.2">
      <c r="B39" s="101"/>
      <c r="C39" s="102">
        <f t="shared" si="4"/>
        <v>0.65684083557128903</v>
      </c>
      <c r="D39" s="102">
        <f t="shared" si="2"/>
        <v>6.5684083557128903E-2</v>
      </c>
      <c r="E39" s="102"/>
      <c r="F39" s="102">
        <f t="shared" si="5"/>
        <v>884.57455391219787</v>
      </c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 x14ac:dyDescent="0.2">
      <c r="B40" s="101"/>
      <c r="C40" s="102">
        <f t="shared" si="4"/>
        <v>0.9852612533569336</v>
      </c>
      <c r="D40" s="102">
        <f t="shared" si="2"/>
        <v>9.8526125335693354E-2</v>
      </c>
      <c r="E40" s="102"/>
      <c r="F40" s="102">
        <f t="shared" si="5"/>
        <v>822.33399483472965</v>
      </c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 x14ac:dyDescent="0.2">
      <c r="B41" s="101"/>
      <c r="C41" s="102">
        <f t="shared" si="4"/>
        <v>1.4778918800354004</v>
      </c>
      <c r="D41" s="102">
        <f t="shared" si="2"/>
        <v>0.14778918800354005</v>
      </c>
      <c r="E41" s="102"/>
      <c r="F41" s="102">
        <f t="shared" si="5"/>
        <v>764.47281472214661</v>
      </c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 x14ac:dyDescent="0.2">
      <c r="B42" s="101"/>
      <c r="C42" s="102">
        <f t="shared" si="4"/>
        <v>2.2168378200531005</v>
      </c>
      <c r="D42" s="102">
        <f t="shared" si="2"/>
        <v>0.22168378200531005</v>
      </c>
      <c r="E42" s="102"/>
      <c r="F42" s="102">
        <f t="shared" si="5"/>
        <v>710.68287109625862</v>
      </c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 x14ac:dyDescent="0.2">
      <c r="B43" s="101"/>
      <c r="C43" s="102">
        <f t="shared" si="4"/>
        <v>3.3252567300796505</v>
      </c>
      <c r="D43" s="102">
        <f t="shared" si="2"/>
        <v>0.33252567300796504</v>
      </c>
      <c r="E43" s="102"/>
      <c r="F43" s="102">
        <f t="shared" si="5"/>
        <v>660.67770304323096</v>
      </c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 x14ac:dyDescent="0.2">
      <c r="B44" s="101"/>
      <c r="C44" s="102"/>
      <c r="D44" s="102"/>
      <c r="E44" s="102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FB68-4961-1446-A746-498684D39D12}">
  <dimension ref="B4:AH21"/>
  <sheetViews>
    <sheetView topLeftCell="B1" zoomScale="220" zoomScaleNormal="220" workbookViewId="0">
      <selection activeCell="BF2" sqref="BF2"/>
    </sheetView>
  </sheetViews>
  <sheetFormatPr baseColWidth="10" defaultRowHeight="16" x14ac:dyDescent="0.2"/>
  <cols>
    <col min="1" max="1" width="2.5" style="108" customWidth="1"/>
    <col min="2" max="2" width="13.1640625" style="108" customWidth="1"/>
    <col min="3" max="3" width="6.6640625" style="108" customWidth="1"/>
    <col min="4" max="4" width="1.33203125" style="108" customWidth="1"/>
    <col min="5" max="5" width="7" style="108" customWidth="1"/>
    <col min="6" max="8" width="8.83203125" style="108" customWidth="1"/>
    <col min="9" max="9" width="6.83203125" style="108" customWidth="1"/>
    <col min="10" max="10" width="2.1640625" style="108" customWidth="1"/>
    <col min="11" max="11" width="7" style="108" customWidth="1"/>
    <col min="12" max="14" width="8.83203125" style="108" customWidth="1"/>
    <col min="15" max="15" width="6.83203125" style="108" customWidth="1"/>
    <col min="16" max="16" width="2" style="108" customWidth="1"/>
    <col min="17" max="17" width="7" style="108" customWidth="1"/>
    <col min="18" max="20" width="8.83203125" style="108" customWidth="1"/>
    <col min="21" max="21" width="6.83203125" style="108" customWidth="1"/>
    <col min="22" max="22" width="2.5" style="108" customWidth="1"/>
    <col min="23" max="25" width="8.5" style="108" customWidth="1"/>
    <col min="26" max="26" width="2.83203125" style="108" customWidth="1"/>
    <col min="27" max="27" width="8.83203125" style="108" customWidth="1"/>
    <col min="28" max="29" width="10.83203125" style="108"/>
    <col min="30" max="30" width="2.6640625" style="108" customWidth="1"/>
    <col min="31" max="31" width="8.83203125" style="108" customWidth="1"/>
    <col min="32" max="16384" width="10.83203125" style="108"/>
  </cols>
  <sheetData>
    <row r="4" spans="2:34" s="114" customFormat="1" ht="24" x14ac:dyDescent="0.3">
      <c r="B4" s="113" t="s">
        <v>148</v>
      </c>
      <c r="W4" s="113" t="s">
        <v>171</v>
      </c>
    </row>
    <row r="6" spans="2:34" s="109" customFormat="1" ht="19" x14ac:dyDescent="0.25">
      <c r="E6" s="110" t="s">
        <v>162</v>
      </c>
      <c r="F6" s="110"/>
      <c r="G6" s="110"/>
      <c r="H6" s="110"/>
      <c r="I6" s="110"/>
      <c r="K6" s="111" t="s">
        <v>154</v>
      </c>
      <c r="L6" s="111"/>
      <c r="M6" s="111"/>
      <c r="N6" s="111"/>
      <c r="O6" s="111"/>
      <c r="Q6" s="112" t="s">
        <v>164</v>
      </c>
      <c r="R6" s="112"/>
      <c r="S6" s="112"/>
      <c r="T6" s="112"/>
      <c r="U6" s="112"/>
      <c r="W6" s="117" t="s">
        <v>179</v>
      </c>
      <c r="X6" s="117"/>
      <c r="Y6" s="117"/>
      <c r="AA6" s="119" t="s">
        <v>172</v>
      </c>
      <c r="AB6" s="119"/>
      <c r="AC6" s="119"/>
      <c r="AD6" s="119"/>
      <c r="AE6" s="119"/>
      <c r="AF6" s="119"/>
      <c r="AG6" s="119"/>
      <c r="AH6" s="119"/>
    </row>
    <row r="7" spans="2:34" s="107" customFormat="1" ht="51" customHeight="1" x14ac:dyDescent="0.2">
      <c r="B7" s="107" t="s">
        <v>156</v>
      </c>
      <c r="C7" s="107" t="s">
        <v>151</v>
      </c>
      <c r="E7" s="107" t="s">
        <v>161</v>
      </c>
      <c r="F7" s="107" t="s">
        <v>96</v>
      </c>
      <c r="G7" s="107" t="s">
        <v>163</v>
      </c>
      <c r="H7" s="107" t="s">
        <v>160</v>
      </c>
      <c r="I7" s="107" t="s">
        <v>152</v>
      </c>
      <c r="K7" s="107" t="s">
        <v>161</v>
      </c>
      <c r="L7" s="107" t="s">
        <v>96</v>
      </c>
      <c r="M7" s="107" t="s">
        <v>163</v>
      </c>
      <c r="N7" s="107" t="s">
        <v>160</v>
      </c>
      <c r="O7" s="107" t="s">
        <v>152</v>
      </c>
      <c r="Q7" s="107" t="s">
        <v>161</v>
      </c>
      <c r="R7" s="107" t="s">
        <v>96</v>
      </c>
      <c r="S7" s="107" t="s">
        <v>163</v>
      </c>
      <c r="T7" s="107" t="s">
        <v>160</v>
      </c>
      <c r="U7" s="107" t="s">
        <v>152</v>
      </c>
      <c r="W7" s="107" t="s">
        <v>178</v>
      </c>
      <c r="X7" s="107" t="s">
        <v>96</v>
      </c>
      <c r="Y7" s="107" t="s">
        <v>165</v>
      </c>
      <c r="AA7" s="107" t="s">
        <v>170</v>
      </c>
      <c r="AB7" s="107" t="s">
        <v>167</v>
      </c>
      <c r="AC7" s="107" t="s">
        <v>166</v>
      </c>
      <c r="AE7" s="107" t="s">
        <v>33</v>
      </c>
      <c r="AF7" s="107" t="s">
        <v>33</v>
      </c>
      <c r="AG7" s="107" t="s">
        <v>168</v>
      </c>
      <c r="AH7" s="107" t="s">
        <v>169</v>
      </c>
    </row>
    <row r="8" spans="2:34" x14ac:dyDescent="0.2">
      <c r="E8" s="108" t="s">
        <v>158</v>
      </c>
      <c r="F8" s="108" t="s">
        <v>159</v>
      </c>
      <c r="G8" s="108" t="s">
        <v>127</v>
      </c>
      <c r="H8" s="108" t="s">
        <v>126</v>
      </c>
      <c r="I8" s="108" t="s">
        <v>157</v>
      </c>
      <c r="K8" s="108" t="s">
        <v>158</v>
      </c>
      <c r="L8" s="108" t="s">
        <v>159</v>
      </c>
      <c r="M8" s="108" t="s">
        <v>127</v>
      </c>
      <c r="N8" s="108" t="s">
        <v>126</v>
      </c>
      <c r="O8" s="108" t="s">
        <v>157</v>
      </c>
      <c r="Q8" s="108" t="s">
        <v>158</v>
      </c>
      <c r="R8" s="108" t="s">
        <v>159</v>
      </c>
      <c r="S8" s="108" t="s">
        <v>127</v>
      </c>
      <c r="T8" s="108" t="s">
        <v>126</v>
      </c>
      <c r="U8" s="108" t="s">
        <v>157</v>
      </c>
      <c r="W8" s="108" t="s">
        <v>31</v>
      </c>
      <c r="X8" s="108" t="s">
        <v>31</v>
      </c>
      <c r="Y8" s="108" t="s">
        <v>31</v>
      </c>
      <c r="AA8" s="108" t="s">
        <v>29</v>
      </c>
      <c r="AB8" s="108" t="s">
        <v>29</v>
      </c>
      <c r="AC8" s="108" t="s">
        <v>29</v>
      </c>
      <c r="AE8" s="108" t="s">
        <v>29</v>
      </c>
      <c r="AF8" s="108" t="s">
        <v>31</v>
      </c>
    </row>
    <row r="9" spans="2:34" s="116" customFormat="1" x14ac:dyDescent="0.2">
      <c r="M9" s="115"/>
    </row>
    <row r="10" spans="2:34" s="116" customFormat="1" x14ac:dyDescent="0.2">
      <c r="B10" s="116" t="s">
        <v>173</v>
      </c>
      <c r="C10" s="116" t="s">
        <v>153</v>
      </c>
      <c r="E10" s="116">
        <v>2400</v>
      </c>
      <c r="F10" s="120">
        <v>39.79</v>
      </c>
      <c r="G10" s="116">
        <v>1</v>
      </c>
      <c r="H10" s="115">
        <v>3.2</v>
      </c>
      <c r="I10" s="116">
        <v>12.6</v>
      </c>
      <c r="K10" s="116">
        <v>2409</v>
      </c>
      <c r="L10" s="122">
        <v>42</v>
      </c>
      <c r="M10" s="116">
        <v>1</v>
      </c>
      <c r="N10" s="115">
        <v>4.5</v>
      </c>
      <c r="O10" s="116">
        <v>15</v>
      </c>
      <c r="Q10" s="116">
        <f>K10-E10</f>
        <v>9</v>
      </c>
      <c r="R10" s="124">
        <f t="shared" ref="R10:U10" si="0">L10-F10</f>
        <v>2.2100000000000009</v>
      </c>
      <c r="S10" s="116">
        <f t="shared" si="0"/>
        <v>0</v>
      </c>
      <c r="T10" s="116">
        <f t="shared" si="0"/>
        <v>1.2999999999999998</v>
      </c>
      <c r="U10" s="116">
        <f t="shared" si="0"/>
        <v>2.4000000000000004</v>
      </c>
      <c r="W10" s="116">
        <f>Q10*100/E10</f>
        <v>0.375</v>
      </c>
      <c r="X10" s="116">
        <f>R10*100/F10</f>
        <v>5.5541593365167152</v>
      </c>
      <c r="Y10" s="116">
        <f>W10+X10</f>
        <v>5.9291593365167152</v>
      </c>
      <c r="AA10" s="116">
        <f>F10</f>
        <v>39.79</v>
      </c>
      <c r="AB10" s="116">
        <f>AA10*(100+Y10)/100</f>
        <v>42.149212500000004</v>
      </c>
      <c r="AC10" s="116">
        <f>AA10+G10+AC$20*H10</f>
        <v>42.203397626650208</v>
      </c>
      <c r="AE10" s="116">
        <f>AC10-AB10</f>
        <v>5.4185126650203586E-2</v>
      </c>
      <c r="AF10" s="116">
        <f>100*AE10/AB10</f>
        <v>0.12855548997553295</v>
      </c>
      <c r="AG10" s="116">
        <v>1</v>
      </c>
      <c r="AH10" s="116">
        <f>AF10*AG10</f>
        <v>0.12855548997553295</v>
      </c>
    </row>
    <row r="11" spans="2:34" s="116" customFormat="1" x14ac:dyDescent="0.2">
      <c r="F11" s="120"/>
      <c r="H11" s="115"/>
      <c r="L11" s="122"/>
      <c r="N11" s="115"/>
      <c r="R11" s="124"/>
    </row>
    <row r="12" spans="2:34" s="116" customFormat="1" x14ac:dyDescent="0.2">
      <c r="B12" s="116" t="s">
        <v>174</v>
      </c>
      <c r="C12" s="116" t="s">
        <v>153</v>
      </c>
      <c r="E12" s="116">
        <v>866</v>
      </c>
      <c r="F12" s="120">
        <v>110.27</v>
      </c>
      <c r="G12" s="116">
        <v>1</v>
      </c>
      <c r="H12" s="115">
        <v>3.8</v>
      </c>
      <c r="I12" s="116">
        <v>11.5</v>
      </c>
      <c r="K12" s="116">
        <v>866</v>
      </c>
      <c r="L12" s="122">
        <v>117</v>
      </c>
      <c r="M12" s="116">
        <v>1</v>
      </c>
      <c r="N12" s="115">
        <v>6</v>
      </c>
      <c r="O12" s="116">
        <v>17</v>
      </c>
      <c r="Q12" s="116">
        <f t="shared" ref="Q12:Q13" si="1">K12-E12</f>
        <v>0</v>
      </c>
      <c r="R12" s="124">
        <f t="shared" ref="R12:R13" si="2">L12-F12</f>
        <v>6.730000000000004</v>
      </c>
      <c r="S12" s="116">
        <f t="shared" ref="S12:S13" si="3">M12-G12</f>
        <v>0</v>
      </c>
      <c r="T12" s="116">
        <f t="shared" ref="T12:T13" si="4">N12-H12</f>
        <v>2.2000000000000002</v>
      </c>
      <c r="U12" s="116">
        <f t="shared" ref="U12:U13" si="5">O12-I12</f>
        <v>5.5</v>
      </c>
      <c r="W12" s="116">
        <f>Q12*100/E12</f>
        <v>0</v>
      </c>
      <c r="X12" s="116">
        <f>R12*100/F12</f>
        <v>6.1032012333363603</v>
      </c>
      <c r="Y12" s="116">
        <f>W12+X12</f>
        <v>6.1032012333363603</v>
      </c>
      <c r="AA12" s="116">
        <f>F12</f>
        <v>110.27</v>
      </c>
      <c r="AB12" s="116">
        <f>AA12*(100+Y12)/100</f>
        <v>117</v>
      </c>
      <c r="AC12" s="116">
        <f>AA12+G12+AC$20*H12</f>
        <v>112.94840968164712</v>
      </c>
      <c r="AE12" s="116">
        <f t="shared" ref="AE12:AE13" si="6">AC12-AB12</f>
        <v>-4.0515903183528792</v>
      </c>
      <c r="AF12" s="116">
        <f t="shared" ref="AF12:AF13" si="7">100*AE12/AB12</f>
        <v>-3.4628977079939141</v>
      </c>
      <c r="AG12" s="116">
        <v>0.3</v>
      </c>
      <c r="AH12" s="116">
        <f t="shared" ref="AH12:AH13" si="8">AF12*AG12</f>
        <v>-1.0388693123981743</v>
      </c>
    </row>
    <row r="13" spans="2:34" s="116" customFormat="1" x14ac:dyDescent="0.2">
      <c r="B13" s="116" t="s">
        <v>174</v>
      </c>
      <c r="C13" s="116" t="s">
        <v>153</v>
      </c>
      <c r="E13" s="116">
        <v>866</v>
      </c>
      <c r="F13" s="120">
        <v>110.27</v>
      </c>
      <c r="G13" s="116">
        <v>2.8</v>
      </c>
      <c r="H13" s="115">
        <v>8.9</v>
      </c>
      <c r="I13" s="116">
        <v>12.6</v>
      </c>
      <c r="K13" s="116">
        <v>866</v>
      </c>
      <c r="L13" s="122">
        <v>117</v>
      </c>
      <c r="M13" s="116">
        <v>2.8</v>
      </c>
      <c r="N13" s="115">
        <v>9</v>
      </c>
      <c r="O13" s="116">
        <v>14</v>
      </c>
      <c r="Q13" s="116">
        <f t="shared" si="1"/>
        <v>0</v>
      </c>
      <c r="R13" s="124">
        <f t="shared" si="2"/>
        <v>6.730000000000004</v>
      </c>
      <c r="S13" s="116">
        <f t="shared" si="3"/>
        <v>0</v>
      </c>
      <c r="T13" s="116">
        <f t="shared" si="4"/>
        <v>9.9999999999999645E-2</v>
      </c>
      <c r="U13" s="116">
        <f t="shared" si="5"/>
        <v>1.4000000000000004</v>
      </c>
      <c r="W13" s="116">
        <f t="shared" ref="W13" si="9">Q13*100/E13</f>
        <v>0</v>
      </c>
      <c r="X13" s="116">
        <f t="shared" ref="X13" si="10">R13*100/F13</f>
        <v>6.1032012333363603</v>
      </c>
      <c r="Y13" s="116">
        <f t="shared" ref="Y13" si="11">W13+X13</f>
        <v>6.1032012333363603</v>
      </c>
      <c r="AA13" s="116">
        <f>F13</f>
        <v>110.27</v>
      </c>
      <c r="AB13" s="116">
        <f>AA13*(100+Y13)/100</f>
        <v>117</v>
      </c>
      <c r="AC13" s="116">
        <f>AA13+G13+AC$20*H13</f>
        <v>117.0010121491209</v>
      </c>
      <c r="AE13" s="116">
        <f t="shared" si="6"/>
        <v>1.0121491208963107E-3</v>
      </c>
      <c r="AF13" s="116">
        <f t="shared" si="7"/>
        <v>8.6508471871479548E-4</v>
      </c>
      <c r="AG13" s="116">
        <v>1</v>
      </c>
      <c r="AH13" s="116">
        <f t="shared" si="8"/>
        <v>8.6508471871479548E-4</v>
      </c>
    </row>
    <row r="14" spans="2:34" s="116" customFormat="1" x14ac:dyDescent="0.2">
      <c r="F14" s="120"/>
      <c r="H14" s="115"/>
      <c r="L14" s="122"/>
      <c r="N14" s="115"/>
      <c r="R14" s="124"/>
    </row>
    <row r="15" spans="2:34" s="116" customFormat="1" x14ac:dyDescent="0.2">
      <c r="B15" s="116" t="s">
        <v>177</v>
      </c>
      <c r="C15" s="116" t="s">
        <v>153</v>
      </c>
      <c r="E15" s="116">
        <v>435</v>
      </c>
      <c r="F15" s="120">
        <v>219.52</v>
      </c>
      <c r="G15" s="116">
        <v>2.8</v>
      </c>
      <c r="H15" s="115">
        <v>10</v>
      </c>
      <c r="I15" s="116">
        <v>11.8</v>
      </c>
      <c r="K15" s="116">
        <v>436.5</v>
      </c>
      <c r="L15" s="122">
        <v>225</v>
      </c>
      <c r="M15" s="116">
        <v>2.8</v>
      </c>
      <c r="N15" s="115">
        <v>8</v>
      </c>
      <c r="O15" s="116">
        <v>11</v>
      </c>
      <c r="Q15" s="116">
        <f>K15-E15</f>
        <v>1.5</v>
      </c>
      <c r="R15" s="124">
        <f t="shared" ref="R15:U15" si="12">L15-F15</f>
        <v>5.4799999999999898</v>
      </c>
      <c r="S15" s="116">
        <f t="shared" si="12"/>
        <v>0</v>
      </c>
      <c r="T15" s="116">
        <f t="shared" si="12"/>
        <v>-2</v>
      </c>
      <c r="U15" s="116">
        <f t="shared" si="12"/>
        <v>-0.80000000000000071</v>
      </c>
      <c r="W15" s="116">
        <f>Q15*100/E15</f>
        <v>0.34482758620689657</v>
      </c>
      <c r="X15" s="116">
        <f>R15*100/F15</f>
        <v>2.4963556851311908</v>
      </c>
      <c r="Y15" s="116">
        <f>W15+X15</f>
        <v>2.8411832713380871</v>
      </c>
      <c r="AA15" s="116">
        <f>F15</f>
        <v>219.52</v>
      </c>
      <c r="AB15" s="116">
        <f>AA15*(100+Y15)/100</f>
        <v>225.75696551724138</v>
      </c>
      <c r="AC15" s="116">
        <f>AA15+G15+AC$20*H15</f>
        <v>226.73686758328193</v>
      </c>
      <c r="AE15" s="116">
        <f>AC15-AB15</f>
        <v>0.97990206604055174</v>
      </c>
      <c r="AF15" s="116">
        <f>100*AE15/AB15</f>
        <v>0.43405175286417252</v>
      </c>
      <c r="AG15" s="116">
        <v>0.5</v>
      </c>
      <c r="AH15" s="116">
        <f>AF15*AG15</f>
        <v>0.21702587643208626</v>
      </c>
    </row>
    <row r="16" spans="2:34" x14ac:dyDescent="0.2">
      <c r="F16" s="121"/>
      <c r="L16" s="123"/>
      <c r="R16" s="125"/>
    </row>
    <row r="17" spans="2:34" s="116" customFormat="1" x14ac:dyDescent="0.2">
      <c r="B17" s="116" t="s">
        <v>175</v>
      </c>
      <c r="C17" s="116" t="s">
        <v>155</v>
      </c>
      <c r="E17" s="116">
        <v>866</v>
      </c>
      <c r="F17" s="120">
        <v>110.28</v>
      </c>
      <c r="G17" s="116">
        <v>20</v>
      </c>
      <c r="H17" s="115">
        <v>2.94</v>
      </c>
      <c r="I17" s="116">
        <v>15.1</v>
      </c>
      <c r="K17" s="116">
        <v>900</v>
      </c>
      <c r="L17" s="122">
        <v>115</v>
      </c>
      <c r="M17" s="116">
        <v>20</v>
      </c>
      <c r="N17" s="115">
        <v>2.9</v>
      </c>
      <c r="O17" s="116">
        <v>18</v>
      </c>
      <c r="Q17" s="116">
        <f t="shared" ref="Q17:U18" si="13">K17-E17</f>
        <v>34</v>
      </c>
      <c r="R17" s="124">
        <f t="shared" si="13"/>
        <v>4.7199999999999989</v>
      </c>
      <c r="S17" s="116">
        <f t="shared" si="13"/>
        <v>0</v>
      </c>
      <c r="T17" s="116">
        <f t="shared" si="13"/>
        <v>-4.0000000000000036E-2</v>
      </c>
      <c r="U17" s="116">
        <f t="shared" si="13"/>
        <v>2.9000000000000004</v>
      </c>
      <c r="W17" s="116">
        <f>Q17*100/E17</f>
        <v>3.9260969976905313</v>
      </c>
      <c r="X17" s="116">
        <f>R17*100/F17</f>
        <v>4.2800145085237569</v>
      </c>
      <c r="Y17" s="116">
        <f>W17+X17</f>
        <v>8.2061115062142882</v>
      </c>
      <c r="AA17" s="116">
        <f>F17</f>
        <v>110.28</v>
      </c>
      <c r="AB17" s="116">
        <f>AA17*(100+Y17)/100</f>
        <v>119.32969976905311</v>
      </c>
      <c r="AC17" s="116">
        <f>AA17+G17*AC$21</f>
        <v>120.68486698294339</v>
      </c>
      <c r="AE17" s="116">
        <f>AC17-AB17</f>
        <v>1.3551672138902831</v>
      </c>
      <c r="AF17" s="116">
        <f>100*AE17/AB17</f>
        <v>1.1356495629445398</v>
      </c>
      <c r="AG17" s="116">
        <v>1</v>
      </c>
      <c r="AH17" s="116">
        <f>AF17*AG17</f>
        <v>1.1356495629445398</v>
      </c>
    </row>
    <row r="18" spans="2:34" s="116" customFormat="1" x14ac:dyDescent="0.2">
      <c r="B18" s="116" t="s">
        <v>176</v>
      </c>
      <c r="C18" s="116" t="s">
        <v>155</v>
      </c>
      <c r="E18" s="116">
        <v>866</v>
      </c>
      <c r="F18" s="120">
        <v>110.28</v>
      </c>
      <c r="G18" s="116">
        <v>20</v>
      </c>
      <c r="H18" s="115">
        <v>2.94</v>
      </c>
      <c r="I18" s="116">
        <v>15.1</v>
      </c>
      <c r="K18" s="116">
        <v>917</v>
      </c>
      <c r="L18" s="122">
        <v>116</v>
      </c>
      <c r="M18" s="116">
        <v>20</v>
      </c>
      <c r="N18" s="115">
        <v>2.9</v>
      </c>
      <c r="O18" s="116">
        <v>25</v>
      </c>
      <c r="Q18" s="116">
        <f t="shared" si="13"/>
        <v>51</v>
      </c>
      <c r="R18" s="124">
        <f t="shared" si="13"/>
        <v>5.7199999999999989</v>
      </c>
      <c r="S18" s="116">
        <f t="shared" si="13"/>
        <v>0</v>
      </c>
      <c r="T18" s="116">
        <f t="shared" si="13"/>
        <v>-4.0000000000000036E-2</v>
      </c>
      <c r="U18" s="116">
        <f t="shared" si="13"/>
        <v>9.9</v>
      </c>
      <c r="W18" s="116">
        <f>Q18*100/E18</f>
        <v>5.8891454965357966</v>
      </c>
      <c r="X18" s="116">
        <f>R18*100/F18</f>
        <v>5.186797243380485</v>
      </c>
      <c r="Y18" s="116">
        <f>W18+X18</f>
        <v>11.075942739916282</v>
      </c>
      <c r="AA18" s="116">
        <f>F18</f>
        <v>110.28</v>
      </c>
      <c r="AB18" s="116">
        <f>AA18*(100+Y18)/100</f>
        <v>122.49454965357968</v>
      </c>
      <c r="AC18" s="116">
        <f>AA18+G18*AC$21</f>
        <v>120.68486698294339</v>
      </c>
      <c r="AE18" s="116">
        <f>AC18-AB18</f>
        <v>-1.8096826706362918</v>
      </c>
      <c r="AF18" s="116">
        <f>100*AE18/AB18</f>
        <v>-1.4773577075503841</v>
      </c>
      <c r="AG18" s="116">
        <v>0.3</v>
      </c>
      <c r="AH18" s="116">
        <f>AF18*AG18</f>
        <v>-0.44320731226511523</v>
      </c>
    </row>
    <row r="19" spans="2:34" s="116" customFormat="1" x14ac:dyDescent="0.2">
      <c r="H19" s="115"/>
      <c r="N19" s="115"/>
    </row>
    <row r="20" spans="2:34" s="116" customFormat="1" x14ac:dyDescent="0.2">
      <c r="Y20" s="116">
        <f>AVERAGE(Y10:Y18)</f>
        <v>6.7097998867763486</v>
      </c>
      <c r="AC20" s="118">
        <v>0.44168675832819099</v>
      </c>
      <c r="AF20" s="116">
        <f>AVERAGE(AF10:AF18)</f>
        <v>-0.54018892084022296</v>
      </c>
      <c r="AH20" s="116">
        <f>SUM(AH10:AH19)</f>
        <v>1.9389407584391449E-5</v>
      </c>
    </row>
    <row r="21" spans="2:34" x14ac:dyDescent="0.2">
      <c r="AC21" s="118">
        <v>0.52024334914716985</v>
      </c>
    </row>
  </sheetData>
  <phoneticPr fontId="24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2799-A3E0-2642-9A0B-38C1CA6A583B}">
  <dimension ref="B1:AA30"/>
  <sheetViews>
    <sheetView zoomScale="140" zoomScaleNormal="140" workbookViewId="0">
      <pane xSplit="35" topLeftCell="AJ1" activePane="topRight" state="frozen"/>
      <selection pane="topRight" activeCell="H23" sqref="H23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8.83203125" style="2" customWidth="1"/>
    <col min="5" max="5" width="8.5" style="2" customWidth="1"/>
    <col min="6" max="6" width="20.5" style="2" customWidth="1"/>
    <col min="7" max="7" width="10.83203125" style="3" customWidth="1"/>
    <col min="8" max="8" width="11.1640625" style="2" customWidth="1"/>
    <col min="9" max="9" width="10.83203125" style="47"/>
    <col min="10" max="10" width="4.6640625" style="2" customWidth="1"/>
    <col min="11" max="11" width="2.5" style="2" customWidth="1"/>
    <col min="12" max="12" width="7.5" style="23" customWidth="1"/>
    <col min="13" max="13" width="17.1640625" style="2" customWidth="1"/>
    <col min="14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26"/>
      <c r="H2" s="25"/>
      <c r="I2" s="7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4" t="s">
        <v>39</v>
      </c>
      <c r="G3" s="29"/>
      <c r="H3" s="5"/>
      <c r="I3" s="7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</row>
    <row r="4" spans="2:27" x14ac:dyDescent="0.2">
      <c r="B4" s="32"/>
      <c r="C4" s="49" t="s">
        <v>48</v>
      </c>
      <c r="D4" s="33"/>
      <c r="E4" s="33"/>
      <c r="F4" s="33"/>
      <c r="G4" s="34"/>
      <c r="H4" s="33"/>
      <c r="I4" s="45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27" x14ac:dyDescent="0.2">
      <c r="B5" s="32"/>
      <c r="C5" s="36"/>
      <c r="D5" s="36"/>
      <c r="E5" s="36"/>
      <c r="F5" s="36"/>
      <c r="G5" s="37"/>
      <c r="H5" s="36"/>
      <c r="I5" s="79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27" x14ac:dyDescent="0.2">
      <c r="B6" s="32"/>
      <c r="C6" s="36"/>
      <c r="D6" s="36" t="s">
        <v>8</v>
      </c>
      <c r="E6" s="36"/>
      <c r="F6" s="36"/>
      <c r="G6" s="75" t="s">
        <v>11</v>
      </c>
      <c r="H6" s="70">
        <v>866</v>
      </c>
      <c r="I6" s="79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27" ht="27" x14ac:dyDescent="0.2">
      <c r="B7" s="32"/>
      <c r="C7" s="36"/>
      <c r="D7" s="36" t="s">
        <v>5</v>
      </c>
      <c r="E7" s="36"/>
      <c r="F7" s="36"/>
      <c r="G7" s="75" t="s">
        <v>59</v>
      </c>
      <c r="H7" s="70">
        <v>212</v>
      </c>
      <c r="I7" s="79" t="s">
        <v>14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27" ht="27" x14ac:dyDescent="0.2">
      <c r="B8" s="32"/>
      <c r="C8" s="36"/>
      <c r="D8" s="36" t="s">
        <v>6</v>
      </c>
      <c r="E8" s="36"/>
      <c r="F8" s="36"/>
      <c r="G8" s="75" t="s">
        <v>69</v>
      </c>
      <c r="H8" s="70">
        <v>50</v>
      </c>
      <c r="I8" s="79" t="s">
        <v>14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27" x14ac:dyDescent="0.2">
      <c r="B9" s="32"/>
      <c r="C9" s="36"/>
      <c r="D9" s="36" t="s">
        <v>7</v>
      </c>
      <c r="E9" s="36"/>
      <c r="F9" s="36"/>
      <c r="G9" s="75" t="s">
        <v>24</v>
      </c>
      <c r="H9" s="71">
        <v>7.1999999999999995E-2</v>
      </c>
      <c r="I9" s="79" t="s">
        <v>13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27" x14ac:dyDescent="0.2">
      <c r="B10" s="32"/>
      <c r="C10" s="36"/>
      <c r="D10" s="36"/>
      <c r="E10" s="36"/>
      <c r="F10" s="36"/>
      <c r="G10" s="75"/>
      <c r="H10" s="36"/>
      <c r="I10" s="79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27" x14ac:dyDescent="0.2">
      <c r="B11" s="32"/>
      <c r="C11" s="49" t="s">
        <v>49</v>
      </c>
      <c r="D11" s="33"/>
      <c r="E11" s="33"/>
      <c r="F11" s="33"/>
      <c r="G11" s="46"/>
      <c r="H11" s="33"/>
      <c r="I11" s="45"/>
      <c r="J11" s="33"/>
      <c r="K11" s="33"/>
      <c r="L11" s="58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5"/>
    </row>
    <row r="12" spans="2:27" x14ac:dyDescent="0.2">
      <c r="B12" s="32"/>
      <c r="C12" s="36"/>
      <c r="D12" s="36"/>
      <c r="E12" s="36"/>
      <c r="F12" s="36"/>
      <c r="G12" s="75"/>
      <c r="H12" s="36"/>
      <c r="I12" s="79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27" x14ac:dyDescent="0.2">
      <c r="B13" s="32"/>
      <c r="C13" s="36"/>
      <c r="D13" s="36" t="s">
        <v>19</v>
      </c>
      <c r="E13" s="36"/>
      <c r="F13" s="36"/>
      <c r="G13" s="75"/>
      <c r="H13" s="59">
        <f>H9/H14</f>
        <v>0.20784</v>
      </c>
      <c r="I13" s="79" t="s">
        <v>18</v>
      </c>
      <c r="J13" s="33"/>
      <c r="K13" s="38"/>
      <c r="L13" s="62" t="s">
        <v>16</v>
      </c>
      <c r="M13" s="36">
        <f>TAN(2 * PI() * H13)</f>
        <v>3.6863068167574164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27" x14ac:dyDescent="0.2">
      <c r="B14" s="32"/>
      <c r="C14" s="36"/>
      <c r="D14" s="36" t="s">
        <v>9</v>
      </c>
      <c r="E14" s="36"/>
      <c r="F14" s="36"/>
      <c r="G14" s="75" t="s">
        <v>15</v>
      </c>
      <c r="H14" s="59">
        <f>300/H6</f>
        <v>0.3464203233256351</v>
      </c>
      <c r="I14" s="79" t="s">
        <v>13</v>
      </c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27" ht="27" x14ac:dyDescent="0.2">
      <c r="B15" s="32"/>
      <c r="C15" s="36"/>
      <c r="D15" s="36" t="s">
        <v>10</v>
      </c>
      <c r="E15" s="36"/>
      <c r="F15" s="36"/>
      <c r="G15" s="75" t="s">
        <v>67</v>
      </c>
      <c r="H15" s="59">
        <f>H7*(H8*H7 + H8*H7*M13*M13)/(H7*H7 + H8*H8*M13*M13)</f>
        <v>415.42933494624918</v>
      </c>
      <c r="I15" s="79" t="s">
        <v>14</v>
      </c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27" ht="27" x14ac:dyDescent="0.2">
      <c r="B16" s="32"/>
      <c r="C16" s="36"/>
      <c r="D16" s="36"/>
      <c r="E16" s="36"/>
      <c r="F16" s="36"/>
      <c r="G16" s="75" t="s">
        <v>68</v>
      </c>
      <c r="H16" s="59">
        <f>(H7*H7*M13 - H8*H8*M13)/(H7*H7 + H8*H8*M13*M13)</f>
        <v>1.9826311433712489</v>
      </c>
      <c r="I16" s="79" t="s">
        <v>14</v>
      </c>
      <c r="J16" s="33"/>
      <c r="K16" s="38"/>
      <c r="L16" s="6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27" x14ac:dyDescent="0.2">
      <c r="B17" s="32"/>
      <c r="C17" s="36"/>
      <c r="D17" s="36"/>
      <c r="E17" s="36"/>
      <c r="F17" s="36"/>
      <c r="G17" s="75"/>
      <c r="H17" s="36"/>
      <c r="I17" s="79"/>
      <c r="J17" s="33"/>
      <c r="K17" s="38"/>
      <c r="L17" s="6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27" x14ac:dyDescent="0.2">
      <c r="B18" s="32"/>
      <c r="C18" s="33"/>
      <c r="D18" s="33"/>
      <c r="E18" s="33"/>
      <c r="F18" s="33"/>
      <c r="G18" s="46"/>
      <c r="H18" s="33"/>
      <c r="I18" s="45"/>
      <c r="J18" s="33"/>
      <c r="K18" s="33"/>
      <c r="L18" s="58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5"/>
    </row>
    <row r="19" spans="2:27" s="4" customFormat="1" ht="28" x14ac:dyDescent="0.2">
      <c r="B19" s="28"/>
      <c r="C19" s="4" t="s">
        <v>47</v>
      </c>
      <c r="G19" s="76"/>
      <c r="H19" s="5"/>
      <c r="I19" s="78"/>
      <c r="J19" s="30"/>
      <c r="K19" s="30"/>
      <c r="L19" s="56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</row>
    <row r="20" spans="2:27" x14ac:dyDescent="0.2">
      <c r="B20" s="32"/>
      <c r="C20" s="49" t="s">
        <v>48</v>
      </c>
      <c r="D20" s="33"/>
      <c r="E20" s="33"/>
      <c r="F20" s="33"/>
      <c r="G20" s="46"/>
      <c r="H20" s="33"/>
      <c r="I20" s="45"/>
      <c r="J20" s="33"/>
      <c r="K20" s="33"/>
      <c r="L20" s="5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5"/>
    </row>
    <row r="21" spans="2:27" x14ac:dyDescent="0.2">
      <c r="B21" s="32"/>
      <c r="C21" s="36"/>
      <c r="D21" s="36"/>
      <c r="E21" s="36"/>
      <c r="F21" s="36"/>
      <c r="G21" s="75"/>
      <c r="H21" s="36"/>
      <c r="I21" s="79"/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27" ht="27" x14ac:dyDescent="0.2">
      <c r="B22" s="32"/>
      <c r="C22" s="36"/>
      <c r="D22" s="36" t="s">
        <v>5</v>
      </c>
      <c r="E22" s="36"/>
      <c r="F22" s="36"/>
      <c r="G22" s="75" t="s">
        <v>60</v>
      </c>
      <c r="H22" s="70">
        <v>212</v>
      </c>
      <c r="I22" s="79" t="s">
        <v>14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27" ht="27" x14ac:dyDescent="0.2">
      <c r="B23" s="32"/>
      <c r="C23" s="36"/>
      <c r="D23" s="36" t="s">
        <v>46</v>
      </c>
      <c r="E23" s="36"/>
      <c r="F23" s="36"/>
      <c r="G23" s="75" t="s">
        <v>61</v>
      </c>
      <c r="H23" s="70">
        <v>895</v>
      </c>
      <c r="I23" s="79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27" x14ac:dyDescent="0.2">
      <c r="B24" s="32"/>
      <c r="C24" s="36"/>
      <c r="D24" s="36"/>
      <c r="E24" s="36"/>
      <c r="F24" s="36"/>
      <c r="G24" s="75"/>
      <c r="H24" s="36"/>
      <c r="I24" s="79"/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27" x14ac:dyDescent="0.2">
      <c r="B25" s="32"/>
      <c r="C25" s="49" t="s">
        <v>49</v>
      </c>
      <c r="D25" s="33"/>
      <c r="E25" s="33"/>
      <c r="F25" s="33"/>
      <c r="G25" s="46"/>
      <c r="H25" s="33"/>
      <c r="I25" s="45"/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</row>
    <row r="26" spans="2:27" x14ac:dyDescent="0.2">
      <c r="B26" s="32"/>
      <c r="C26" s="36"/>
      <c r="D26" s="36"/>
      <c r="E26" s="36"/>
      <c r="F26" s="36"/>
      <c r="G26" s="75"/>
      <c r="H26" s="36"/>
      <c r="I26" s="79"/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</row>
    <row r="27" spans="2:27" ht="27" x14ac:dyDescent="0.2">
      <c r="B27" s="32"/>
      <c r="C27" s="36"/>
      <c r="D27" s="36" t="s">
        <v>10</v>
      </c>
      <c r="E27" s="36"/>
      <c r="F27" s="36"/>
      <c r="G27" s="75" t="s">
        <v>62</v>
      </c>
      <c r="H27" s="65">
        <f>H22*H22/H23</f>
        <v>50.216759776536314</v>
      </c>
      <c r="I27" s="79" t="s">
        <v>14</v>
      </c>
      <c r="J27" s="33"/>
      <c r="K27" s="33"/>
      <c r="L27" s="5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5"/>
    </row>
    <row r="28" spans="2:27" x14ac:dyDescent="0.2">
      <c r="B28" s="32"/>
      <c r="C28" s="36"/>
      <c r="D28" s="36"/>
      <c r="E28" s="36"/>
      <c r="F28" s="36"/>
      <c r="G28" s="75"/>
      <c r="H28" s="36"/>
      <c r="I28" s="79"/>
      <c r="J28" s="33"/>
      <c r="K28" s="33"/>
      <c r="L28" s="58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5"/>
    </row>
    <row r="29" spans="2:27" ht="24" thickBot="1" x14ac:dyDescent="0.25">
      <c r="B29" s="40"/>
      <c r="C29" s="41"/>
      <c r="D29" s="41"/>
      <c r="E29" s="41"/>
      <c r="F29" s="41"/>
      <c r="G29" s="42"/>
      <c r="H29" s="41"/>
      <c r="I29" s="80"/>
      <c r="J29" s="41"/>
      <c r="K29" s="41"/>
      <c r="L29" s="6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3"/>
    </row>
    <row r="30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EAB1-8BEE-6A40-A538-440F74C5C326}">
  <dimension ref="B1:AA28"/>
  <sheetViews>
    <sheetView topLeftCell="A4" zoomScale="140" zoomScaleNormal="140" workbookViewId="0">
      <pane xSplit="36" topLeftCell="AK1" activePane="topRight" state="frozen"/>
      <selection activeCell="A4" sqref="A4"/>
      <selection pane="topRight" activeCell="H7" sqref="H7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7.5" style="2" customWidth="1"/>
    <col min="5" max="5" width="8.5" style="2" customWidth="1"/>
    <col min="6" max="6" width="21.6640625" style="2" customWidth="1"/>
    <col min="7" max="7" width="10.83203125" style="82" customWidth="1"/>
    <col min="8" max="8" width="11.1640625" style="2" customWidth="1"/>
    <col min="9" max="9" width="10.83203125" style="47"/>
    <col min="10" max="10" width="4.6640625" style="2" customWidth="1"/>
    <col min="11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83"/>
      <c r="H2" s="25"/>
      <c r="I2" s="77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4" t="s">
        <v>44</v>
      </c>
      <c r="G3" s="76"/>
      <c r="H3" s="5"/>
      <c r="I3" s="81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</row>
    <row r="4" spans="2:27" s="52" customFormat="1" x14ac:dyDescent="0.2">
      <c r="B4" s="48"/>
      <c r="C4" s="49" t="s">
        <v>48</v>
      </c>
      <c r="D4" s="49"/>
      <c r="E4" s="49"/>
      <c r="F4" s="49"/>
      <c r="G4" s="50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51"/>
    </row>
    <row r="5" spans="2:27" x14ac:dyDescent="0.2">
      <c r="B5" s="32"/>
      <c r="C5" s="36"/>
      <c r="D5" s="36"/>
      <c r="E5" s="36"/>
      <c r="F5" s="36"/>
      <c r="G5" s="75"/>
      <c r="H5" s="36"/>
      <c r="I5" s="79"/>
      <c r="J5" s="33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27" x14ac:dyDescent="0.2">
      <c r="B6" s="32"/>
      <c r="C6" s="36"/>
      <c r="D6" s="36" t="s">
        <v>27</v>
      </c>
      <c r="E6" s="36"/>
      <c r="F6" s="36"/>
      <c r="G6" s="75" t="s">
        <v>16</v>
      </c>
      <c r="H6" s="69">
        <v>6</v>
      </c>
      <c r="I6" s="79" t="s">
        <v>29</v>
      </c>
      <c r="J6" s="33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27" x14ac:dyDescent="0.2">
      <c r="B7" s="32"/>
      <c r="C7" s="36"/>
      <c r="D7" s="36" t="s">
        <v>28</v>
      </c>
      <c r="E7" s="36"/>
      <c r="F7" s="36"/>
      <c r="G7" s="75" t="s">
        <v>21</v>
      </c>
      <c r="H7" s="69">
        <v>1</v>
      </c>
      <c r="I7" s="79" t="s">
        <v>29</v>
      </c>
      <c r="J7" s="33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27" ht="27" x14ac:dyDescent="0.2">
      <c r="B8" s="32"/>
      <c r="C8" s="36"/>
      <c r="D8" s="36" t="s">
        <v>42</v>
      </c>
      <c r="E8" s="36"/>
      <c r="F8" s="36"/>
      <c r="G8" s="84" t="s">
        <v>63</v>
      </c>
      <c r="H8" s="69">
        <v>1</v>
      </c>
      <c r="I8" s="79"/>
      <c r="J8" s="33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27" x14ac:dyDescent="0.2">
      <c r="B9" s="32"/>
      <c r="C9" s="36"/>
      <c r="D9" s="36"/>
      <c r="E9" s="36"/>
      <c r="F9" s="36"/>
      <c r="G9" s="75"/>
      <c r="H9" s="36"/>
      <c r="I9" s="79"/>
      <c r="J9" s="33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27" x14ac:dyDescent="0.2">
      <c r="B10" s="32"/>
      <c r="C10" s="49" t="s">
        <v>49</v>
      </c>
      <c r="D10" s="33"/>
      <c r="E10" s="33"/>
      <c r="F10" s="33"/>
      <c r="G10" s="46"/>
      <c r="H10" s="33"/>
      <c r="I10" s="45"/>
      <c r="J10" s="33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27" x14ac:dyDescent="0.2">
      <c r="B11" s="32"/>
      <c r="C11" s="36"/>
      <c r="D11" s="36"/>
      <c r="E11" s="36"/>
      <c r="F11" s="36"/>
      <c r="G11" s="75"/>
      <c r="H11" s="36"/>
      <c r="I11" s="79"/>
      <c r="J11" s="33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27" ht="27" x14ac:dyDescent="0.2">
      <c r="B12" s="32"/>
      <c r="C12" s="36"/>
      <c r="D12" s="36"/>
      <c r="E12" s="36"/>
      <c r="F12" s="36"/>
      <c r="G12" s="75" t="s">
        <v>60</v>
      </c>
      <c r="H12" s="36">
        <f>120/ SQRT(H8)* ACOSH(H6/H7)</f>
        <v>297.346647634617</v>
      </c>
      <c r="I12" s="79" t="s">
        <v>14</v>
      </c>
      <c r="J12" s="33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27" x14ac:dyDescent="0.2">
      <c r="B13" s="32"/>
      <c r="C13" s="36"/>
      <c r="D13" s="36"/>
      <c r="E13" s="36"/>
      <c r="F13" s="36"/>
      <c r="G13" s="75"/>
      <c r="H13" s="36"/>
      <c r="I13" s="79"/>
      <c r="J13" s="33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27" x14ac:dyDescent="0.2">
      <c r="B14" s="32"/>
      <c r="C14" s="33"/>
      <c r="D14" s="33"/>
      <c r="E14" s="33"/>
      <c r="F14" s="33"/>
      <c r="G14" s="46"/>
      <c r="H14" s="33"/>
      <c r="I14" s="45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5"/>
    </row>
    <row r="15" spans="2:27" x14ac:dyDescent="0.2">
      <c r="B15" s="32"/>
      <c r="C15" s="33"/>
      <c r="D15" s="33"/>
      <c r="E15" s="33"/>
      <c r="F15" s="33"/>
      <c r="G15" s="46"/>
      <c r="H15" s="33"/>
      <c r="I15" s="45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5"/>
    </row>
    <row r="16" spans="2:27" s="4" customFormat="1" ht="28" x14ac:dyDescent="0.2">
      <c r="B16" s="28"/>
      <c r="C16" s="4" t="s">
        <v>45</v>
      </c>
      <c r="G16" s="76"/>
      <c r="H16" s="5"/>
      <c r="I16" s="8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</row>
    <row r="17" spans="2:27" x14ac:dyDescent="0.2">
      <c r="B17" s="32"/>
      <c r="C17" s="49" t="s">
        <v>48</v>
      </c>
      <c r="D17" s="33"/>
      <c r="E17" s="33"/>
      <c r="F17" s="33"/>
      <c r="G17" s="46"/>
      <c r="H17" s="33"/>
      <c r="I17" s="45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5"/>
    </row>
    <row r="18" spans="2:27" x14ac:dyDescent="0.2">
      <c r="B18" s="32"/>
      <c r="C18" s="36"/>
      <c r="D18" s="36"/>
      <c r="E18" s="36"/>
      <c r="F18" s="36"/>
      <c r="G18" s="75"/>
      <c r="H18" s="36"/>
      <c r="I18" s="79"/>
      <c r="J18" s="33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27" x14ac:dyDescent="0.2">
      <c r="B19" s="32"/>
      <c r="C19" s="36"/>
      <c r="D19" s="36"/>
      <c r="E19" s="36"/>
      <c r="F19" s="36"/>
      <c r="G19" s="75" t="s">
        <v>21</v>
      </c>
      <c r="H19" s="69">
        <v>12.5</v>
      </c>
      <c r="I19" s="79" t="s">
        <v>29</v>
      </c>
      <c r="J19" s="33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27" x14ac:dyDescent="0.2">
      <c r="B20" s="32"/>
      <c r="C20" s="36"/>
      <c r="D20" s="36" t="s">
        <v>41</v>
      </c>
      <c r="E20" s="36">
        <f>H20/H19</f>
        <v>0.28000000000000003</v>
      </c>
      <c r="F20" s="36"/>
      <c r="G20" s="75" t="s">
        <v>40</v>
      </c>
      <c r="H20" s="69">
        <v>3.5</v>
      </c>
      <c r="I20" s="79" t="s">
        <v>29</v>
      </c>
      <c r="J20" s="33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27" ht="27" x14ac:dyDescent="0.2">
      <c r="B21" s="32"/>
      <c r="C21" s="36"/>
      <c r="D21" s="39" t="s">
        <v>43</v>
      </c>
      <c r="E21" s="39"/>
      <c r="F21" s="39"/>
      <c r="G21" s="75" t="s">
        <v>63</v>
      </c>
      <c r="H21" s="69">
        <v>1.1200000000000001</v>
      </c>
      <c r="I21" s="79"/>
      <c r="J21" s="33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27" x14ac:dyDescent="0.2">
      <c r="B22" s="32"/>
      <c r="C22" s="36"/>
      <c r="D22" s="36"/>
      <c r="E22" s="36"/>
      <c r="F22" s="36"/>
      <c r="G22" s="75"/>
      <c r="H22" s="36"/>
      <c r="I22" s="79"/>
      <c r="J22" s="33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27" x14ac:dyDescent="0.2">
      <c r="B23" s="32"/>
      <c r="C23" s="49" t="s">
        <v>49</v>
      </c>
      <c r="D23" s="33"/>
      <c r="E23" s="33"/>
      <c r="F23" s="33"/>
      <c r="G23" s="46"/>
      <c r="H23" s="33"/>
      <c r="I23" s="45"/>
      <c r="J23" s="33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27" x14ac:dyDescent="0.2">
      <c r="B24" s="32"/>
      <c r="C24" s="36"/>
      <c r="D24" s="36"/>
      <c r="E24" s="36"/>
      <c r="F24" s="36"/>
      <c r="G24" s="75"/>
      <c r="H24" s="36"/>
      <c r="I24" s="79"/>
      <c r="J24" s="33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27" ht="27" x14ac:dyDescent="0.2">
      <c r="B25" s="32"/>
      <c r="C25" s="36"/>
      <c r="D25" s="36"/>
      <c r="E25" s="36"/>
      <c r="F25" s="36"/>
      <c r="G25" s="75" t="s">
        <v>60</v>
      </c>
      <c r="H25" s="36">
        <f>120 / SQRT(H21) * (LN(2) + 2 * ATANH(SQRT(H20/H19)))</f>
        <v>212.16003563156082</v>
      </c>
      <c r="I25" s="79" t="s">
        <v>14</v>
      </c>
      <c r="J25" s="33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</row>
    <row r="26" spans="2:27" x14ac:dyDescent="0.2">
      <c r="B26" s="32"/>
      <c r="C26" s="36"/>
      <c r="D26" s="36"/>
      <c r="E26" s="36"/>
      <c r="F26" s="36"/>
      <c r="G26" s="75"/>
      <c r="H26" s="36"/>
      <c r="I26" s="79"/>
      <c r="J26" s="33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</row>
    <row r="27" spans="2:27" ht="24" thickBot="1" x14ac:dyDescent="0.25">
      <c r="B27" s="40"/>
      <c r="C27" s="41"/>
      <c r="D27" s="41"/>
      <c r="E27" s="41"/>
      <c r="F27" s="41"/>
      <c r="G27" s="85"/>
      <c r="H27" s="41"/>
      <c r="I27" s="80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3"/>
    </row>
    <row r="28" spans="2:27" ht="24" thickTop="1" x14ac:dyDescent="0.2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B06-C11D-E747-81C8-7DE10321608A}">
  <dimension ref="B1:BA50"/>
  <sheetViews>
    <sheetView zoomScale="140" zoomScaleNormal="140" workbookViewId="0">
      <pane xSplit="30" topLeftCell="AE1" activePane="topRight" state="frozen"/>
      <selection pane="topRight" activeCell="H21" sqref="H21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7.1640625" style="2" customWidth="1"/>
    <col min="6" max="6" width="7.83203125" style="2" customWidth="1"/>
    <col min="7" max="7" width="10.83203125" style="82" customWidth="1"/>
    <col min="8" max="8" width="11.1640625" style="44" customWidth="1"/>
    <col min="9" max="9" width="10.83203125" style="86"/>
    <col min="10" max="10" width="4.6640625" style="2" customWidth="1"/>
    <col min="11" max="11" width="2.5" style="2" customWidth="1"/>
    <col min="12" max="12" width="7.5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53" ht="15" customHeight="1" thickBot="1" x14ac:dyDescent="0.25"/>
    <row r="2" spans="2:53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53" s="4" customFormat="1" ht="28" x14ac:dyDescent="0.2">
      <c r="B3" s="28"/>
      <c r="C3" s="4" t="s">
        <v>38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53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53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53" x14ac:dyDescent="0.2">
      <c r="B6" s="32"/>
      <c r="C6" s="36"/>
      <c r="D6" s="36" t="s">
        <v>57</v>
      </c>
      <c r="E6" s="36"/>
      <c r="F6" s="36"/>
      <c r="G6" s="75"/>
      <c r="H6" s="72">
        <v>3</v>
      </c>
      <c r="I6" s="90" t="s">
        <v>31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53" x14ac:dyDescent="0.2">
      <c r="B7" s="32"/>
      <c r="C7" s="36"/>
      <c r="D7" s="36" t="s">
        <v>8</v>
      </c>
      <c r="E7" s="36"/>
      <c r="F7" s="36"/>
      <c r="G7" s="75" t="s">
        <v>75</v>
      </c>
      <c r="H7" s="70">
        <v>2450</v>
      </c>
      <c r="I7" s="90" t="s">
        <v>12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53" ht="27" x14ac:dyDescent="0.2">
      <c r="B8" s="32"/>
      <c r="C8" s="36"/>
      <c r="D8" s="36" t="s">
        <v>5</v>
      </c>
      <c r="E8" s="36"/>
      <c r="F8" s="36"/>
      <c r="G8" s="75" t="s">
        <v>59</v>
      </c>
      <c r="H8" s="70">
        <v>346.6862731134467</v>
      </c>
      <c r="I8" s="90" t="s">
        <v>14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53" ht="27" x14ac:dyDescent="0.2">
      <c r="B9" s="32"/>
      <c r="C9" s="36"/>
      <c r="D9" s="36" t="s">
        <v>6</v>
      </c>
      <c r="E9" s="36"/>
      <c r="F9" s="36"/>
      <c r="G9" s="75" t="s">
        <v>71</v>
      </c>
      <c r="H9" s="70">
        <v>2500</v>
      </c>
      <c r="I9" s="90" t="s">
        <v>14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  <c r="AF9" s="23" t="s">
        <v>16</v>
      </c>
      <c r="AG9" s="2">
        <f>TAN(2 * PI() * AG30)</f>
        <v>1.5581944916211372</v>
      </c>
      <c r="AH9" s="2">
        <f t="shared" ref="AH9:BA9" si="0">TAN(2 * PI() * AH30)</f>
        <v>1.7157625236528593</v>
      </c>
      <c r="AI9" s="2">
        <f t="shared" si="0"/>
        <v>1.8983653065821653</v>
      </c>
      <c r="AJ9" s="2">
        <f t="shared" si="0"/>
        <v>2.1133418077132147</v>
      </c>
      <c r="AK9" s="2">
        <f t="shared" si="0"/>
        <v>2.371177878579374</v>
      </c>
      <c r="AL9" s="2">
        <f t="shared" si="0"/>
        <v>2.6874000001667842</v>
      </c>
      <c r="AM9" s="2">
        <f t="shared" si="0"/>
        <v>3.0860233166038724</v>
      </c>
      <c r="AN9" s="2">
        <f t="shared" si="0"/>
        <v>3.606278166377503</v>
      </c>
      <c r="AO9" s="2">
        <f t="shared" si="0"/>
        <v>4.316936915703292</v>
      </c>
      <c r="AP9" s="2">
        <f t="shared" si="0"/>
        <v>5.3505844967174996</v>
      </c>
      <c r="AQ9" s="126">
        <f>TAN(2 * PI() * AQ30)</f>
        <v>7.000007537609001</v>
      </c>
      <c r="AR9" s="2">
        <f t="shared" si="0"/>
        <v>10.06492657928866</v>
      </c>
      <c r="AS9" s="2">
        <f t="shared" si="0"/>
        <v>17.786611255206051</v>
      </c>
      <c r="AT9" s="2">
        <f t="shared" si="0"/>
        <v>75.206407709393972</v>
      </c>
      <c r="AU9" s="2">
        <f t="shared" si="0"/>
        <v>-33.807026873846603</v>
      </c>
      <c r="AV9" s="2">
        <f t="shared" si="0"/>
        <v>-13.780752744051052</v>
      </c>
      <c r="AW9" s="2">
        <f t="shared" si="0"/>
        <v>-8.6341822691019257</v>
      </c>
      <c r="AX9" s="2">
        <f t="shared" si="0"/>
        <v>-6.2694203558471653</v>
      </c>
      <c r="AY9" s="2">
        <f t="shared" si="0"/>
        <v>-4.9069660439896881</v>
      </c>
      <c r="AZ9" s="2">
        <f t="shared" si="0"/>
        <v>-4.0183148815238967</v>
      </c>
      <c r="BA9" s="2">
        <f t="shared" si="0"/>
        <v>-3.3909603676833657</v>
      </c>
    </row>
    <row r="10" spans="2:53" ht="27" x14ac:dyDescent="0.2">
      <c r="B10" s="32"/>
      <c r="C10" s="36"/>
      <c r="D10" s="36" t="s">
        <v>26</v>
      </c>
      <c r="E10" s="36"/>
      <c r="F10" s="36"/>
      <c r="G10" s="75" t="s">
        <v>72</v>
      </c>
      <c r="H10" s="70">
        <v>0</v>
      </c>
      <c r="I10" s="90" t="s">
        <v>14</v>
      </c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  <c r="AF10" s="23" t="s">
        <v>17</v>
      </c>
      <c r="AG10" s="2">
        <f>TAN(2 * PI() *AG37)</f>
        <v>9.9655783725635549E-2</v>
      </c>
      <c r="AH10" s="2">
        <f t="shared" ref="AH10:BA10" si="1">TAN(2 * PI() *AH37)</f>
        <v>0.10395681794550105</v>
      </c>
      <c r="AI10" s="2">
        <f t="shared" si="1"/>
        <v>0.10826166058593956</v>
      </c>
      <c r="AJ10" s="2">
        <f t="shared" si="1"/>
        <v>0.1125704729379607</v>
      </c>
      <c r="AK10" s="2">
        <f t="shared" si="1"/>
        <v>0.11688341687820457</v>
      </c>
      <c r="AL10" s="2">
        <f t="shared" si="1"/>
        <v>0.12120065489367754</v>
      </c>
      <c r="AM10" s="2">
        <f t="shared" si="1"/>
        <v>0.12552235010668103</v>
      </c>
      <c r="AN10" s="2">
        <f t="shared" si="1"/>
        <v>0.12984866629994118</v>
      </c>
      <c r="AO10" s="2">
        <f t="shared" si="1"/>
        <v>0.13417976794194808</v>
      </c>
      <c r="AP10" s="2">
        <f t="shared" si="1"/>
        <v>0.13851582021251321</v>
      </c>
      <c r="AQ10" s="126">
        <f t="shared" si="1"/>
        <v>0.14285698902855332</v>
      </c>
      <c r="AR10" s="2">
        <f t="shared" si="1"/>
        <v>0.14720344107010971</v>
      </c>
      <c r="AS10" s="2">
        <f t="shared" si="1"/>
        <v>0.15155534380661176</v>
      </c>
      <c r="AT10" s="2">
        <f t="shared" si="1"/>
        <v>0.1559128655233937</v>
      </c>
      <c r="AU10" s="2">
        <f t="shared" si="1"/>
        <v>0.16027617534847369</v>
      </c>
      <c r="AV10" s="2">
        <f t="shared" si="1"/>
        <v>0.16464544327960476</v>
      </c>
      <c r="AW10" s="2">
        <f t="shared" si="1"/>
        <v>0.16902084021160663</v>
      </c>
      <c r="AX10" s="2">
        <f t="shared" si="1"/>
        <v>0.17340253796398822</v>
      </c>
      <c r="AY10" s="2">
        <f t="shared" si="1"/>
        <v>0.17779070930887111</v>
      </c>
      <c r="AZ10" s="2">
        <f t="shared" si="1"/>
        <v>0.18218552799922272</v>
      </c>
      <c r="BA10" s="2">
        <f t="shared" si="1"/>
        <v>0.1865871687974105</v>
      </c>
    </row>
    <row r="11" spans="2:53" x14ac:dyDescent="0.2">
      <c r="B11" s="32"/>
      <c r="C11" s="36"/>
      <c r="D11" s="36" t="s">
        <v>23</v>
      </c>
      <c r="E11" s="36"/>
      <c r="F11" s="36"/>
      <c r="G11" s="75" t="s">
        <v>73</v>
      </c>
      <c r="H11" s="73">
        <f>H16/4</f>
        <v>3.0612244897959183E-2</v>
      </c>
      <c r="I11" s="90" t="s">
        <v>13</v>
      </c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  <c r="AF11" s="23" t="s">
        <v>20</v>
      </c>
      <c r="AG11" s="2">
        <f>AG31/AG18</f>
        <v>0.19425136197258749</v>
      </c>
      <c r="AH11" s="2">
        <f t="shared" ref="AH11:BA11" si="2">AH31/AH18</f>
        <v>0.18457542837990948</v>
      </c>
      <c r="AI11" s="2">
        <f t="shared" si="2"/>
        <v>0.17621436766061449</v>
      </c>
      <c r="AJ11" s="2">
        <f t="shared" si="2"/>
        <v>0.16899652552291219</v>
      </c>
      <c r="AK11" s="2">
        <f t="shared" si="2"/>
        <v>0.16278202067982128</v>
      </c>
      <c r="AL11" s="2">
        <f t="shared" si="2"/>
        <v>0.1574566043186606</v>
      </c>
      <c r="AM11" s="2">
        <f t="shared" si="2"/>
        <v>0.15292694380745891</v>
      </c>
      <c r="AN11" s="2">
        <f t="shared" si="2"/>
        <v>0.14911698275410734</v>
      </c>
      <c r="AO11" s="2">
        <f t="shared" si="2"/>
        <v>0.14596512500531963</v>
      </c>
      <c r="AP11" s="2">
        <f t="shared" si="2"/>
        <v>0.14342205823218457</v>
      </c>
      <c r="AQ11" s="126">
        <f t="shared" si="2"/>
        <v>0.14144908195922307</v>
      </c>
      <c r="AR11" s="2">
        <f t="shared" si="2"/>
        <v>0.14001684104401457</v>
      </c>
      <c r="AS11" s="2">
        <f t="shared" si="2"/>
        <v>0.13910439268144428</v>
      </c>
      <c r="AT11" s="2">
        <f t="shared" si="2"/>
        <v>0.13869855577290058</v>
      </c>
      <c r="AU11" s="2">
        <f t="shared" si="2"/>
        <v>0.13879350796028131</v>
      </c>
      <c r="AV11" s="2">
        <f t="shared" si="2"/>
        <v>0.13939060925531147</v>
      </c>
      <c r="AW11" s="2">
        <f t="shared" si="2"/>
        <v>0.14049844314718557</v>
      </c>
      <c r="AX11" s="2">
        <f t="shared" si="2"/>
        <v>0.14213307730769925</v>
      </c>
      <c r="AY11" s="2">
        <f t="shared" si="2"/>
        <v>0.14431855741515531</v>
      </c>
      <c r="AZ11" s="2">
        <f t="shared" si="2"/>
        <v>0.14708766008709226</v>
      </c>
      <c r="BA11" s="2">
        <f t="shared" si="2"/>
        <v>0.15048294546677013</v>
      </c>
    </row>
    <row r="12" spans="2:53" ht="27" x14ac:dyDescent="0.2">
      <c r="B12" s="32"/>
      <c r="C12" s="36"/>
      <c r="D12" s="36" t="s">
        <v>22</v>
      </c>
      <c r="E12" s="36"/>
      <c r="F12" s="36"/>
      <c r="G12" s="75" t="s">
        <v>74</v>
      </c>
      <c r="H12" s="73">
        <v>2.7653379988780351E-3</v>
      </c>
      <c r="I12" s="90" t="s">
        <v>13</v>
      </c>
      <c r="J12" s="33"/>
      <c r="K12" s="38"/>
      <c r="L12" s="60"/>
      <c r="M12" s="38"/>
      <c r="N12" s="92">
        <f>H32</f>
        <v>49.999894473639841</v>
      </c>
      <c r="O12" s="93" t="s">
        <v>66</v>
      </c>
      <c r="P12" s="94">
        <f>H33</f>
        <v>9.0388190647817536E-5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  <c r="AF12" s="23" t="s">
        <v>21</v>
      </c>
      <c r="AG12" s="2">
        <f>AG32/AG18</f>
        <v>-0.62448063636512818</v>
      </c>
      <c r="AH12" s="2">
        <f t="shared" ref="AH12:BA12" si="3">AH32/AH18</f>
        <v>-0.56791314626464362</v>
      </c>
      <c r="AI12" s="2">
        <f t="shared" si="3"/>
        <v>-0.51389664342269992</v>
      </c>
      <c r="AJ12" s="2">
        <f t="shared" si="3"/>
        <v>-0.46209490873397702</v>
      </c>
      <c r="AK12" s="2">
        <f t="shared" si="3"/>
        <v>-0.41221128621267877</v>
      </c>
      <c r="AL12" s="2">
        <f t="shared" si="3"/>
        <v>-0.36398183471309054</v>
      </c>
      <c r="AM12" s="2">
        <f t="shared" si="3"/>
        <v>-0.3171696486707864</v>
      </c>
      <c r="AN12" s="2">
        <f t="shared" si="3"/>
        <v>-0.27156010446641399</v>
      </c>
      <c r="AO12" s="2">
        <f t="shared" si="3"/>
        <v>-0.22695683931793803</v>
      </c>
      <c r="AP12" s="2">
        <f t="shared" si="3"/>
        <v>-0.18317830828780904</v>
      </c>
      <c r="AQ12" s="126">
        <f t="shared" si="3"/>
        <v>-0.14005479461397355</v>
      </c>
      <c r="AR12" s="2">
        <f t="shared" si="3"/>
        <v>-9.7425771122856622E-2</v>
      </c>
      <c r="AS12" s="2">
        <f t="shared" si="3"/>
        <v>-5.5137527466002013E-2</v>
      </c>
      <c r="AT12" s="2">
        <f t="shared" si="3"/>
        <v>-1.3040990465000547E-2</v>
      </c>
      <c r="AU12" s="2">
        <f t="shared" si="3"/>
        <v>2.9010326227648309E-2</v>
      </c>
      <c r="AV12" s="2">
        <f t="shared" si="3"/>
        <v>7.1162301064536998E-2</v>
      </c>
      <c r="AW12" s="2">
        <f t="shared" si="3"/>
        <v>0.11356216683723211</v>
      </c>
      <c r="AX12" s="2">
        <f t="shared" si="3"/>
        <v>0.15636051016144634</v>
      </c>
      <c r="AY12" s="2">
        <f t="shared" si="3"/>
        <v>0.19971336383625315</v>
      </c>
      <c r="AZ12" s="2">
        <f t="shared" si="3"/>
        <v>0.24378445189190082</v>
      </c>
      <c r="BA12" s="2">
        <f t="shared" si="3"/>
        <v>0.28874765412151349</v>
      </c>
    </row>
    <row r="13" spans="2:53" x14ac:dyDescent="0.2">
      <c r="B13" s="32"/>
      <c r="C13" s="36"/>
      <c r="D13" s="36"/>
      <c r="E13" s="36"/>
      <c r="F13" s="36"/>
      <c r="G13" s="75"/>
      <c r="H13" s="59"/>
      <c r="I13" s="90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  <c r="AQ13" s="126"/>
    </row>
    <row r="14" spans="2:53" x14ac:dyDescent="0.2">
      <c r="B14" s="32"/>
      <c r="C14" s="49" t="s">
        <v>49</v>
      </c>
      <c r="D14" s="33"/>
      <c r="E14" s="33"/>
      <c r="F14" s="33"/>
      <c r="G14" s="46"/>
      <c r="H14" s="57"/>
      <c r="I14" s="89"/>
      <c r="J14" s="33"/>
      <c r="K14" s="33"/>
      <c r="L14" s="58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5"/>
      <c r="AQ14" s="126" t="s">
        <v>30</v>
      </c>
    </row>
    <row r="15" spans="2:53" x14ac:dyDescent="0.2">
      <c r="B15" s="32"/>
      <c r="C15" s="36"/>
      <c r="D15" s="36"/>
      <c r="E15" s="36"/>
      <c r="F15" s="36"/>
      <c r="G15" s="75"/>
      <c r="H15" s="59"/>
      <c r="I15" s="90"/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  <c r="AQ15" s="126">
        <f>H6</f>
        <v>3</v>
      </c>
    </row>
    <row r="16" spans="2:53" x14ac:dyDescent="0.2">
      <c r="B16" s="32"/>
      <c r="C16" s="36"/>
      <c r="D16" s="36" t="s">
        <v>9</v>
      </c>
      <c r="E16" s="36"/>
      <c r="F16" s="36"/>
      <c r="G16" s="75" t="s">
        <v>15</v>
      </c>
      <c r="H16" s="61">
        <f>300/H7</f>
        <v>0.12244897959183673</v>
      </c>
      <c r="I16" s="90" t="s">
        <v>13</v>
      </c>
      <c r="J16" s="33"/>
      <c r="K16" s="38"/>
      <c r="L16" s="62" t="s">
        <v>16</v>
      </c>
      <c r="M16" s="62">
        <f>TAN(2 * PI() * H21)</f>
        <v>7.000007537609001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  <c r="AF16" s="23" t="s">
        <v>33</v>
      </c>
      <c r="AG16" s="2">
        <f t="shared" ref="AG16:AO16" si="4">AH16-$AQ15</f>
        <v>-30</v>
      </c>
      <c r="AH16" s="2">
        <f t="shared" si="4"/>
        <v>-27</v>
      </c>
      <c r="AI16" s="2">
        <f t="shared" si="4"/>
        <v>-24</v>
      </c>
      <c r="AJ16" s="2">
        <f t="shared" si="4"/>
        <v>-21</v>
      </c>
      <c r="AK16" s="2">
        <f t="shared" si="4"/>
        <v>-18</v>
      </c>
      <c r="AL16" s="2">
        <f t="shared" si="4"/>
        <v>-15</v>
      </c>
      <c r="AM16" s="2">
        <f t="shared" si="4"/>
        <v>-12</v>
      </c>
      <c r="AN16" s="2">
        <f t="shared" si="4"/>
        <v>-9</v>
      </c>
      <c r="AO16" s="2">
        <f t="shared" si="4"/>
        <v>-6</v>
      </c>
      <c r="AP16" s="2">
        <f>-1*$AQ15</f>
        <v>-3</v>
      </c>
      <c r="AQ16" s="126">
        <v>0</v>
      </c>
      <c r="AR16" s="2">
        <f>AQ15</f>
        <v>3</v>
      </c>
      <c r="AS16" s="2">
        <f t="shared" ref="AS16:BA16" si="5">AR16+$AQ15</f>
        <v>6</v>
      </c>
      <c r="AT16" s="2">
        <f t="shared" si="5"/>
        <v>9</v>
      </c>
      <c r="AU16" s="2">
        <f t="shared" si="5"/>
        <v>12</v>
      </c>
      <c r="AV16" s="2">
        <f t="shared" si="5"/>
        <v>15</v>
      </c>
      <c r="AW16" s="2">
        <f t="shared" si="5"/>
        <v>18</v>
      </c>
      <c r="AX16" s="2">
        <f t="shared" si="5"/>
        <v>21</v>
      </c>
      <c r="AY16" s="2">
        <f t="shared" si="5"/>
        <v>24</v>
      </c>
      <c r="AZ16" s="2">
        <f t="shared" si="5"/>
        <v>27</v>
      </c>
      <c r="BA16" s="2">
        <f t="shared" si="5"/>
        <v>30</v>
      </c>
    </row>
    <row r="17" spans="2:53" x14ac:dyDescent="0.2">
      <c r="B17" s="32"/>
      <c r="C17" s="36"/>
      <c r="D17" s="36" t="s">
        <v>25</v>
      </c>
      <c r="E17" s="36"/>
      <c r="F17" s="36"/>
      <c r="G17" s="75" t="s">
        <v>15</v>
      </c>
      <c r="H17" s="61">
        <f>H27+H21</f>
        <v>0.25</v>
      </c>
      <c r="I17" s="90"/>
      <c r="J17" s="33"/>
      <c r="K17" s="38"/>
      <c r="L17" s="62" t="s">
        <v>17</v>
      </c>
      <c r="M17" s="62">
        <f>TAN(2 * PI() * H27)</f>
        <v>0.14285698902855332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  <c r="AG17" s="2">
        <f t="shared" ref="AG17:AP17" si="6">$AQ17 + AG16*$AQ17/100</f>
        <v>1715</v>
      </c>
      <c r="AH17" s="2">
        <f t="shared" si="6"/>
        <v>1788.5</v>
      </c>
      <c r="AI17" s="2">
        <f t="shared" si="6"/>
        <v>1862</v>
      </c>
      <c r="AJ17" s="2">
        <f t="shared" si="6"/>
        <v>1935.5</v>
      </c>
      <c r="AK17" s="2">
        <f t="shared" si="6"/>
        <v>2009</v>
      </c>
      <c r="AL17" s="2">
        <f t="shared" si="6"/>
        <v>2082.5</v>
      </c>
      <c r="AM17" s="2">
        <f t="shared" si="6"/>
        <v>2156</v>
      </c>
      <c r="AN17" s="2">
        <f t="shared" si="6"/>
        <v>2229.5</v>
      </c>
      <c r="AO17" s="2">
        <f t="shared" si="6"/>
        <v>2303</v>
      </c>
      <c r="AP17" s="2">
        <f t="shared" si="6"/>
        <v>2376.5</v>
      </c>
      <c r="AQ17" s="126">
        <f t="shared" ref="AQ17:AQ22" si="7">$H7</f>
        <v>2450</v>
      </c>
      <c r="AR17" s="2">
        <f t="shared" ref="AR17:BA17" si="8">$AQ17 + AR16*$AQ17/100</f>
        <v>2523.5</v>
      </c>
      <c r="AS17" s="2">
        <f t="shared" si="8"/>
        <v>2597</v>
      </c>
      <c r="AT17" s="2">
        <f t="shared" si="8"/>
        <v>2670.5</v>
      </c>
      <c r="AU17" s="2">
        <f t="shared" si="8"/>
        <v>2744</v>
      </c>
      <c r="AV17" s="2">
        <f t="shared" si="8"/>
        <v>2817.5</v>
      </c>
      <c r="AW17" s="2">
        <f t="shared" si="8"/>
        <v>2891</v>
      </c>
      <c r="AX17" s="2">
        <f t="shared" si="8"/>
        <v>2964.5</v>
      </c>
      <c r="AY17" s="2">
        <f t="shared" si="8"/>
        <v>3038</v>
      </c>
      <c r="AZ17" s="2">
        <f t="shared" si="8"/>
        <v>3111.5</v>
      </c>
      <c r="BA17" s="2">
        <f t="shared" si="8"/>
        <v>3185</v>
      </c>
    </row>
    <row r="18" spans="2:53" x14ac:dyDescent="0.2">
      <c r="B18" s="32"/>
      <c r="C18" s="36"/>
      <c r="D18" s="36"/>
      <c r="E18" s="36"/>
      <c r="F18" s="36"/>
      <c r="G18" s="75"/>
      <c r="H18" s="59"/>
      <c r="I18" s="90"/>
      <c r="J18" s="33"/>
      <c r="K18" s="38"/>
      <c r="L18" s="62" t="s">
        <v>20</v>
      </c>
      <c r="M18" s="62">
        <f>H22/H8</f>
        <v>0.14144908195922307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  <c r="AG18" s="2">
        <f t="shared" ref="AG18:AP18" si="9">$H8</f>
        <v>346.6862731134467</v>
      </c>
      <c r="AH18" s="2">
        <f t="shared" si="9"/>
        <v>346.6862731134467</v>
      </c>
      <c r="AI18" s="2">
        <f t="shared" si="9"/>
        <v>346.6862731134467</v>
      </c>
      <c r="AJ18" s="2">
        <f t="shared" si="9"/>
        <v>346.6862731134467</v>
      </c>
      <c r="AK18" s="2">
        <f t="shared" si="9"/>
        <v>346.6862731134467</v>
      </c>
      <c r="AL18" s="2">
        <f t="shared" si="9"/>
        <v>346.6862731134467</v>
      </c>
      <c r="AM18" s="2">
        <f t="shared" si="9"/>
        <v>346.6862731134467</v>
      </c>
      <c r="AN18" s="2">
        <f t="shared" si="9"/>
        <v>346.6862731134467</v>
      </c>
      <c r="AO18" s="2">
        <f t="shared" si="9"/>
        <v>346.6862731134467</v>
      </c>
      <c r="AP18" s="2">
        <f t="shared" si="9"/>
        <v>346.6862731134467</v>
      </c>
      <c r="AQ18" s="126">
        <f t="shared" si="7"/>
        <v>346.6862731134467</v>
      </c>
      <c r="AR18" s="2">
        <f t="shared" ref="AR18:BA18" si="10">$H8</f>
        <v>346.6862731134467</v>
      </c>
      <c r="AS18" s="2">
        <f t="shared" si="10"/>
        <v>346.6862731134467</v>
      </c>
      <c r="AT18" s="2">
        <f t="shared" si="10"/>
        <v>346.6862731134467</v>
      </c>
      <c r="AU18" s="2">
        <f t="shared" si="10"/>
        <v>346.6862731134467</v>
      </c>
      <c r="AV18" s="2">
        <f t="shared" si="10"/>
        <v>346.6862731134467</v>
      </c>
      <c r="AW18" s="2">
        <f t="shared" si="10"/>
        <v>346.6862731134467</v>
      </c>
      <c r="AX18" s="2">
        <f t="shared" si="10"/>
        <v>346.6862731134467</v>
      </c>
      <c r="AY18" s="2">
        <f t="shared" si="10"/>
        <v>346.6862731134467</v>
      </c>
      <c r="AZ18" s="2">
        <f t="shared" si="10"/>
        <v>346.6862731134467</v>
      </c>
      <c r="BA18" s="2">
        <f t="shared" si="10"/>
        <v>346.6862731134467</v>
      </c>
    </row>
    <row r="19" spans="2:53" x14ac:dyDescent="0.2">
      <c r="B19" s="32"/>
      <c r="C19" s="36" t="s">
        <v>50</v>
      </c>
      <c r="D19" s="36"/>
      <c r="E19" s="36"/>
      <c r="F19" s="36"/>
      <c r="G19" s="75"/>
      <c r="H19" s="59"/>
      <c r="I19" s="90"/>
      <c r="J19" s="33"/>
      <c r="K19" s="38"/>
      <c r="L19" s="62" t="s">
        <v>21</v>
      </c>
      <c r="M19" s="62">
        <f>H23/H8</f>
        <v>-0.14005479461397355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  <c r="AG19" s="2">
        <f t="shared" ref="AG19:AP19" si="11">$H9</f>
        <v>2500</v>
      </c>
      <c r="AH19" s="2">
        <f t="shared" si="11"/>
        <v>2500</v>
      </c>
      <c r="AI19" s="2">
        <f t="shared" si="11"/>
        <v>2500</v>
      </c>
      <c r="AJ19" s="2">
        <f t="shared" si="11"/>
        <v>2500</v>
      </c>
      <c r="AK19" s="2">
        <f t="shared" si="11"/>
        <v>2500</v>
      </c>
      <c r="AL19" s="2">
        <f t="shared" si="11"/>
        <v>2500</v>
      </c>
      <c r="AM19" s="2">
        <f t="shared" si="11"/>
        <v>2500</v>
      </c>
      <c r="AN19" s="2">
        <f t="shared" si="11"/>
        <v>2500</v>
      </c>
      <c r="AO19" s="2">
        <f t="shared" si="11"/>
        <v>2500</v>
      </c>
      <c r="AP19" s="2">
        <f t="shared" si="11"/>
        <v>2500</v>
      </c>
      <c r="AQ19" s="126">
        <f t="shared" si="7"/>
        <v>2500</v>
      </c>
      <c r="AR19" s="2">
        <f t="shared" ref="AR19:BA19" si="12">$H9</f>
        <v>2500</v>
      </c>
      <c r="AS19" s="2">
        <f t="shared" si="12"/>
        <v>2500</v>
      </c>
      <c r="AT19" s="2">
        <f t="shared" si="12"/>
        <v>2500</v>
      </c>
      <c r="AU19" s="2">
        <f t="shared" si="12"/>
        <v>2500</v>
      </c>
      <c r="AV19" s="2">
        <f t="shared" si="12"/>
        <v>2500</v>
      </c>
      <c r="AW19" s="2">
        <f t="shared" si="12"/>
        <v>2500</v>
      </c>
      <c r="AX19" s="2">
        <f t="shared" si="12"/>
        <v>2500</v>
      </c>
      <c r="AY19" s="2">
        <f t="shared" si="12"/>
        <v>2500</v>
      </c>
      <c r="AZ19" s="2">
        <f t="shared" si="12"/>
        <v>2500</v>
      </c>
      <c r="BA19" s="2">
        <f t="shared" si="12"/>
        <v>2500</v>
      </c>
    </row>
    <row r="20" spans="2:53" ht="27" x14ac:dyDescent="0.2">
      <c r="B20" s="32"/>
      <c r="C20" s="36"/>
      <c r="D20" s="36" t="s">
        <v>7</v>
      </c>
      <c r="E20" s="36"/>
      <c r="F20" s="36"/>
      <c r="G20" s="75" t="s">
        <v>65</v>
      </c>
      <c r="H20" s="61">
        <f>H11-H12</f>
        <v>2.7846906899081147E-2</v>
      </c>
      <c r="I20" s="90" t="s">
        <v>13</v>
      </c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  <c r="AG20" s="127">
        <f>$H10</f>
        <v>0</v>
      </c>
      <c r="AH20" s="2">
        <f t="shared" ref="AH20:AP20" si="13">$H10</f>
        <v>0</v>
      </c>
      <c r="AI20" s="2">
        <f t="shared" si="13"/>
        <v>0</v>
      </c>
      <c r="AJ20" s="2">
        <f t="shared" si="13"/>
        <v>0</v>
      </c>
      <c r="AK20" s="2">
        <f t="shared" si="13"/>
        <v>0</v>
      </c>
      <c r="AL20" s="2">
        <f t="shared" si="13"/>
        <v>0</v>
      </c>
      <c r="AM20" s="2">
        <f t="shared" si="13"/>
        <v>0</v>
      </c>
      <c r="AN20" s="2">
        <f t="shared" si="13"/>
        <v>0</v>
      </c>
      <c r="AO20" s="2">
        <f t="shared" si="13"/>
        <v>0</v>
      </c>
      <c r="AP20" s="2">
        <f t="shared" si="13"/>
        <v>0</v>
      </c>
      <c r="AQ20" s="126">
        <f t="shared" si="7"/>
        <v>0</v>
      </c>
      <c r="AR20" s="2">
        <f t="shared" ref="AR20:BA20" si="14">$H10</f>
        <v>0</v>
      </c>
      <c r="AS20" s="2">
        <f t="shared" si="14"/>
        <v>0</v>
      </c>
      <c r="AT20" s="2">
        <f t="shared" si="14"/>
        <v>0</v>
      </c>
      <c r="AU20" s="2">
        <f t="shared" si="14"/>
        <v>0</v>
      </c>
      <c r="AV20" s="2">
        <f t="shared" si="14"/>
        <v>0</v>
      </c>
      <c r="AW20" s="2">
        <f t="shared" si="14"/>
        <v>0</v>
      </c>
      <c r="AX20" s="2">
        <f t="shared" si="14"/>
        <v>0</v>
      </c>
      <c r="AY20" s="2">
        <f t="shared" si="14"/>
        <v>0</v>
      </c>
      <c r="AZ20" s="2">
        <f t="shared" si="14"/>
        <v>0</v>
      </c>
      <c r="BA20" s="2">
        <f t="shared" si="14"/>
        <v>0</v>
      </c>
    </row>
    <row r="21" spans="2:53" x14ac:dyDescent="0.2">
      <c r="B21" s="32"/>
      <c r="C21" s="36"/>
      <c r="D21" s="36" t="s">
        <v>19</v>
      </c>
      <c r="E21" s="36"/>
      <c r="F21" s="36"/>
      <c r="G21" s="75"/>
      <c r="H21" s="61">
        <f>H20/H16</f>
        <v>0.22741640634249605</v>
      </c>
      <c r="I21" s="90" t="s">
        <v>18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  <c r="AG21" s="2">
        <f t="shared" ref="AG21:AP21" si="15">$H11</f>
        <v>3.0612244897959183E-2</v>
      </c>
      <c r="AH21" s="2">
        <f t="shared" si="15"/>
        <v>3.0612244897959183E-2</v>
      </c>
      <c r="AI21" s="2">
        <f t="shared" si="15"/>
        <v>3.0612244897959183E-2</v>
      </c>
      <c r="AJ21" s="2">
        <f t="shared" si="15"/>
        <v>3.0612244897959183E-2</v>
      </c>
      <c r="AK21" s="2">
        <f t="shared" si="15"/>
        <v>3.0612244897959183E-2</v>
      </c>
      <c r="AL21" s="2">
        <f t="shared" si="15"/>
        <v>3.0612244897959183E-2</v>
      </c>
      <c r="AM21" s="2">
        <f t="shared" si="15"/>
        <v>3.0612244897959183E-2</v>
      </c>
      <c r="AN21" s="2">
        <f t="shared" si="15"/>
        <v>3.0612244897959183E-2</v>
      </c>
      <c r="AO21" s="2">
        <f t="shared" si="15"/>
        <v>3.0612244897959183E-2</v>
      </c>
      <c r="AP21" s="2">
        <f t="shared" si="15"/>
        <v>3.0612244897959183E-2</v>
      </c>
      <c r="AQ21" s="126">
        <f t="shared" si="7"/>
        <v>3.0612244897959183E-2</v>
      </c>
      <c r="AR21" s="2">
        <f t="shared" ref="AR21:BA21" si="16">$H11</f>
        <v>3.0612244897959183E-2</v>
      </c>
      <c r="AS21" s="2">
        <f t="shared" si="16"/>
        <v>3.0612244897959183E-2</v>
      </c>
      <c r="AT21" s="2">
        <f t="shared" si="16"/>
        <v>3.0612244897959183E-2</v>
      </c>
      <c r="AU21" s="2">
        <f t="shared" si="16"/>
        <v>3.0612244897959183E-2</v>
      </c>
      <c r="AV21" s="2">
        <f t="shared" si="16"/>
        <v>3.0612244897959183E-2</v>
      </c>
      <c r="AW21" s="2">
        <f t="shared" si="16"/>
        <v>3.0612244897959183E-2</v>
      </c>
      <c r="AX21" s="2">
        <f t="shared" si="16"/>
        <v>3.0612244897959183E-2</v>
      </c>
      <c r="AY21" s="2">
        <f t="shared" si="16"/>
        <v>3.0612244897959183E-2</v>
      </c>
      <c r="AZ21" s="2">
        <f t="shared" si="16"/>
        <v>3.0612244897959183E-2</v>
      </c>
      <c r="BA21" s="2">
        <f t="shared" si="16"/>
        <v>3.0612244897959183E-2</v>
      </c>
    </row>
    <row r="22" spans="2:53" ht="27" x14ac:dyDescent="0.2">
      <c r="B22" s="32"/>
      <c r="C22" s="36"/>
      <c r="D22" s="36" t="s">
        <v>10</v>
      </c>
      <c r="E22" s="36"/>
      <c r="F22" s="36"/>
      <c r="G22" s="75" t="s">
        <v>70</v>
      </c>
      <c r="H22" s="59">
        <f>H8*(H9*H8 + H9*H8*M16*M16)/(H8*H8 + H9*H9*M16*M16)</f>
        <v>49.03845505976151</v>
      </c>
      <c r="I22" s="90" t="s">
        <v>14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  <c r="AF22" s="23" t="s">
        <v>56</v>
      </c>
      <c r="AG22" s="2">
        <f t="shared" ref="AG22:AP22" si="17">$H12</f>
        <v>2.7653379988780351E-3</v>
      </c>
      <c r="AH22" s="2">
        <f t="shared" si="17"/>
        <v>2.7653379988780351E-3</v>
      </c>
      <c r="AI22" s="2">
        <f t="shared" si="17"/>
        <v>2.7653379988780351E-3</v>
      </c>
      <c r="AJ22" s="2">
        <f t="shared" si="17"/>
        <v>2.7653379988780351E-3</v>
      </c>
      <c r="AK22" s="2">
        <f t="shared" si="17"/>
        <v>2.7653379988780351E-3</v>
      </c>
      <c r="AL22" s="2">
        <f t="shared" si="17"/>
        <v>2.7653379988780351E-3</v>
      </c>
      <c r="AM22" s="2">
        <f t="shared" si="17"/>
        <v>2.7653379988780351E-3</v>
      </c>
      <c r="AN22" s="2">
        <f t="shared" si="17"/>
        <v>2.7653379988780351E-3</v>
      </c>
      <c r="AO22" s="2">
        <f t="shared" si="17"/>
        <v>2.7653379988780351E-3</v>
      </c>
      <c r="AP22" s="2">
        <f t="shared" si="17"/>
        <v>2.7653379988780351E-3</v>
      </c>
      <c r="AQ22" s="126">
        <f t="shared" si="7"/>
        <v>2.7653379988780351E-3</v>
      </c>
      <c r="AR22" s="2">
        <f t="shared" ref="AR22:BA22" si="18">$H12</f>
        <v>2.7653379988780351E-3</v>
      </c>
      <c r="AS22" s="2">
        <f t="shared" si="18"/>
        <v>2.7653379988780351E-3</v>
      </c>
      <c r="AT22" s="2">
        <f t="shared" si="18"/>
        <v>2.7653379988780351E-3</v>
      </c>
      <c r="AU22" s="2">
        <f t="shared" si="18"/>
        <v>2.7653379988780351E-3</v>
      </c>
      <c r="AV22" s="2">
        <f t="shared" si="18"/>
        <v>2.7653379988780351E-3</v>
      </c>
      <c r="AW22" s="2">
        <f t="shared" si="18"/>
        <v>2.7653379988780351E-3</v>
      </c>
      <c r="AX22" s="2">
        <f t="shared" si="18"/>
        <v>2.7653379988780351E-3</v>
      </c>
      <c r="AY22" s="2">
        <f t="shared" si="18"/>
        <v>2.7653379988780351E-3</v>
      </c>
      <c r="AZ22" s="2">
        <f t="shared" si="18"/>
        <v>2.7653379988780351E-3</v>
      </c>
      <c r="BA22" s="2">
        <f t="shared" si="18"/>
        <v>2.7653379988780351E-3</v>
      </c>
    </row>
    <row r="23" spans="2:53" ht="27" x14ac:dyDescent="0.2">
      <c r="B23" s="32"/>
      <c r="C23" s="36"/>
      <c r="D23" s="36"/>
      <c r="E23" s="36"/>
      <c r="F23" s="36"/>
      <c r="G23" s="75" t="s">
        <v>76</v>
      </c>
      <c r="H23" s="59">
        <f>H8*(H8*H8*M16 - H9*H9*M16)/(H8*H8 + H9*H9*M16*M16)</f>
        <v>-48.55507477638772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  <c r="AQ23" s="126"/>
    </row>
    <row r="24" spans="2:53" x14ac:dyDescent="0.2">
      <c r="B24" s="32"/>
      <c r="C24" s="36"/>
      <c r="D24" s="36"/>
      <c r="E24" s="36"/>
      <c r="F24" s="36"/>
      <c r="G24" s="75"/>
      <c r="H24" s="59"/>
      <c r="I24" s="90"/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Q24" s="126"/>
    </row>
    <row r="25" spans="2:53" x14ac:dyDescent="0.2">
      <c r="B25" s="32"/>
      <c r="C25" s="36" t="s">
        <v>51</v>
      </c>
      <c r="D25" s="36"/>
      <c r="E25" s="36"/>
      <c r="F25" s="36"/>
      <c r="G25" s="75"/>
      <c r="H25" s="59"/>
      <c r="I25" s="90"/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G25" s="2">
        <f>300/AG17</f>
        <v>0.1749271137026239</v>
      </c>
      <c r="AH25" s="2">
        <f t="shared" ref="AH25:BA25" si="19">300/AH17</f>
        <v>0.16773832820799553</v>
      </c>
      <c r="AI25" s="2">
        <f t="shared" si="19"/>
        <v>0.1611170784103115</v>
      </c>
      <c r="AJ25" s="2">
        <f t="shared" si="19"/>
        <v>0.15499870834409712</v>
      </c>
      <c r="AK25" s="2">
        <f t="shared" si="19"/>
        <v>0.14932802389248381</v>
      </c>
      <c r="AL25" s="2">
        <f t="shared" si="19"/>
        <v>0.14405762304921968</v>
      </c>
      <c r="AM25" s="2">
        <f t="shared" si="19"/>
        <v>0.1391465677179963</v>
      </c>
      <c r="AN25" s="2">
        <f t="shared" si="19"/>
        <v>0.13455931823278763</v>
      </c>
      <c r="AO25" s="2">
        <f t="shared" si="19"/>
        <v>0.13026487190620928</v>
      </c>
      <c r="AP25" s="2">
        <f t="shared" si="19"/>
        <v>0.12623606143488322</v>
      </c>
      <c r="AQ25" s="126">
        <f>300/AQ17</f>
        <v>0.12244897959183673</v>
      </c>
      <c r="AR25" s="2">
        <f t="shared" si="19"/>
        <v>0.11888250445809392</v>
      </c>
      <c r="AS25" s="2">
        <f t="shared" si="19"/>
        <v>0.11551790527531768</v>
      </c>
      <c r="AT25" s="2">
        <f t="shared" si="19"/>
        <v>0.11233851338700618</v>
      </c>
      <c r="AU25" s="2">
        <f t="shared" si="19"/>
        <v>0.10932944606413994</v>
      </c>
      <c r="AV25" s="2">
        <f t="shared" si="19"/>
        <v>0.1064773735581189</v>
      </c>
      <c r="AW25" s="2">
        <f t="shared" si="19"/>
        <v>0.10377032168799723</v>
      </c>
      <c r="AX25" s="2">
        <f t="shared" si="19"/>
        <v>0.1011975037949064</v>
      </c>
      <c r="AY25" s="2">
        <f t="shared" si="19"/>
        <v>9.8749177090190918E-2</v>
      </c>
      <c r="AZ25" s="2">
        <f t="shared" si="19"/>
        <v>9.6416519363650977E-2</v>
      </c>
      <c r="BA25" s="2">
        <f t="shared" si="19"/>
        <v>9.4191522762951341E-2</v>
      </c>
    </row>
    <row r="26" spans="2:53" ht="27" x14ac:dyDescent="0.2">
      <c r="B26" s="32"/>
      <c r="C26" s="36"/>
      <c r="D26" s="36" t="s">
        <v>7</v>
      </c>
      <c r="E26" s="36"/>
      <c r="F26" s="36"/>
      <c r="G26" s="75" t="s">
        <v>64</v>
      </c>
      <c r="H26" s="61">
        <f>H12</f>
        <v>2.7653379988780351E-3</v>
      </c>
      <c r="I26" s="90" t="s">
        <v>13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G26" s="2">
        <f>AG37+AG30</f>
        <v>0.17499999999999999</v>
      </c>
      <c r="AH26" s="2">
        <f t="shared" ref="AH26:BA26" si="20">AH37+AH30</f>
        <v>0.1825</v>
      </c>
      <c r="AI26" s="2">
        <f t="shared" si="20"/>
        <v>0.19</v>
      </c>
      <c r="AJ26" s="2">
        <f t="shared" si="20"/>
        <v>0.19750000000000001</v>
      </c>
      <c r="AK26" s="2">
        <f t="shared" si="20"/>
        <v>0.20500000000000002</v>
      </c>
      <c r="AL26" s="2">
        <f t="shared" si="20"/>
        <v>0.21249999999999999</v>
      </c>
      <c r="AM26" s="2">
        <f t="shared" si="20"/>
        <v>0.21999999999999997</v>
      </c>
      <c r="AN26" s="2">
        <f t="shared" si="20"/>
        <v>0.22749999999999998</v>
      </c>
      <c r="AO26" s="2">
        <f t="shared" si="20"/>
        <v>0.23500000000000001</v>
      </c>
      <c r="AP26" s="2">
        <f t="shared" si="20"/>
        <v>0.24250000000000002</v>
      </c>
      <c r="AQ26" s="126">
        <f t="shared" si="20"/>
        <v>0.25</v>
      </c>
      <c r="AR26" s="2">
        <f t="shared" si="20"/>
        <v>0.25750000000000001</v>
      </c>
      <c r="AS26" s="2">
        <f t="shared" si="20"/>
        <v>0.26500000000000001</v>
      </c>
      <c r="AT26" s="2">
        <f t="shared" si="20"/>
        <v>0.27249999999999996</v>
      </c>
      <c r="AU26" s="2">
        <f t="shared" si="20"/>
        <v>0.27999999999999997</v>
      </c>
      <c r="AV26" s="2">
        <f t="shared" si="20"/>
        <v>0.28749999999999998</v>
      </c>
      <c r="AW26" s="2">
        <f t="shared" si="20"/>
        <v>0.29500000000000004</v>
      </c>
      <c r="AX26" s="2">
        <f t="shared" si="20"/>
        <v>0.30249999999999999</v>
      </c>
      <c r="AY26" s="2">
        <f t="shared" si="20"/>
        <v>0.31</v>
      </c>
      <c r="AZ26" s="2">
        <f t="shared" si="20"/>
        <v>0.31749999999999995</v>
      </c>
      <c r="BA26" s="2">
        <f t="shared" si="20"/>
        <v>0.32499999999999996</v>
      </c>
    </row>
    <row r="27" spans="2:53" x14ac:dyDescent="0.2">
      <c r="B27" s="32"/>
      <c r="C27" s="36"/>
      <c r="D27" s="36" t="s">
        <v>19</v>
      </c>
      <c r="E27" s="36"/>
      <c r="F27" s="36"/>
      <c r="G27" s="75"/>
      <c r="H27" s="61">
        <f>H26/H16</f>
        <v>2.2583593657503953E-2</v>
      </c>
      <c r="I27" s="90" t="s">
        <v>18</v>
      </c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Q27" s="126"/>
    </row>
    <row r="28" spans="2:53" ht="27" x14ac:dyDescent="0.2">
      <c r="B28" s="32"/>
      <c r="C28" s="36"/>
      <c r="D28" s="36" t="s">
        <v>10</v>
      </c>
      <c r="E28" s="36"/>
      <c r="F28" s="36"/>
      <c r="G28" s="75" t="s">
        <v>77</v>
      </c>
      <c r="H28" s="59">
        <v>0</v>
      </c>
      <c r="I28" s="90" t="s">
        <v>14</v>
      </c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  <c r="AQ28" s="126"/>
    </row>
    <row r="29" spans="2:53" ht="27" x14ac:dyDescent="0.2">
      <c r="B29" s="32"/>
      <c r="C29" s="36"/>
      <c r="D29" s="36"/>
      <c r="E29" s="36"/>
      <c r="F29" s="36"/>
      <c r="G29" s="75" t="s">
        <v>78</v>
      </c>
      <c r="H29" s="59">
        <f>H8*(H8*H8*M17 - H10*H10*M17)/(H8*H8 + H10*H10*M17*M17)</f>
        <v>49.526557114517686</v>
      </c>
      <c r="I29" s="90" t="s">
        <v>14</v>
      </c>
      <c r="J29" s="33"/>
      <c r="K29" s="38"/>
      <c r="L29" s="6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  <c r="AG29" s="2">
        <f>AG21-AG22</f>
        <v>2.7846906899081147E-2</v>
      </c>
      <c r="AH29" s="2">
        <f t="shared" ref="AH29:BA29" si="21">AH21-AH22</f>
        <v>2.7846906899081147E-2</v>
      </c>
      <c r="AI29" s="2">
        <f t="shared" si="21"/>
        <v>2.7846906899081147E-2</v>
      </c>
      <c r="AJ29" s="2">
        <f t="shared" si="21"/>
        <v>2.7846906899081147E-2</v>
      </c>
      <c r="AK29" s="2">
        <f t="shared" si="21"/>
        <v>2.7846906899081147E-2</v>
      </c>
      <c r="AL29" s="2">
        <f t="shared" si="21"/>
        <v>2.7846906899081147E-2</v>
      </c>
      <c r="AM29" s="2">
        <f t="shared" si="21"/>
        <v>2.7846906899081147E-2</v>
      </c>
      <c r="AN29" s="2">
        <f t="shared" si="21"/>
        <v>2.7846906899081147E-2</v>
      </c>
      <c r="AO29" s="2">
        <f t="shared" si="21"/>
        <v>2.7846906899081147E-2</v>
      </c>
      <c r="AP29" s="2">
        <f t="shared" si="21"/>
        <v>2.7846906899081147E-2</v>
      </c>
      <c r="AQ29" s="126">
        <f t="shared" si="21"/>
        <v>2.7846906899081147E-2</v>
      </c>
      <c r="AR29" s="2">
        <f t="shared" si="21"/>
        <v>2.7846906899081147E-2</v>
      </c>
      <c r="AS29" s="2">
        <f t="shared" si="21"/>
        <v>2.7846906899081147E-2</v>
      </c>
      <c r="AT29" s="2">
        <f t="shared" si="21"/>
        <v>2.7846906899081147E-2</v>
      </c>
      <c r="AU29" s="2">
        <f t="shared" si="21"/>
        <v>2.7846906899081147E-2</v>
      </c>
      <c r="AV29" s="2">
        <f t="shared" si="21"/>
        <v>2.7846906899081147E-2</v>
      </c>
      <c r="AW29" s="2">
        <f t="shared" si="21"/>
        <v>2.7846906899081147E-2</v>
      </c>
      <c r="AX29" s="2">
        <f t="shared" si="21"/>
        <v>2.7846906899081147E-2</v>
      </c>
      <c r="AY29" s="2">
        <f t="shared" si="21"/>
        <v>2.7846906899081147E-2</v>
      </c>
      <c r="AZ29" s="2">
        <f t="shared" si="21"/>
        <v>2.7846906899081147E-2</v>
      </c>
      <c r="BA29" s="2">
        <f t="shared" si="21"/>
        <v>2.7846906899081147E-2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G30" s="2">
        <f>AG29/AG25</f>
        <v>0.15919148443974723</v>
      </c>
      <c r="AH30" s="2">
        <f t="shared" ref="AH30:BA30" si="22">AH29/AH25</f>
        <v>0.1660139766300221</v>
      </c>
      <c r="AI30" s="2">
        <f t="shared" si="22"/>
        <v>0.17283646882029699</v>
      </c>
      <c r="AJ30" s="2">
        <f t="shared" si="22"/>
        <v>0.17965896101057188</v>
      </c>
      <c r="AK30" s="2">
        <f t="shared" si="22"/>
        <v>0.18648145320084678</v>
      </c>
      <c r="AL30" s="2">
        <f t="shared" si="22"/>
        <v>0.19330394539112164</v>
      </c>
      <c r="AM30" s="2">
        <f t="shared" si="22"/>
        <v>0.2001264375813965</v>
      </c>
      <c r="AN30" s="2">
        <f t="shared" si="22"/>
        <v>0.20694892977167137</v>
      </c>
      <c r="AO30" s="2">
        <f t="shared" si="22"/>
        <v>0.21377142196194629</v>
      </c>
      <c r="AP30" s="2">
        <f t="shared" si="22"/>
        <v>0.22059391415222118</v>
      </c>
      <c r="AQ30" s="126">
        <f>AQ29/AQ25</f>
        <v>0.22741640634249605</v>
      </c>
      <c r="AR30" s="2">
        <f t="shared" si="22"/>
        <v>0.23423889853277091</v>
      </c>
      <c r="AS30" s="2">
        <f t="shared" si="22"/>
        <v>0.2410613907230458</v>
      </c>
      <c r="AT30" s="2">
        <f t="shared" si="22"/>
        <v>0.24788388291332067</v>
      </c>
      <c r="AU30" s="2">
        <f t="shared" si="22"/>
        <v>0.25470637510359556</v>
      </c>
      <c r="AV30" s="2">
        <f t="shared" si="22"/>
        <v>0.26152886729387043</v>
      </c>
      <c r="AW30" s="2">
        <f t="shared" si="22"/>
        <v>0.26835135948414535</v>
      </c>
      <c r="AX30" s="2">
        <f t="shared" si="22"/>
        <v>0.27517385167442021</v>
      </c>
      <c r="AY30" s="2">
        <f t="shared" si="22"/>
        <v>0.28199634386469508</v>
      </c>
      <c r="AZ30" s="2">
        <f t="shared" si="22"/>
        <v>0.28881883605496994</v>
      </c>
      <c r="BA30" s="2">
        <f t="shared" si="22"/>
        <v>0.29564132824524481</v>
      </c>
    </row>
    <row r="31" spans="2:53" x14ac:dyDescent="0.2">
      <c r="B31" s="32"/>
      <c r="C31" s="36"/>
      <c r="D31" s="36"/>
      <c r="E31" s="36"/>
      <c r="F31" s="36"/>
      <c r="G31" s="75"/>
      <c r="H31" s="59"/>
      <c r="I31" s="90"/>
      <c r="J31" s="33"/>
      <c r="K31" s="38"/>
      <c r="L31" s="6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G31" s="2">
        <f t="shared" ref="AG31:BA31" si="23">AG18*(AG19*AG18 + AG19*AG18*AG9*AG9)/(AG18*AG18 + AG19*AG19*AG9*AG9)</f>
        <v>67.344280729487465</v>
      </c>
      <c r="AH31" s="2">
        <f t="shared" si="23"/>
        <v>63.98976737334872</v>
      </c>
      <c r="AI31" s="2">
        <f t="shared" si="23"/>
        <v>61.091102393301107</v>
      </c>
      <c r="AJ31" s="2">
        <f t="shared" si="23"/>
        <v>58.588775602659908</v>
      </c>
      <c r="AK31" s="2">
        <f t="shared" si="23"/>
        <v>56.434292079363246</v>
      </c>
      <c r="AL31" s="2">
        <f t="shared" si="23"/>
        <v>54.588043328335083</v>
      </c>
      <c r="AM31" s="2">
        <f t="shared" si="23"/>
        <v>53.017672207237418</v>
      </c>
      <c r="AN31" s="2">
        <f t="shared" si="23"/>
        <v>51.696811008943577</v>
      </c>
      <c r="AO31" s="2">
        <f t="shared" si="23"/>
        <v>50.60410519263263</v>
      </c>
      <c r="AP31" s="2">
        <f t="shared" si="23"/>
        <v>49.722458850775794</v>
      </c>
      <c r="AQ31" s="126">
        <f t="shared" si="23"/>
        <v>49.03845505976151</v>
      </c>
      <c r="AR31" s="2">
        <f t="shared" si="23"/>
        <v>48.541916794667287</v>
      </c>
      <c r="AS31" s="2">
        <f t="shared" si="23"/>
        <v>48.225583472439332</v>
      </c>
      <c r="AT31" s="2">
        <f t="shared" si="23"/>
        <v>48.08488538712443</v>
      </c>
      <c r="AU31" s="2">
        <f t="shared" si="23"/>
        <v>48.117804007091429</v>
      </c>
      <c r="AV31" s="2">
        <f t="shared" si="23"/>
        <v>48.324810829736641</v>
      </c>
      <c r="AW31" s="2">
        <f t="shared" si="23"/>
        <v>48.708881632939239</v>
      </c>
      <c r="AX31" s="2">
        <f t="shared" si="23"/>
        <v>49.275586857951659</v>
      </c>
      <c r="AY31" s="2">
        <f t="shared" si="23"/>
        <v>50.03326281136917</v>
      </c>
      <c r="AZ31" s="2">
        <f t="shared" si="23"/>
        <v>50.993272696571481</v>
      </c>
      <c r="BA31" s="2">
        <f t="shared" si="23"/>
        <v>52.170371531008577</v>
      </c>
    </row>
    <row r="32" spans="2:53" x14ac:dyDescent="0.2">
      <c r="B32" s="32"/>
      <c r="C32" s="36"/>
      <c r="D32" s="36" t="s">
        <v>55</v>
      </c>
      <c r="E32" s="36"/>
      <c r="F32" s="36"/>
      <c r="G32" s="75" t="s">
        <v>79</v>
      </c>
      <c r="H32" s="67">
        <f>H8*(M17*M17*M18)/((M17+M19)*(M17+M19) + M18*M18)</f>
        <v>49.999894473639841</v>
      </c>
      <c r="I32" s="90" t="s">
        <v>14</v>
      </c>
      <c r="J32" s="33"/>
      <c r="K32" s="38"/>
      <c r="L32" s="6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BA32" si="24">AG18*(AG18*AG18*AG9 - AG19*AG19*AG9)/(AG18*AG18 + AG19*AG19*AG9*AG9)</f>
        <v>-216.49886445293981</v>
      </c>
      <c r="AH32" s="2">
        <f t="shared" si="24"/>
        <v>-196.88769213062105</v>
      </c>
      <c r="AI32" s="2">
        <f t="shared" si="24"/>
        <v>-178.16091207372568</v>
      </c>
      <c r="AJ32" s="2">
        <f t="shared" si="24"/>
        <v>-160.20196173368078</v>
      </c>
      <c r="AK32" s="2">
        <f t="shared" si="24"/>
        <v>-142.90799455237391</v>
      </c>
      <c r="AL32" s="2">
        <f t="shared" si="24"/>
        <v>-126.18750575767592</v>
      </c>
      <c r="AM32" s="2">
        <f t="shared" si="24"/>
        <v>-109.95836344237618</v>
      </c>
      <c r="AN32" s="2">
        <f t="shared" si="24"/>
        <v>-94.146160543759308</v>
      </c>
      <c r="AO32" s="2">
        <f t="shared" si="24"/>
        <v>-78.682820780743299</v>
      </c>
      <c r="AP32" s="2">
        <f t="shared" si="24"/>
        <v>-63.505405015526499</v>
      </c>
      <c r="AQ32" s="126">
        <f t="shared" si="24"/>
        <v>-48.55507477638772</v>
      </c>
      <c r="AR32" s="2">
        <f t="shared" si="24"/>
        <v>-33.776177495786818</v>
      </c>
      <c r="AS32" s="2">
        <f t="shared" si="24"/>
        <v>-19.115423905878544</v>
      </c>
      <c r="AT32" s="2">
        <f t="shared" si="24"/>
        <v>-4.5211323820190339</v>
      </c>
      <c r="AU32" s="2">
        <f t="shared" si="24"/>
        <v>10.057481881668668</v>
      </c>
      <c r="AV32" s="2">
        <f t="shared" si="24"/>
        <v>24.670992942241391</v>
      </c>
      <c r="AW32" s="2">
        <f t="shared" si="24"/>
        <v>39.370444387487453</v>
      </c>
      <c r="AX32" s="2">
        <f t="shared" si="24"/>
        <v>54.208042529989044</v>
      </c>
      <c r="AY32" s="2">
        <f t="shared" si="24"/>
        <v>69.237881799340414</v>
      </c>
      <c r="AZ32" s="2">
        <f t="shared" si="24"/>
        <v>84.516723069407433</v>
      </c>
      <c r="BA32" s="2">
        <f t="shared" si="24"/>
        <v>100.10484807763807</v>
      </c>
    </row>
    <row r="33" spans="2:53" x14ac:dyDescent="0.2">
      <c r="B33" s="32"/>
      <c r="C33" s="36"/>
      <c r="D33" s="36"/>
      <c r="E33" s="36"/>
      <c r="F33" s="36"/>
      <c r="G33" s="75" t="s">
        <v>80</v>
      </c>
      <c r="H33" s="68">
        <f>H8*(M17*M18*M18+M17*M17*M19)/((M17+M19)*(M17+M19)+M18*M18)</f>
        <v>9.0388190647817536E-5</v>
      </c>
      <c r="I33" s="90" t="s">
        <v>14</v>
      </c>
      <c r="J33" s="33"/>
      <c r="K33" s="38"/>
      <c r="L33" s="60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Q33" s="126"/>
    </row>
    <row r="34" spans="2:53" x14ac:dyDescent="0.2">
      <c r="B34" s="32"/>
      <c r="C34" s="36"/>
      <c r="D34" s="36"/>
      <c r="E34" s="36"/>
      <c r="F34" s="36"/>
      <c r="G34" s="75"/>
      <c r="H34" s="59"/>
      <c r="I34" s="90"/>
      <c r="J34" s="33"/>
      <c r="K34" s="38"/>
      <c r="L34" s="6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Q34" s="126"/>
    </row>
    <row r="35" spans="2:53" x14ac:dyDescent="0.2">
      <c r="B35" s="32"/>
      <c r="C35" s="36"/>
      <c r="D35" s="36"/>
      <c r="E35" s="36"/>
      <c r="F35" s="36"/>
      <c r="G35" s="75" t="s">
        <v>32</v>
      </c>
      <c r="H35" s="59">
        <f>SQRT(H32*H32 + H33*H33)</f>
        <v>49.99989447372154</v>
      </c>
      <c r="I35" s="90" t="s">
        <v>14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Q35" s="126"/>
    </row>
    <row r="36" spans="2:53" x14ac:dyDescent="0.2">
      <c r="B36" s="32"/>
      <c r="C36" s="36"/>
      <c r="D36" s="36"/>
      <c r="E36" s="36"/>
      <c r="F36" s="36"/>
      <c r="G36" s="75"/>
      <c r="H36" s="59"/>
      <c r="I36" s="90"/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">
        <f>AG22</f>
        <v>2.7653379988780351E-3</v>
      </c>
      <c r="AH36" s="2">
        <f t="shared" ref="AH36:BA36" si="25">AH22</f>
        <v>2.7653379988780351E-3</v>
      </c>
      <c r="AI36" s="2">
        <f t="shared" si="25"/>
        <v>2.7653379988780351E-3</v>
      </c>
      <c r="AJ36" s="2">
        <f t="shared" si="25"/>
        <v>2.7653379988780351E-3</v>
      </c>
      <c r="AK36" s="2">
        <f t="shared" si="25"/>
        <v>2.7653379988780351E-3</v>
      </c>
      <c r="AL36" s="2">
        <f t="shared" si="25"/>
        <v>2.7653379988780351E-3</v>
      </c>
      <c r="AM36" s="2">
        <f t="shared" si="25"/>
        <v>2.7653379988780351E-3</v>
      </c>
      <c r="AN36" s="2">
        <f t="shared" si="25"/>
        <v>2.7653379988780351E-3</v>
      </c>
      <c r="AO36" s="2">
        <f t="shared" si="25"/>
        <v>2.7653379988780351E-3</v>
      </c>
      <c r="AP36" s="2">
        <f t="shared" si="25"/>
        <v>2.7653379988780351E-3</v>
      </c>
      <c r="AQ36" s="126">
        <f t="shared" si="25"/>
        <v>2.7653379988780351E-3</v>
      </c>
      <c r="AR36" s="2">
        <f t="shared" si="25"/>
        <v>2.7653379988780351E-3</v>
      </c>
      <c r="AS36" s="2">
        <f t="shared" si="25"/>
        <v>2.7653379988780351E-3</v>
      </c>
      <c r="AT36" s="2">
        <f t="shared" si="25"/>
        <v>2.7653379988780351E-3</v>
      </c>
      <c r="AU36" s="2">
        <f t="shared" si="25"/>
        <v>2.7653379988780351E-3</v>
      </c>
      <c r="AV36" s="2">
        <f t="shared" si="25"/>
        <v>2.7653379988780351E-3</v>
      </c>
      <c r="AW36" s="2">
        <f t="shared" si="25"/>
        <v>2.7653379988780351E-3</v>
      </c>
      <c r="AX36" s="2">
        <f t="shared" si="25"/>
        <v>2.7653379988780351E-3</v>
      </c>
      <c r="AY36" s="2">
        <f t="shared" si="25"/>
        <v>2.7653379988780351E-3</v>
      </c>
      <c r="AZ36" s="2">
        <f t="shared" si="25"/>
        <v>2.7653379988780351E-3</v>
      </c>
      <c r="BA36" s="2">
        <f t="shared" si="25"/>
        <v>2.7653379988780351E-3</v>
      </c>
    </row>
    <row r="37" spans="2:53" x14ac:dyDescent="0.2">
      <c r="B37" s="32"/>
      <c r="C37" s="33"/>
      <c r="D37" s="33"/>
      <c r="E37" s="33"/>
      <c r="F37" s="33"/>
      <c r="G37" s="46"/>
      <c r="H37" s="57"/>
      <c r="I37" s="89"/>
      <c r="J37" s="33"/>
      <c r="K37" s="33"/>
      <c r="L37" s="58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5"/>
      <c r="AG37" s="2">
        <f>AG36/AG25</f>
        <v>1.5808515560252766E-2</v>
      </c>
      <c r="AH37" s="2">
        <f t="shared" ref="AH37:BA37" si="26">AH36/AH25</f>
        <v>1.6486023369977884E-2</v>
      </c>
      <c r="AI37" s="2">
        <f t="shared" si="26"/>
        <v>1.7163531179703002E-2</v>
      </c>
      <c r="AJ37" s="2">
        <f t="shared" si="26"/>
        <v>1.7841038989428123E-2</v>
      </c>
      <c r="AK37" s="2">
        <f t="shared" si="26"/>
        <v>1.8518546799153244E-2</v>
      </c>
      <c r="AL37" s="2">
        <f t="shared" si="26"/>
        <v>1.9196054608878362E-2</v>
      </c>
      <c r="AM37" s="2">
        <f t="shared" si="26"/>
        <v>1.9873562418603476E-2</v>
      </c>
      <c r="AN37" s="2">
        <f t="shared" si="26"/>
        <v>2.0551070228328597E-2</v>
      </c>
      <c r="AO37" s="2">
        <f t="shared" si="26"/>
        <v>2.1228578038053718E-2</v>
      </c>
      <c r="AP37" s="2">
        <f t="shared" si="26"/>
        <v>2.1906085847778835E-2</v>
      </c>
      <c r="AQ37" s="126">
        <f t="shared" si="26"/>
        <v>2.2583593657503953E-2</v>
      </c>
      <c r="AR37" s="2">
        <f t="shared" si="26"/>
        <v>2.3261101467229071E-2</v>
      </c>
      <c r="AS37" s="2">
        <f t="shared" si="26"/>
        <v>2.3938609276954188E-2</v>
      </c>
      <c r="AT37" s="2">
        <f t="shared" si="26"/>
        <v>2.4616117086679309E-2</v>
      </c>
      <c r="AU37" s="2">
        <f t="shared" si="26"/>
        <v>2.5293624896404427E-2</v>
      </c>
      <c r="AV37" s="2">
        <f t="shared" si="26"/>
        <v>2.5971132706129545E-2</v>
      </c>
      <c r="AW37" s="2">
        <f t="shared" si="26"/>
        <v>2.6648640515854666E-2</v>
      </c>
      <c r="AX37" s="2">
        <f t="shared" si="26"/>
        <v>2.732614832557978E-2</v>
      </c>
      <c r="AY37" s="2">
        <f t="shared" si="26"/>
        <v>2.8003656135304901E-2</v>
      </c>
      <c r="AZ37" s="2">
        <f t="shared" si="26"/>
        <v>2.8681163945030019E-2</v>
      </c>
      <c r="BA37" s="2">
        <f t="shared" si="26"/>
        <v>2.9358671754755136E-2</v>
      </c>
    </row>
    <row r="38" spans="2:53" s="4" customFormat="1" ht="28" x14ac:dyDescent="0.2">
      <c r="B38" s="28"/>
      <c r="C38" s="4" t="s">
        <v>52</v>
      </c>
      <c r="G38" s="76"/>
      <c r="H38" s="55"/>
      <c r="I38" s="88"/>
      <c r="J38" s="30"/>
      <c r="K38" s="30"/>
      <c r="L38" s="56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  <c r="AF38" s="5"/>
      <c r="AG38" s="4">
        <f>AG18*(AG20*AG18 + AG20*AG18*AK30*AK30)/(AG18*AG18 + AG20*AG20*AK30*AK30)</f>
        <v>0</v>
      </c>
      <c r="AH38" s="4">
        <f t="shared" ref="AH38:AW38" si="27">AH18*(AH20*AH18 + AH20*AH18*AL30*AL30)/(AH18*AH18 + AH20*AH20*AL30*AL30)</f>
        <v>0</v>
      </c>
      <c r="AI38" s="4">
        <f t="shared" si="27"/>
        <v>0</v>
      </c>
      <c r="AJ38" s="4">
        <f t="shared" si="27"/>
        <v>0</v>
      </c>
      <c r="AK38" s="4">
        <f t="shared" si="27"/>
        <v>0</v>
      </c>
      <c r="AL38" s="4">
        <f t="shared" si="27"/>
        <v>0</v>
      </c>
      <c r="AM38" s="4">
        <f t="shared" si="27"/>
        <v>0</v>
      </c>
      <c r="AN38" s="4">
        <f t="shared" si="27"/>
        <v>0</v>
      </c>
      <c r="AO38" s="4">
        <f t="shared" si="27"/>
        <v>0</v>
      </c>
      <c r="AP38" s="4">
        <f t="shared" si="27"/>
        <v>0</v>
      </c>
      <c r="AQ38" s="128">
        <f t="shared" si="27"/>
        <v>0</v>
      </c>
      <c r="AR38" s="4">
        <f t="shared" si="27"/>
        <v>0</v>
      </c>
      <c r="AS38" s="4">
        <f t="shared" si="27"/>
        <v>0</v>
      </c>
      <c r="AT38" s="4">
        <f t="shared" si="27"/>
        <v>0</v>
      </c>
      <c r="AU38" s="4">
        <f t="shared" si="27"/>
        <v>0</v>
      </c>
      <c r="AV38" s="4">
        <f t="shared" si="27"/>
        <v>0</v>
      </c>
      <c r="AW38" s="4">
        <f t="shared" si="27"/>
        <v>0</v>
      </c>
      <c r="AX38" s="4">
        <f>AX18*(AX20*AX18 + AX20*AX18*BB23*BB23)/(AX18*AX18 + AX20*AX20*BB23*BB23)</f>
        <v>0</v>
      </c>
      <c r="AY38" s="4">
        <f>AY18*(AY20*AY18 + AY20*AY18*BC23*BC23)/(AY18*AY18 + AY20*AY20*BC23*BC23)</f>
        <v>0</v>
      </c>
      <c r="AZ38" s="4">
        <f>AZ18*(AZ20*AZ18 + AZ20*AZ18*BD23*BD23)/(AZ18*AZ18 + AZ20*AZ20*BD23*BD23)</f>
        <v>0</v>
      </c>
      <c r="BA38" s="4">
        <f>BA18*(BA20*BA18 + BA20*BA18*BE23*BE23)/(BA18*BA18 + BA20*BA20*BE23*BE23)</f>
        <v>0</v>
      </c>
    </row>
    <row r="39" spans="2:53" x14ac:dyDescent="0.2">
      <c r="B39" s="32"/>
      <c r="C39" s="49" t="s">
        <v>48</v>
      </c>
      <c r="D39" s="33"/>
      <c r="E39" s="49" t="s">
        <v>49</v>
      </c>
      <c r="F39" s="33"/>
      <c r="G39" s="46"/>
      <c r="H39" s="57"/>
      <c r="I39" s="89"/>
      <c r="J39" s="33"/>
      <c r="K39" s="33"/>
      <c r="L39" s="58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5"/>
      <c r="AG39" s="2">
        <f>AG18*(AG18*AG18*AG10 - AG20*AG20*AG10)/(AG18*AG18 + AG20*AG20*AG10*AG10)</f>
        <v>34.549292254040267</v>
      </c>
      <c r="AH39" s="2">
        <f t="shared" ref="AH39:BA39" si="28">AH18*(AH18*AH18*AH10 - AH20*AH20*AH10)/(AH18*AH18 + AH20*AH20*AH10*AH10)</f>
        <v>36.040401778258833</v>
      </c>
      <c r="AI39" s="2">
        <f t="shared" si="28"/>
        <v>37.532831629612311</v>
      </c>
      <c r="AJ39" s="2">
        <f t="shared" si="28"/>
        <v>39.026637725479702</v>
      </c>
      <c r="AK39" s="2">
        <f t="shared" si="28"/>
        <v>40.52187618627007</v>
      </c>
      <c r="AL39" s="2">
        <f t="shared" si="28"/>
        <v>42.018603343998095</v>
      </c>
      <c r="AM39" s="2">
        <f t="shared" si="28"/>
        <v>43.516875750926495</v>
      </c>
      <c r="AN39" s="2">
        <f t="shared" si="28"/>
        <v>45.016750188278216</v>
      </c>
      <c r="AO39" s="2">
        <f t="shared" si="28"/>
        <v>46.51828367502111</v>
      </c>
      <c r="AP39" s="2">
        <f t="shared" si="28"/>
        <v>48.021533476728436</v>
      </c>
      <c r="AQ39" s="126">
        <f t="shared" si="28"/>
        <v>49.526557114517686</v>
      </c>
      <c r="AR39" s="2">
        <f t="shared" si="28"/>
        <v>51.033412374071212</v>
      </c>
      <c r="AS39" s="2">
        <f t="shared" si="28"/>
        <v>52.542157314741317</v>
      </c>
      <c r="AT39" s="2">
        <f t="shared" si="28"/>
        <v>54.052850278743357</v>
      </c>
      <c r="AU39" s="2">
        <f t="shared" si="28"/>
        <v>55.565549900439628</v>
      </c>
      <c r="AV39" s="2">
        <f t="shared" si="28"/>
        <v>57.080315115717553</v>
      </c>
      <c r="AW39" s="2">
        <f t="shared" si="28"/>
        <v>58.597205171465291</v>
      </c>
      <c r="AX39" s="2">
        <f t="shared" si="28"/>
        <v>60.116279635148032</v>
      </c>
      <c r="AY39" s="2">
        <f t="shared" si="28"/>
        <v>61.637598404488706</v>
      </c>
      <c r="AZ39" s="2">
        <f t="shared" si="28"/>
        <v>63.161221717256026</v>
      </c>
      <c r="BA39" s="2">
        <f t="shared" si="28"/>
        <v>64.687210161163833</v>
      </c>
    </row>
    <row r="40" spans="2:53" x14ac:dyDescent="0.2">
      <c r="B40" s="32"/>
      <c r="C40" s="36"/>
      <c r="D40" s="36"/>
      <c r="E40" s="36"/>
      <c r="F40" s="36"/>
      <c r="G40" s="75"/>
      <c r="H40" s="59"/>
      <c r="I40" s="90"/>
      <c r="J40" s="33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35"/>
      <c r="AQ40" s="126"/>
    </row>
    <row r="41" spans="2:53" x14ac:dyDescent="0.2">
      <c r="B41" s="32"/>
      <c r="C41" s="36"/>
      <c r="D41" s="36" t="s">
        <v>34</v>
      </c>
      <c r="E41" s="36"/>
      <c r="F41" s="36"/>
      <c r="G41" s="75"/>
      <c r="H41" s="74">
        <v>50</v>
      </c>
      <c r="I41" s="90" t="s">
        <v>14</v>
      </c>
      <c r="J41" s="33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35"/>
      <c r="AQ41" s="126"/>
    </row>
    <row r="42" spans="2:53" x14ac:dyDescent="0.2">
      <c r="B42" s="32"/>
      <c r="C42" s="36"/>
      <c r="D42" s="36" t="s">
        <v>35</v>
      </c>
      <c r="E42" s="36"/>
      <c r="F42" s="36"/>
      <c r="G42" s="75"/>
      <c r="H42" s="74">
        <v>0</v>
      </c>
      <c r="I42" s="90" t="s">
        <v>14</v>
      </c>
      <c r="J42" s="33"/>
      <c r="K42" s="66"/>
      <c r="L42" s="66" t="s">
        <v>58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35"/>
      <c r="AQ42" s="126"/>
    </row>
    <row r="43" spans="2:53" x14ac:dyDescent="0.2">
      <c r="B43" s="32"/>
      <c r="C43" s="36"/>
      <c r="D43" s="36"/>
      <c r="E43" s="36"/>
      <c r="F43" s="36"/>
      <c r="G43" s="75"/>
      <c r="H43" s="59"/>
      <c r="I43" s="90"/>
      <c r="J43" s="33"/>
      <c r="K43" s="66"/>
      <c r="L43" s="66" t="s">
        <v>81</v>
      </c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35"/>
      <c r="AF43" s="23" t="s">
        <v>36</v>
      </c>
      <c r="AG43" s="2">
        <f>AG18*(AG10*AG10*AG11)/((AG10+AG12)*(AG10+AG12) + AG11*AG11)</f>
        <v>2.1355957219824608</v>
      </c>
      <c r="AH43" s="2">
        <f t="shared" ref="AH43:BA43" si="29">AH18*(AH10*AH10*AH11)/((AH10+AH12)*(AH10+AH12) + AH11*AH11)</f>
        <v>2.7736596025694777</v>
      </c>
      <c r="AI43" s="2">
        <f t="shared" si="29"/>
        <v>3.6608162005863822</v>
      </c>
      <c r="AJ43" s="2">
        <f t="shared" si="29"/>
        <v>4.9257446726044911</v>
      </c>
      <c r="AK43" s="2">
        <f t="shared" si="29"/>
        <v>6.7799307033634513</v>
      </c>
      <c r="AL43" s="2">
        <f t="shared" si="29"/>
        <v>9.5763269576234684</v>
      </c>
      <c r="AM43" s="2">
        <f t="shared" si="29"/>
        <v>13.895606010571354</v>
      </c>
      <c r="AN43" s="2">
        <f t="shared" si="29"/>
        <v>20.59745401701991</v>
      </c>
      <c r="AO43" s="2">
        <f t="shared" si="29"/>
        <v>30.457482637035966</v>
      </c>
      <c r="AP43" s="2">
        <f t="shared" si="29"/>
        <v>42.278857199647561</v>
      </c>
      <c r="AQ43" s="126">
        <f>AQ18*(AQ10*AQ10*AQ11)/((AQ10+AQ12)*(AQ10+AQ12) + AQ11*AQ11)</f>
        <v>49.999894473639841</v>
      </c>
      <c r="AR43" s="2">
        <f t="shared" si="29"/>
        <v>47.632565542064931</v>
      </c>
      <c r="AS43" s="2">
        <f t="shared" si="29"/>
        <v>38.667806103246576</v>
      </c>
      <c r="AT43" s="2">
        <f t="shared" si="29"/>
        <v>29.480374904405473</v>
      </c>
      <c r="AU43" s="2">
        <f t="shared" si="29"/>
        <v>22.436090315488894</v>
      </c>
      <c r="AV43" s="2">
        <f t="shared" si="29"/>
        <v>17.458442985936511</v>
      </c>
      <c r="AW43" s="2">
        <f t="shared" si="29"/>
        <v>13.972045584987264</v>
      </c>
      <c r="AX43" s="2">
        <f t="shared" si="29"/>
        <v>11.490437976511904</v>
      </c>
      <c r="AY43" s="2">
        <f t="shared" si="29"/>
        <v>9.6825984294606435</v>
      </c>
      <c r="AZ43" s="2">
        <f t="shared" si="29"/>
        <v>8.3341699846557997</v>
      </c>
      <c r="BA43" s="2">
        <f t="shared" si="29"/>
        <v>7.3064560498523203</v>
      </c>
    </row>
    <row r="44" spans="2:53" x14ac:dyDescent="0.2">
      <c r="B44" s="32"/>
      <c r="C44" s="36"/>
      <c r="D44" s="36" t="s">
        <v>54</v>
      </c>
      <c r="E44" s="36"/>
      <c r="F44" s="36"/>
      <c r="G44" s="75"/>
      <c r="H44" s="95">
        <f>(H32-H41)*(H32-H41)</f>
        <v>1.1135812688320887E-8</v>
      </c>
      <c r="I44" s="90"/>
      <c r="J44" s="33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35"/>
      <c r="AF44" s="23" t="s">
        <v>37</v>
      </c>
      <c r="AG44" s="2">
        <f t="shared" ref="AG44:BA44" si="30">AG18*(AG10*AG11*AG11+AG10*AG10*AG12)/((AG10+AG12)*(AG10+AG12)+AG11*AG11)</f>
        <v>-2.7027754074517309</v>
      </c>
      <c r="AH44" s="2">
        <f t="shared" si="30"/>
        <v>-3.6095329587534071</v>
      </c>
      <c r="AI44" s="2">
        <f t="shared" si="30"/>
        <v>-4.7174895805803194</v>
      </c>
      <c r="AJ44" s="2">
        <f t="shared" si="30"/>
        <v>-6.073909654760671</v>
      </c>
      <c r="AK44" s="2">
        <f t="shared" si="30"/>
        <v>-7.7264291792646143</v>
      </c>
      <c r="AL44" s="2">
        <f t="shared" si="30"/>
        <v>-9.695962241301892</v>
      </c>
      <c r="AM44" s="2">
        <f t="shared" si="30"/>
        <v>-11.890055126579062</v>
      </c>
      <c r="AN44" s="2">
        <f t="shared" si="30"/>
        <v>-13.856539213955271</v>
      </c>
      <c r="AO44" s="2">
        <f t="shared" si="30"/>
        <v>-14.224793161495057</v>
      </c>
      <c r="AP44" s="2">
        <f t="shared" si="30"/>
        <v>-10.222078203472263</v>
      </c>
      <c r="AQ44" s="126">
        <f t="shared" si="30"/>
        <v>9.0388190647817536E-5</v>
      </c>
      <c r="AR44" s="2">
        <f t="shared" si="30"/>
        <v>12.163664702916853</v>
      </c>
      <c r="AS44" s="2">
        <f t="shared" si="30"/>
        <v>20.164114166084079</v>
      </c>
      <c r="AT44" s="2">
        <f t="shared" si="30"/>
        <v>23.453590103497582</v>
      </c>
      <c r="AU44" s="2">
        <f t="shared" si="30"/>
        <v>24.118406184675717</v>
      </c>
      <c r="AV44" s="2">
        <f t="shared" si="30"/>
        <v>23.693466623680528</v>
      </c>
      <c r="AW44" s="2">
        <f t="shared" si="30"/>
        <v>22.907585602351038</v>
      </c>
      <c r="AX44" s="2">
        <f t="shared" si="30"/>
        <v>22.059005497974908</v>
      </c>
      <c r="AY44" s="2">
        <f t="shared" si="30"/>
        <v>21.25882137416373</v>
      </c>
      <c r="AZ44" s="2">
        <f t="shared" si="30"/>
        <v>20.541730721542642</v>
      </c>
      <c r="BA44" s="2">
        <f t="shared" si="30"/>
        <v>19.912347597163869</v>
      </c>
    </row>
    <row r="45" spans="2:53" x14ac:dyDescent="0.2">
      <c r="B45" s="32"/>
      <c r="C45" s="36"/>
      <c r="D45" s="36" t="s">
        <v>54</v>
      </c>
      <c r="E45" s="36"/>
      <c r="F45" s="36"/>
      <c r="G45" s="75"/>
      <c r="H45" s="95">
        <f>(H33-H42)*(H33-H42)</f>
        <v>8.1700250085862103E-9</v>
      </c>
      <c r="I45" s="90"/>
      <c r="J45" s="33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35"/>
      <c r="AQ45" s="126"/>
    </row>
    <row r="46" spans="2:53" x14ac:dyDescent="0.2">
      <c r="B46" s="32"/>
      <c r="C46" s="36"/>
      <c r="D46" s="36"/>
      <c r="E46" s="36"/>
      <c r="F46" s="36"/>
      <c r="G46" s="75"/>
      <c r="H46" s="95"/>
      <c r="I46" s="90"/>
      <c r="J46" s="33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35"/>
    </row>
    <row r="47" spans="2:53" x14ac:dyDescent="0.2">
      <c r="B47" s="32"/>
      <c r="C47" s="36"/>
      <c r="D47" s="36" t="s">
        <v>53</v>
      </c>
      <c r="E47" s="36"/>
      <c r="F47" s="36"/>
      <c r="G47" s="75"/>
      <c r="H47" s="96">
        <f>SUM(H44:H46)</f>
        <v>1.9305837696907096E-8</v>
      </c>
      <c r="I47" s="90"/>
      <c r="J47" s="33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35"/>
    </row>
    <row r="48" spans="2:53" x14ac:dyDescent="0.2">
      <c r="B48" s="32"/>
      <c r="C48" s="36"/>
      <c r="D48" s="36"/>
      <c r="E48" s="36"/>
      <c r="F48" s="36"/>
      <c r="G48" s="75"/>
      <c r="H48" s="59"/>
      <c r="I48" s="90"/>
      <c r="J48" s="33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35"/>
    </row>
    <row r="49" spans="2:27" ht="24" thickBot="1" x14ac:dyDescent="0.25">
      <c r="B49" s="40"/>
      <c r="C49" s="41"/>
      <c r="D49" s="41"/>
      <c r="E49" s="41"/>
      <c r="F49" s="41"/>
      <c r="G49" s="85"/>
      <c r="H49" s="63"/>
      <c r="I49" s="91"/>
      <c r="J49" s="41"/>
      <c r="K49" s="41"/>
      <c r="L49" s="64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3"/>
    </row>
    <row r="50" spans="2:27" ht="24" thickTop="1" x14ac:dyDescent="0.2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3B15-EC08-DD4B-82D5-4D054C2B1C76}">
  <dimension ref="B1:BA65"/>
  <sheetViews>
    <sheetView zoomScale="140" zoomScaleNormal="140" workbookViewId="0">
      <pane xSplit="30" topLeftCell="AE1" activePane="topRight" state="frozen"/>
      <selection pane="topRight" activeCell="P16" sqref="P16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4" t="s">
        <v>93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32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32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32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32" x14ac:dyDescent="0.2">
      <c r="B7" s="32"/>
      <c r="C7" s="36"/>
      <c r="D7" s="36" t="s">
        <v>95</v>
      </c>
      <c r="E7" s="36"/>
      <c r="F7" s="36"/>
      <c r="G7" s="75" t="s">
        <v>84</v>
      </c>
      <c r="H7" s="71">
        <v>1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32" x14ac:dyDescent="0.2">
      <c r="B8" s="32"/>
      <c r="C8" s="36"/>
      <c r="D8" s="36" t="s">
        <v>27</v>
      </c>
      <c r="E8" s="36"/>
      <c r="F8" s="36"/>
      <c r="G8" s="75" t="s">
        <v>99</v>
      </c>
      <c r="H8" s="72">
        <v>3.205991529555523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32" x14ac:dyDescent="0.2">
      <c r="B9" s="32"/>
      <c r="C9" s="36"/>
      <c r="D9" s="36" t="s">
        <v>103</v>
      </c>
      <c r="E9" s="36"/>
      <c r="F9" s="36"/>
      <c r="G9" s="84" t="s">
        <v>104</v>
      </c>
      <c r="H9" s="72">
        <v>12.549761867929606</v>
      </c>
      <c r="I9" s="90" t="s">
        <v>105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32" ht="27" x14ac:dyDescent="0.2">
      <c r="B10" s="32"/>
      <c r="C10" s="36"/>
      <c r="D10" s="36" t="s">
        <v>42</v>
      </c>
      <c r="E10" s="36"/>
      <c r="F10" s="36"/>
      <c r="G10" s="84" t="s">
        <v>63</v>
      </c>
      <c r="H10" s="72">
        <v>1</v>
      </c>
      <c r="I10" s="90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32" x14ac:dyDescent="0.2">
      <c r="B11" s="32"/>
      <c r="C11" s="36"/>
      <c r="D11" s="36"/>
      <c r="E11" s="36"/>
      <c r="F11" s="36"/>
      <c r="G11" s="75"/>
      <c r="H11" s="59"/>
      <c r="I11" s="90"/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32" x14ac:dyDescent="0.2">
      <c r="B12" s="32"/>
      <c r="C12" s="49" t="s">
        <v>49</v>
      </c>
      <c r="D12" s="33"/>
      <c r="E12" s="33"/>
      <c r="F12" s="33"/>
      <c r="G12" s="46"/>
      <c r="H12" s="57"/>
      <c r="I12" s="89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32" x14ac:dyDescent="0.2">
      <c r="B13" s="32"/>
      <c r="C13" s="36"/>
      <c r="D13" s="36"/>
      <c r="E13" s="36"/>
      <c r="F13" s="36"/>
      <c r="G13" s="75"/>
      <c r="H13" s="59"/>
      <c r="I13" s="90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32" x14ac:dyDescent="0.2">
      <c r="B14" s="32"/>
      <c r="C14" s="36"/>
      <c r="D14" s="36" t="s">
        <v>107</v>
      </c>
      <c r="E14" s="36"/>
      <c r="F14" s="36"/>
      <c r="G14" s="75" t="s">
        <v>106</v>
      </c>
      <c r="H14" s="59">
        <f>H31*1000 / SQRT(H10)  +H7*PI() + PI()*H8*0.442</f>
        <v>130.04236063645797</v>
      </c>
      <c r="I14" s="90" t="s">
        <v>29</v>
      </c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32" x14ac:dyDescent="0.2">
      <c r="B15" s="32"/>
      <c r="C15" s="36"/>
      <c r="D15" s="36" t="s">
        <v>96</v>
      </c>
      <c r="E15" s="36"/>
      <c r="F15" s="36"/>
      <c r="G15" s="75" t="s">
        <v>94</v>
      </c>
      <c r="H15" s="59">
        <f>H14/PI()</f>
        <v>41.3937690132624</v>
      </c>
      <c r="I15" s="90" t="s">
        <v>29</v>
      </c>
      <c r="J15" s="33"/>
      <c r="K15" s="38"/>
      <c r="L15" s="62" t="s">
        <v>100</v>
      </c>
      <c r="M15" s="62">
        <v>541.93345087277214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32" ht="27" x14ac:dyDescent="0.2">
      <c r="B16" s="32"/>
      <c r="C16" s="36"/>
      <c r="D16" s="36" t="s">
        <v>98</v>
      </c>
      <c r="E16" s="36"/>
      <c r="F16" s="36"/>
      <c r="G16" s="75" t="s">
        <v>71</v>
      </c>
      <c r="H16" s="59">
        <f>M$15 *  POWER(M17, -M$16)</f>
        <v>1059.0106564546741</v>
      </c>
      <c r="I16" s="90" t="s">
        <v>14</v>
      </c>
      <c r="J16" s="33"/>
      <c r="K16" s="38"/>
      <c r="L16" s="62" t="s">
        <v>101</v>
      </c>
      <c r="M16" s="62">
        <v>0.17994191272575752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ht="27" x14ac:dyDescent="0.2">
      <c r="B17" s="32"/>
      <c r="C17" s="36"/>
      <c r="D17" s="36" t="s">
        <v>97</v>
      </c>
      <c r="E17" s="36"/>
      <c r="F17" s="36"/>
      <c r="G17" s="75" t="s">
        <v>59</v>
      </c>
      <c r="H17" s="59">
        <f>120/ SQRT(H10)* ACOSH(H8/H7)</f>
        <v>219.94884401157185</v>
      </c>
      <c r="I17" s="90" t="s">
        <v>14</v>
      </c>
      <c r="J17" s="33"/>
      <c r="K17" s="38"/>
      <c r="L17" s="62" t="s">
        <v>102</v>
      </c>
      <c r="M17" s="62">
        <f>H7/H15</f>
        <v>2.4158225352216754E-2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x14ac:dyDescent="0.2">
      <c r="B18" s="32"/>
      <c r="C18" s="36"/>
      <c r="D18" s="36"/>
      <c r="E18" s="36"/>
      <c r="F18" s="36"/>
      <c r="G18" s="75"/>
      <c r="H18" s="59"/>
      <c r="I18" s="90"/>
      <c r="J18" s="33"/>
      <c r="K18" s="38"/>
      <c r="L18" s="60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53" x14ac:dyDescent="0.2">
      <c r="B19" s="32"/>
      <c r="C19" s="49" t="s">
        <v>49</v>
      </c>
      <c r="D19" s="33"/>
      <c r="E19" s="33"/>
      <c r="F19" s="33"/>
      <c r="G19" s="46"/>
      <c r="H19" s="57"/>
      <c r="I19" s="89"/>
      <c r="J19" s="33"/>
      <c r="K19" s="33"/>
      <c r="L19" s="5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5"/>
    </row>
    <row r="20" spans="2:53" x14ac:dyDescent="0.2">
      <c r="B20" s="32"/>
      <c r="C20" s="36"/>
      <c r="D20" s="36"/>
      <c r="E20" s="36"/>
      <c r="F20" s="36"/>
      <c r="G20" s="75"/>
      <c r="H20" s="59"/>
      <c r="I20" s="90"/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36"/>
      <c r="D21" s="36" t="s">
        <v>57</v>
      </c>
      <c r="E21" s="36"/>
      <c r="F21" s="36"/>
      <c r="G21" s="75"/>
      <c r="H21" s="72">
        <v>3</v>
      </c>
      <c r="I21" s="90" t="s">
        <v>31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53" x14ac:dyDescent="0.2">
      <c r="B22" s="32"/>
      <c r="C22" s="36"/>
      <c r="D22" s="36" t="s">
        <v>8</v>
      </c>
      <c r="E22" s="36"/>
      <c r="F22" s="36"/>
      <c r="G22" s="75" t="s">
        <v>75</v>
      </c>
      <c r="H22" s="65">
        <f>H6</f>
        <v>2450</v>
      </c>
      <c r="I22" s="90" t="s">
        <v>12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ht="27" x14ac:dyDescent="0.2">
      <c r="B23" s="32"/>
      <c r="C23" s="36"/>
      <c r="D23" s="36" t="s">
        <v>5</v>
      </c>
      <c r="E23" s="36"/>
      <c r="F23" s="36"/>
      <c r="G23" s="75" t="s">
        <v>59</v>
      </c>
      <c r="H23" s="65">
        <f>H17</f>
        <v>219.94884401157185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53" ht="27" x14ac:dyDescent="0.2">
      <c r="B24" s="32"/>
      <c r="C24" s="36"/>
      <c r="D24" s="36" t="s">
        <v>6</v>
      </c>
      <c r="E24" s="36"/>
      <c r="F24" s="36"/>
      <c r="G24" s="75" t="s">
        <v>71</v>
      </c>
      <c r="H24" s="65">
        <f>H16</f>
        <v>1059.0106564546741</v>
      </c>
      <c r="I24" s="90" t="s">
        <v>14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F24" s="23" t="s">
        <v>16</v>
      </c>
      <c r="AG24" s="2">
        <f>TAN(2 * PI() * AG45)</f>
        <v>1.3873080842080221</v>
      </c>
      <c r="AH24" s="2">
        <f t="shared" ref="AH24:BA24" si="0">TAN(2 * PI() * AH45)</f>
        <v>1.5130531796701108</v>
      </c>
      <c r="AI24" s="2">
        <f t="shared" si="0"/>
        <v>1.6552476978429211</v>
      </c>
      <c r="AJ24" s="2">
        <f t="shared" si="0"/>
        <v>1.8179174595753613</v>
      </c>
      <c r="AK24" s="2">
        <f t="shared" si="0"/>
        <v>2.0064960640680076</v>
      </c>
      <c r="AL24" s="2">
        <f t="shared" si="0"/>
        <v>2.2285018943739896</v>
      </c>
      <c r="AM24" s="2">
        <f t="shared" si="0"/>
        <v>2.4946471650406878</v>
      </c>
      <c r="AN24" s="2">
        <f t="shared" si="0"/>
        <v>2.8207389980349395</v>
      </c>
      <c r="AO24" s="2">
        <f t="shared" si="0"/>
        <v>3.2311216229416653</v>
      </c>
      <c r="AP24" s="2">
        <f t="shared" si="0"/>
        <v>3.7653449891874406</v>
      </c>
      <c r="AQ24" s="2">
        <f t="shared" si="0"/>
        <v>4.4922412384440076</v>
      </c>
      <c r="AR24" s="2">
        <f t="shared" si="0"/>
        <v>5.5431910188577715</v>
      </c>
      <c r="AS24" s="2">
        <f t="shared" si="0"/>
        <v>7.204074027931771</v>
      </c>
      <c r="AT24" s="2">
        <f t="shared" si="0"/>
        <v>10.23697950765273</v>
      </c>
      <c r="AU24" s="2">
        <f t="shared" si="0"/>
        <v>17.579480248390308</v>
      </c>
      <c r="AV24" s="2">
        <f t="shared" si="0"/>
        <v>61.455821248031974</v>
      </c>
      <c r="AW24" s="2">
        <f t="shared" si="0"/>
        <v>-41.173938271134141</v>
      </c>
      <c r="AX24" s="2">
        <f t="shared" si="0"/>
        <v>-15.40208263228412</v>
      </c>
      <c r="AY24" s="2">
        <f t="shared" si="0"/>
        <v>-9.453578873292658</v>
      </c>
      <c r="AZ24" s="2">
        <f t="shared" si="0"/>
        <v>-6.8033686138634</v>
      </c>
      <c r="BA24" s="2">
        <f t="shared" si="0"/>
        <v>-5.2997983568761118</v>
      </c>
    </row>
    <row r="25" spans="2:53" ht="27" x14ac:dyDescent="0.2">
      <c r="B25" s="32"/>
      <c r="C25" s="36"/>
      <c r="D25" s="36" t="s">
        <v>26</v>
      </c>
      <c r="E25" s="36"/>
      <c r="F25" s="36"/>
      <c r="G25" s="75" t="s">
        <v>72</v>
      </c>
      <c r="H25" s="65">
        <v>0</v>
      </c>
      <c r="I25" s="90" t="s">
        <v>14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F25" s="23" t="s">
        <v>17</v>
      </c>
      <c r="AG25" s="2">
        <f>TAN(2 * PI() *AG52)</f>
        <v>0.15453713760241597</v>
      </c>
      <c r="AH25" s="2">
        <f t="shared" ref="AH25:BA25" si="1">TAN(2 * PI() *AH52)</f>
        <v>0.16127204135749421</v>
      </c>
      <c r="AI25" s="2">
        <f t="shared" si="1"/>
        <v>0.16802123475344941</v>
      </c>
      <c r="AJ25" s="2">
        <f t="shared" si="1"/>
        <v>0.17478534805804757</v>
      </c>
      <c r="AK25" s="2">
        <f t="shared" si="1"/>
        <v>0.18156501691159513</v>
      </c>
      <c r="AL25" s="2">
        <f t="shared" si="1"/>
        <v>0.1883608825745218</v>
      </c>
      <c r="AM25" s="2">
        <f t="shared" si="1"/>
        <v>0.19517359217934416</v>
      </c>
      <c r="AN25" s="2">
        <f t="shared" si="1"/>
        <v>0.20200379898722698</v>
      </c>
      <c r="AO25" s="2">
        <f t="shared" si="1"/>
        <v>0.20885216264936612</v>
      </c>
      <c r="AP25" s="2">
        <f t="shared" si="1"/>
        <v>0.21571934947342253</v>
      </c>
      <c r="AQ25" s="2">
        <f t="shared" si="1"/>
        <v>0.2226060326952462</v>
      </c>
      <c r="AR25" s="2">
        <f t="shared" si="1"/>
        <v>0.22951289275613235</v>
      </c>
      <c r="AS25" s="2">
        <f t="shared" si="1"/>
        <v>0.23644061758586332</v>
      </c>
      <c r="AT25" s="2">
        <f t="shared" si="1"/>
        <v>0.24338990289179713</v>
      </c>
      <c r="AU25" s="2">
        <f t="shared" si="1"/>
        <v>0.25036145245426994</v>
      </c>
      <c r="AV25" s="2">
        <f t="shared" si="1"/>
        <v>0.25735597842859198</v>
      </c>
      <c r="AW25" s="2">
        <f t="shared" si="1"/>
        <v>0.264374201653924</v>
      </c>
      <c r="AX25" s="2">
        <f t="shared" si="1"/>
        <v>0.27141685196932996</v>
      </c>
      <c r="AY25" s="2">
        <f t="shared" si="1"/>
        <v>0.27848466853731746</v>
      </c>
      <c r="AZ25" s="2">
        <f t="shared" si="1"/>
        <v>0.28557840017517966</v>
      </c>
      <c r="BA25" s="2">
        <f t="shared" si="1"/>
        <v>0.2926988056944746</v>
      </c>
    </row>
    <row r="26" spans="2:53" x14ac:dyDescent="0.2">
      <c r="B26" s="32"/>
      <c r="C26" s="36"/>
      <c r="D26" s="36" t="s">
        <v>23</v>
      </c>
      <c r="E26" s="36"/>
      <c r="F26" s="36"/>
      <c r="G26" s="75" t="s">
        <v>73</v>
      </c>
      <c r="H26" s="61">
        <f>H31/4</f>
        <v>3.0612244897959183E-2</v>
      </c>
      <c r="I26" s="90" t="s">
        <v>13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20</v>
      </c>
      <c r="AG26" s="2">
        <f>AG46/AG33</f>
        <v>0.30868762755146828</v>
      </c>
      <c r="AH26" s="2">
        <f t="shared" ref="AH26:BA26" si="2">AH46/AH33</f>
        <v>0.29289599233213992</v>
      </c>
      <c r="AI26" s="2">
        <f t="shared" si="2"/>
        <v>0.27910310856673209</v>
      </c>
      <c r="AJ26" s="2">
        <f t="shared" si="2"/>
        <v>0.2670523843332655</v>
      </c>
      <c r="AK26" s="2">
        <f t="shared" si="2"/>
        <v>0.25653171520784929</v>
      </c>
      <c r="AL26" s="2">
        <f t="shared" si="2"/>
        <v>0.24736524805991175</v>
      </c>
      <c r="AM26" s="2">
        <f t="shared" si="2"/>
        <v>0.23940692254823048</v>
      </c>
      <c r="AN26" s="2">
        <f t="shared" si="2"/>
        <v>0.23253538287191666</v>
      </c>
      <c r="AO26" s="2">
        <f t="shared" si="2"/>
        <v>0.22664995496386339</v>
      </c>
      <c r="AP26" s="2">
        <f t="shared" si="2"/>
        <v>0.22166745988986489</v>
      </c>
      <c r="AQ26" s="2">
        <f t="shared" si="2"/>
        <v>0.21751969032765189</v>
      </c>
      <c r="AR26" s="2">
        <f t="shared" si="2"/>
        <v>0.21415141904546375</v>
      </c>
      <c r="AS26" s="2">
        <f t="shared" si="2"/>
        <v>0.21151884014364006</v>
      </c>
      <c r="AT26" s="2">
        <f t="shared" si="2"/>
        <v>0.20958836825393776</v>
      </c>
      <c r="AU26" s="2">
        <f t="shared" si="2"/>
        <v>0.20833573994434773</v>
      </c>
      <c r="AV26" s="2">
        <f t="shared" si="2"/>
        <v>0.20774537675791546</v>
      </c>
      <c r="AW26" s="2">
        <f t="shared" si="2"/>
        <v>0.20780998175972631</v>
      </c>
      <c r="AX26" s="2">
        <f t="shared" si="2"/>
        <v>0.20853035206124915</v>
      </c>
      <c r="AY26" s="2">
        <f t="shared" si="2"/>
        <v>0.20991539925314262</v>
      </c>
      <c r="AZ26" s="2">
        <f t="shared" si="2"/>
        <v>0.21198237862353181</v>
      </c>
      <c r="BA26" s="2">
        <f t="shared" si="2"/>
        <v>0.21475733704057365</v>
      </c>
    </row>
    <row r="27" spans="2:53" ht="27" x14ac:dyDescent="0.2">
      <c r="B27" s="32"/>
      <c r="C27" s="36"/>
      <c r="D27" s="36" t="s">
        <v>22</v>
      </c>
      <c r="E27" s="36"/>
      <c r="F27" s="36"/>
      <c r="G27" s="75" t="s">
        <v>74</v>
      </c>
      <c r="H27" s="61">
        <f>H31 *H9/360</f>
        <v>4.2686264856903414E-3</v>
      </c>
      <c r="I27" s="90" t="s">
        <v>13</v>
      </c>
      <c r="J27" s="33"/>
      <c r="K27" s="38"/>
      <c r="L27" s="60"/>
      <c r="M27" s="38"/>
      <c r="N27" s="92">
        <f>H47</f>
        <v>49.999956999328354</v>
      </c>
      <c r="O27" s="93" t="s">
        <v>66</v>
      </c>
      <c r="P27" s="94">
        <f>H48</f>
        <v>6.093483044670867E-5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F27" s="23" t="s">
        <v>21</v>
      </c>
      <c r="AG27" s="2">
        <f>AG47/AG33</f>
        <v>-0.67460705082063965</v>
      </c>
      <c r="AH27" s="2">
        <f t="shared" ref="AH27:BA27" si="3">AH47/AH33</f>
        <v>-0.6207102540469317</v>
      </c>
      <c r="AI27" s="2">
        <f t="shared" si="3"/>
        <v>-0.56911863211619151</v>
      </c>
      <c r="AJ27" s="2">
        <f t="shared" si="3"/>
        <v>-0.51956987859209736</v>
      </c>
      <c r="AK27" s="2">
        <f t="shared" si="3"/>
        <v>-0.4718275991179865</v>
      </c>
      <c r="AL27" s="2">
        <f t="shared" si="3"/>
        <v>-0.42567791025308094</v>
      </c>
      <c r="AM27" s="2">
        <f t="shared" si="3"/>
        <v>-0.38092638080599839</v>
      </c>
      <c r="AN27" s="2">
        <f t="shared" si="3"/>
        <v>-0.33739530160610837</v>
      </c>
      <c r="AO27" s="2">
        <f t="shared" si="3"/>
        <v>-0.29492125551154641</v>
      </c>
      <c r="AP27" s="2">
        <f t="shared" si="3"/>
        <v>-0.25335295348277381</v>
      </c>
      <c r="AQ27" s="2">
        <f t="shared" si="3"/>
        <v>-0.21254930109740344</v>
      </c>
      <c r="AR27" s="2">
        <f t="shared" si="3"/>
        <v>-0.17237766079031133</v>
      </c>
      <c r="AS27" s="2">
        <f t="shared" si="3"/>
        <v>-0.13271227711021583</v>
      </c>
      <c r="AT27" s="2">
        <f t="shared" si="3"/>
        <v>-9.3432834659229871E-2</v>
      </c>
      <c r="AU27" s="2">
        <f t="shared" si="3"/>
        <v>-5.4423120709978859E-2</v>
      </c>
      <c r="AV27" s="2">
        <f t="shared" si="3"/>
        <v>-1.5569766546174011E-2</v>
      </c>
      <c r="AW27" s="2">
        <f t="shared" si="3"/>
        <v>2.323895677511769E-2</v>
      </c>
      <c r="AX27" s="2">
        <f t="shared" si="3"/>
        <v>6.21143113493123E-2</v>
      </c>
      <c r="AY27" s="2">
        <f t="shared" si="3"/>
        <v>0.10116825644520663</v>
      </c>
      <c r="AZ27" s="2">
        <f t="shared" si="3"/>
        <v>0.1405146258258067</v>
      </c>
      <c r="BA27" s="2">
        <f t="shared" si="3"/>
        <v>0.1802703408754161</v>
      </c>
    </row>
    <row r="28" spans="2:53" x14ac:dyDescent="0.2">
      <c r="B28" s="32"/>
      <c r="C28" s="36"/>
      <c r="D28" s="36"/>
      <c r="E28" s="36"/>
      <c r="F28" s="36"/>
      <c r="G28" s="75"/>
      <c r="H28" s="59"/>
      <c r="I28" s="90"/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</row>
    <row r="29" spans="2:53" x14ac:dyDescent="0.2">
      <c r="B29" s="32"/>
      <c r="C29" s="49" t="s">
        <v>49</v>
      </c>
      <c r="D29" s="33"/>
      <c r="E29" s="33"/>
      <c r="F29" s="33"/>
      <c r="G29" s="46"/>
      <c r="H29" s="57"/>
      <c r="I29" s="89"/>
      <c r="J29" s="33"/>
      <c r="K29" s="33"/>
      <c r="L29" s="58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5"/>
      <c r="AQ29" s="2" t="s">
        <v>30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Q30" s="2">
        <f>H21</f>
        <v>3</v>
      </c>
    </row>
    <row r="31" spans="2:53" x14ac:dyDescent="0.2">
      <c r="B31" s="32"/>
      <c r="C31" s="36"/>
      <c r="D31" s="36" t="s">
        <v>9</v>
      </c>
      <c r="E31" s="36"/>
      <c r="F31" s="36"/>
      <c r="G31" s="75" t="s">
        <v>15</v>
      </c>
      <c r="H31" s="61">
        <f>300/H22</f>
        <v>0.12244897959183673</v>
      </c>
      <c r="I31" s="90" t="s">
        <v>13</v>
      </c>
      <c r="J31" s="33"/>
      <c r="K31" s="38"/>
      <c r="L31" s="62" t="s">
        <v>16</v>
      </c>
      <c r="M31" s="62">
        <f>TAN(2 * PI() * H36)</f>
        <v>4.4922412384440076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F31" s="23" t="s">
        <v>33</v>
      </c>
      <c r="AG31" s="2">
        <f t="shared" ref="AG31:AO31" si="4">AH31-$AQ30</f>
        <v>-30</v>
      </c>
      <c r="AH31" s="2">
        <f t="shared" si="4"/>
        <v>-27</v>
      </c>
      <c r="AI31" s="2">
        <f t="shared" si="4"/>
        <v>-24</v>
      </c>
      <c r="AJ31" s="2">
        <f t="shared" si="4"/>
        <v>-21</v>
      </c>
      <c r="AK31" s="2">
        <f t="shared" si="4"/>
        <v>-18</v>
      </c>
      <c r="AL31" s="2">
        <f t="shared" si="4"/>
        <v>-15</v>
      </c>
      <c r="AM31" s="2">
        <f t="shared" si="4"/>
        <v>-12</v>
      </c>
      <c r="AN31" s="2">
        <f t="shared" si="4"/>
        <v>-9</v>
      </c>
      <c r="AO31" s="2">
        <f t="shared" si="4"/>
        <v>-6</v>
      </c>
      <c r="AP31" s="2">
        <f>-1*$AQ30</f>
        <v>-3</v>
      </c>
      <c r="AQ31" s="2">
        <v>0</v>
      </c>
      <c r="AR31" s="2">
        <f>AQ30</f>
        <v>3</v>
      </c>
      <c r="AS31" s="2">
        <f t="shared" ref="AS31:BA31" si="5">AR31+$AQ30</f>
        <v>6</v>
      </c>
      <c r="AT31" s="2">
        <f t="shared" si="5"/>
        <v>9</v>
      </c>
      <c r="AU31" s="2">
        <f t="shared" si="5"/>
        <v>12</v>
      </c>
      <c r="AV31" s="2">
        <f t="shared" si="5"/>
        <v>15</v>
      </c>
      <c r="AW31" s="2">
        <f t="shared" si="5"/>
        <v>18</v>
      </c>
      <c r="AX31" s="2">
        <f t="shared" si="5"/>
        <v>21</v>
      </c>
      <c r="AY31" s="2">
        <f t="shared" si="5"/>
        <v>24</v>
      </c>
      <c r="AZ31" s="2">
        <f t="shared" si="5"/>
        <v>27</v>
      </c>
      <c r="BA31" s="2">
        <f t="shared" si="5"/>
        <v>30</v>
      </c>
    </row>
    <row r="32" spans="2:53" x14ac:dyDescent="0.2">
      <c r="B32" s="32"/>
      <c r="C32" s="36"/>
      <c r="D32" s="36" t="s">
        <v>25</v>
      </c>
      <c r="E32" s="36"/>
      <c r="F32" s="36"/>
      <c r="G32" s="75" t="s">
        <v>15</v>
      </c>
      <c r="H32" s="61">
        <f>H42+H36</f>
        <v>0.25</v>
      </c>
      <c r="I32" s="90"/>
      <c r="J32" s="33"/>
      <c r="K32" s="38"/>
      <c r="L32" s="62" t="s">
        <v>17</v>
      </c>
      <c r="M32" s="62">
        <f>TAN(2 * PI() * H42)</f>
        <v>0.2226060326952462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AP32" si="6">$AQ32 + AG31*$AQ32/100</f>
        <v>1715</v>
      </c>
      <c r="AH32" s="2">
        <f t="shared" si="6"/>
        <v>1788.5</v>
      </c>
      <c r="AI32" s="2">
        <f t="shared" si="6"/>
        <v>1862</v>
      </c>
      <c r="AJ32" s="2">
        <f t="shared" si="6"/>
        <v>1935.5</v>
      </c>
      <c r="AK32" s="2">
        <f t="shared" si="6"/>
        <v>2009</v>
      </c>
      <c r="AL32" s="2">
        <f t="shared" si="6"/>
        <v>2082.5</v>
      </c>
      <c r="AM32" s="2">
        <f t="shared" si="6"/>
        <v>2156</v>
      </c>
      <c r="AN32" s="2">
        <f t="shared" si="6"/>
        <v>2229.5</v>
      </c>
      <c r="AO32" s="2">
        <f t="shared" si="6"/>
        <v>2303</v>
      </c>
      <c r="AP32" s="2">
        <f t="shared" si="6"/>
        <v>2376.5</v>
      </c>
      <c r="AQ32" s="2">
        <f t="shared" ref="AQ32:BA37" si="7">$H22</f>
        <v>2450</v>
      </c>
      <c r="AR32" s="2">
        <f t="shared" ref="AR32:BA32" si="8">$AQ32 + AR31*$AQ32/100</f>
        <v>2523.5</v>
      </c>
      <c r="AS32" s="2">
        <f t="shared" si="8"/>
        <v>2597</v>
      </c>
      <c r="AT32" s="2">
        <f t="shared" si="8"/>
        <v>2670.5</v>
      </c>
      <c r="AU32" s="2">
        <f t="shared" si="8"/>
        <v>2744</v>
      </c>
      <c r="AV32" s="2">
        <f t="shared" si="8"/>
        <v>2817.5</v>
      </c>
      <c r="AW32" s="2">
        <f t="shared" si="8"/>
        <v>2891</v>
      </c>
      <c r="AX32" s="2">
        <f t="shared" si="8"/>
        <v>2964.5</v>
      </c>
      <c r="AY32" s="2">
        <f t="shared" si="8"/>
        <v>3038</v>
      </c>
      <c r="AZ32" s="2">
        <f t="shared" si="8"/>
        <v>3111.5</v>
      </c>
      <c r="BA32" s="2">
        <f t="shared" si="8"/>
        <v>3185</v>
      </c>
    </row>
    <row r="33" spans="2:53" x14ac:dyDescent="0.2">
      <c r="B33" s="32"/>
      <c r="C33" s="36"/>
      <c r="D33" s="36"/>
      <c r="E33" s="36"/>
      <c r="F33" s="36"/>
      <c r="G33" s="75"/>
      <c r="H33" s="59"/>
      <c r="I33" s="90"/>
      <c r="J33" s="33"/>
      <c r="K33" s="38"/>
      <c r="L33" s="62" t="s">
        <v>20</v>
      </c>
      <c r="M33" s="62">
        <f>H37/H23</f>
        <v>0.21751969032765189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G33" s="2">
        <f t="shared" ref="AG33:AP37" si="9">$H23</f>
        <v>219.94884401157185</v>
      </c>
      <c r="AH33" s="2">
        <f t="shared" si="9"/>
        <v>219.94884401157185</v>
      </c>
      <c r="AI33" s="2">
        <f t="shared" si="9"/>
        <v>219.94884401157185</v>
      </c>
      <c r="AJ33" s="2">
        <f t="shared" si="9"/>
        <v>219.94884401157185</v>
      </c>
      <c r="AK33" s="2">
        <f t="shared" si="9"/>
        <v>219.94884401157185</v>
      </c>
      <c r="AL33" s="2">
        <f t="shared" si="9"/>
        <v>219.94884401157185</v>
      </c>
      <c r="AM33" s="2">
        <f t="shared" si="9"/>
        <v>219.94884401157185</v>
      </c>
      <c r="AN33" s="2">
        <f t="shared" si="9"/>
        <v>219.94884401157185</v>
      </c>
      <c r="AO33" s="2">
        <f t="shared" si="9"/>
        <v>219.94884401157185</v>
      </c>
      <c r="AP33" s="2">
        <f t="shared" si="9"/>
        <v>219.94884401157185</v>
      </c>
      <c r="AQ33" s="2">
        <f t="shared" si="7"/>
        <v>219.94884401157185</v>
      </c>
      <c r="AR33" s="2">
        <f t="shared" si="7"/>
        <v>219.94884401157185</v>
      </c>
      <c r="AS33" s="2">
        <f t="shared" si="7"/>
        <v>219.94884401157185</v>
      </c>
      <c r="AT33" s="2">
        <f t="shared" si="7"/>
        <v>219.94884401157185</v>
      </c>
      <c r="AU33" s="2">
        <f t="shared" si="7"/>
        <v>219.94884401157185</v>
      </c>
      <c r="AV33" s="2">
        <f t="shared" si="7"/>
        <v>219.94884401157185</v>
      </c>
      <c r="AW33" s="2">
        <f t="shared" si="7"/>
        <v>219.94884401157185</v>
      </c>
      <c r="AX33" s="2">
        <f t="shared" si="7"/>
        <v>219.94884401157185</v>
      </c>
      <c r="AY33" s="2">
        <f t="shared" si="7"/>
        <v>219.94884401157185</v>
      </c>
      <c r="AZ33" s="2">
        <f t="shared" si="7"/>
        <v>219.94884401157185</v>
      </c>
      <c r="BA33" s="2">
        <f t="shared" si="7"/>
        <v>219.94884401157185</v>
      </c>
    </row>
    <row r="34" spans="2:53" x14ac:dyDescent="0.2">
      <c r="B34" s="32"/>
      <c r="C34" s="36" t="s">
        <v>50</v>
      </c>
      <c r="D34" s="36"/>
      <c r="E34" s="36"/>
      <c r="F34" s="36"/>
      <c r="G34" s="75"/>
      <c r="H34" s="59"/>
      <c r="I34" s="90"/>
      <c r="J34" s="33"/>
      <c r="K34" s="38"/>
      <c r="L34" s="62" t="s">
        <v>21</v>
      </c>
      <c r="M34" s="62">
        <f>H38/H23</f>
        <v>-0.21254930109740344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">
        <f t="shared" si="9"/>
        <v>1059.0106564546741</v>
      </c>
      <c r="AH34" s="2">
        <f t="shared" si="9"/>
        <v>1059.0106564546741</v>
      </c>
      <c r="AI34" s="2">
        <f t="shared" si="9"/>
        <v>1059.0106564546741</v>
      </c>
      <c r="AJ34" s="2">
        <f t="shared" si="9"/>
        <v>1059.0106564546741</v>
      </c>
      <c r="AK34" s="2">
        <f t="shared" si="9"/>
        <v>1059.0106564546741</v>
      </c>
      <c r="AL34" s="2">
        <f t="shared" si="9"/>
        <v>1059.0106564546741</v>
      </c>
      <c r="AM34" s="2">
        <f t="shared" si="9"/>
        <v>1059.0106564546741</v>
      </c>
      <c r="AN34" s="2">
        <f t="shared" si="9"/>
        <v>1059.0106564546741</v>
      </c>
      <c r="AO34" s="2">
        <f t="shared" si="9"/>
        <v>1059.0106564546741</v>
      </c>
      <c r="AP34" s="2">
        <f t="shared" si="9"/>
        <v>1059.0106564546741</v>
      </c>
      <c r="AQ34" s="2">
        <f t="shared" si="7"/>
        <v>1059.0106564546741</v>
      </c>
      <c r="AR34" s="2">
        <f t="shared" si="7"/>
        <v>1059.0106564546741</v>
      </c>
      <c r="AS34" s="2">
        <f t="shared" si="7"/>
        <v>1059.0106564546741</v>
      </c>
      <c r="AT34" s="2">
        <f t="shared" si="7"/>
        <v>1059.0106564546741</v>
      </c>
      <c r="AU34" s="2">
        <f t="shared" si="7"/>
        <v>1059.0106564546741</v>
      </c>
      <c r="AV34" s="2">
        <f t="shared" si="7"/>
        <v>1059.0106564546741</v>
      </c>
      <c r="AW34" s="2">
        <f t="shared" si="7"/>
        <v>1059.0106564546741</v>
      </c>
      <c r="AX34" s="2">
        <f t="shared" si="7"/>
        <v>1059.0106564546741</v>
      </c>
      <c r="AY34" s="2">
        <f t="shared" si="7"/>
        <v>1059.0106564546741</v>
      </c>
      <c r="AZ34" s="2">
        <f t="shared" si="7"/>
        <v>1059.0106564546741</v>
      </c>
      <c r="BA34" s="2">
        <f t="shared" si="7"/>
        <v>1059.0106564546741</v>
      </c>
    </row>
    <row r="35" spans="2:53" ht="27" x14ac:dyDescent="0.2">
      <c r="B35" s="32"/>
      <c r="C35" s="36"/>
      <c r="D35" s="36" t="s">
        <v>7</v>
      </c>
      <c r="E35" s="36"/>
      <c r="F35" s="36"/>
      <c r="G35" s="75" t="s">
        <v>65</v>
      </c>
      <c r="H35" s="61">
        <f>H26-H27</f>
        <v>2.6343618412268843E-2</v>
      </c>
      <c r="I35" s="90" t="s">
        <v>13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">
        <f t="shared" si="9"/>
        <v>0</v>
      </c>
      <c r="AH35" s="2">
        <f t="shared" si="9"/>
        <v>0</v>
      </c>
      <c r="AI35" s="2">
        <f t="shared" si="9"/>
        <v>0</v>
      </c>
      <c r="AJ35" s="2">
        <f t="shared" si="9"/>
        <v>0</v>
      </c>
      <c r="AK35" s="2">
        <f t="shared" si="9"/>
        <v>0</v>
      </c>
      <c r="AL35" s="2">
        <f t="shared" si="9"/>
        <v>0</v>
      </c>
      <c r="AM35" s="2">
        <f t="shared" si="9"/>
        <v>0</v>
      </c>
      <c r="AN35" s="2">
        <f t="shared" si="9"/>
        <v>0</v>
      </c>
      <c r="AO35" s="2">
        <f t="shared" si="9"/>
        <v>0</v>
      </c>
      <c r="AP35" s="2">
        <f t="shared" si="9"/>
        <v>0</v>
      </c>
      <c r="AQ35" s="2">
        <f t="shared" si="7"/>
        <v>0</v>
      </c>
      <c r="AR35" s="2">
        <f t="shared" si="7"/>
        <v>0</v>
      </c>
      <c r="AS35" s="2">
        <f t="shared" si="7"/>
        <v>0</v>
      </c>
      <c r="AT35" s="2">
        <f t="shared" si="7"/>
        <v>0</v>
      </c>
      <c r="AU35" s="2">
        <f t="shared" si="7"/>
        <v>0</v>
      </c>
      <c r="AV35" s="2">
        <f t="shared" si="7"/>
        <v>0</v>
      </c>
      <c r="AW35" s="2">
        <f t="shared" si="7"/>
        <v>0</v>
      </c>
      <c r="AX35" s="2">
        <f t="shared" si="7"/>
        <v>0</v>
      </c>
      <c r="AY35" s="2">
        <f t="shared" si="7"/>
        <v>0</v>
      </c>
      <c r="AZ35" s="2">
        <f t="shared" si="7"/>
        <v>0</v>
      </c>
      <c r="BA35" s="2">
        <f t="shared" si="7"/>
        <v>0</v>
      </c>
    </row>
    <row r="36" spans="2:53" x14ac:dyDescent="0.2">
      <c r="B36" s="32"/>
      <c r="C36" s="36"/>
      <c r="D36" s="36" t="s">
        <v>19</v>
      </c>
      <c r="E36" s="36"/>
      <c r="F36" s="36"/>
      <c r="G36" s="75"/>
      <c r="H36" s="61">
        <f>H35/H31</f>
        <v>0.21513955036686222</v>
      </c>
      <c r="I36" s="90" t="s">
        <v>18</v>
      </c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">
        <f t="shared" si="9"/>
        <v>3.0612244897959183E-2</v>
      </c>
      <c r="AH36" s="2">
        <f t="shared" si="9"/>
        <v>3.0612244897959183E-2</v>
      </c>
      <c r="AI36" s="2">
        <f t="shared" si="9"/>
        <v>3.0612244897959183E-2</v>
      </c>
      <c r="AJ36" s="2">
        <f t="shared" si="9"/>
        <v>3.0612244897959183E-2</v>
      </c>
      <c r="AK36" s="2">
        <f t="shared" si="9"/>
        <v>3.0612244897959183E-2</v>
      </c>
      <c r="AL36" s="2">
        <f t="shared" si="9"/>
        <v>3.0612244897959183E-2</v>
      </c>
      <c r="AM36" s="2">
        <f t="shared" si="9"/>
        <v>3.0612244897959183E-2</v>
      </c>
      <c r="AN36" s="2">
        <f t="shared" si="9"/>
        <v>3.0612244897959183E-2</v>
      </c>
      <c r="AO36" s="2">
        <f t="shared" si="9"/>
        <v>3.0612244897959183E-2</v>
      </c>
      <c r="AP36" s="2">
        <f t="shared" si="9"/>
        <v>3.0612244897959183E-2</v>
      </c>
      <c r="AQ36" s="2">
        <f t="shared" si="7"/>
        <v>3.0612244897959183E-2</v>
      </c>
      <c r="AR36" s="2">
        <f t="shared" si="7"/>
        <v>3.0612244897959183E-2</v>
      </c>
      <c r="AS36" s="2">
        <f t="shared" si="7"/>
        <v>3.0612244897959183E-2</v>
      </c>
      <c r="AT36" s="2">
        <f t="shared" si="7"/>
        <v>3.0612244897959183E-2</v>
      </c>
      <c r="AU36" s="2">
        <f t="shared" si="7"/>
        <v>3.0612244897959183E-2</v>
      </c>
      <c r="AV36" s="2">
        <f t="shared" si="7"/>
        <v>3.0612244897959183E-2</v>
      </c>
      <c r="AW36" s="2">
        <f t="shared" si="7"/>
        <v>3.0612244897959183E-2</v>
      </c>
      <c r="AX36" s="2">
        <f t="shared" si="7"/>
        <v>3.0612244897959183E-2</v>
      </c>
      <c r="AY36" s="2">
        <f t="shared" si="7"/>
        <v>3.0612244897959183E-2</v>
      </c>
      <c r="AZ36" s="2">
        <f t="shared" si="7"/>
        <v>3.0612244897959183E-2</v>
      </c>
      <c r="BA36" s="2">
        <f t="shared" si="7"/>
        <v>3.0612244897959183E-2</v>
      </c>
    </row>
    <row r="37" spans="2:53" ht="27" x14ac:dyDescent="0.2">
      <c r="B37" s="32"/>
      <c r="C37" s="36"/>
      <c r="D37" s="36" t="s">
        <v>10</v>
      </c>
      <c r="E37" s="36"/>
      <c r="F37" s="36"/>
      <c r="G37" s="75" t="s">
        <v>70</v>
      </c>
      <c r="H37" s="59">
        <f>H23*(H24*H23 + H24*H23*M31*M31)/(H23*H23 + H24*H24*M31*M31)</f>
        <v>47.843204437322122</v>
      </c>
      <c r="I37" s="90" t="s">
        <v>14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  <c r="AF37" s="23" t="s">
        <v>56</v>
      </c>
      <c r="AG37" s="2">
        <f t="shared" si="9"/>
        <v>4.2686264856903414E-3</v>
      </c>
      <c r="AH37" s="2">
        <f t="shared" si="9"/>
        <v>4.2686264856903414E-3</v>
      </c>
      <c r="AI37" s="2">
        <f t="shared" si="9"/>
        <v>4.2686264856903414E-3</v>
      </c>
      <c r="AJ37" s="2">
        <f t="shared" si="9"/>
        <v>4.2686264856903414E-3</v>
      </c>
      <c r="AK37" s="2">
        <f t="shared" si="9"/>
        <v>4.2686264856903414E-3</v>
      </c>
      <c r="AL37" s="2">
        <f t="shared" si="9"/>
        <v>4.2686264856903414E-3</v>
      </c>
      <c r="AM37" s="2">
        <f t="shared" si="9"/>
        <v>4.2686264856903414E-3</v>
      </c>
      <c r="AN37" s="2">
        <f t="shared" si="9"/>
        <v>4.2686264856903414E-3</v>
      </c>
      <c r="AO37" s="2">
        <f t="shared" si="9"/>
        <v>4.2686264856903414E-3</v>
      </c>
      <c r="AP37" s="2">
        <f t="shared" si="9"/>
        <v>4.2686264856903414E-3</v>
      </c>
      <c r="AQ37" s="2">
        <f t="shared" si="7"/>
        <v>4.2686264856903414E-3</v>
      </c>
      <c r="AR37" s="2">
        <f t="shared" si="7"/>
        <v>4.2686264856903414E-3</v>
      </c>
      <c r="AS37" s="2">
        <f t="shared" si="7"/>
        <v>4.2686264856903414E-3</v>
      </c>
      <c r="AT37" s="2">
        <f t="shared" si="7"/>
        <v>4.2686264856903414E-3</v>
      </c>
      <c r="AU37" s="2">
        <f t="shared" si="7"/>
        <v>4.2686264856903414E-3</v>
      </c>
      <c r="AV37" s="2">
        <f t="shared" si="7"/>
        <v>4.2686264856903414E-3</v>
      </c>
      <c r="AW37" s="2">
        <f t="shared" si="7"/>
        <v>4.2686264856903414E-3</v>
      </c>
      <c r="AX37" s="2">
        <f t="shared" si="7"/>
        <v>4.2686264856903414E-3</v>
      </c>
      <c r="AY37" s="2">
        <f t="shared" si="7"/>
        <v>4.2686264856903414E-3</v>
      </c>
      <c r="AZ37" s="2">
        <f t="shared" si="7"/>
        <v>4.2686264856903414E-3</v>
      </c>
      <c r="BA37" s="2">
        <f t="shared" si="7"/>
        <v>4.2686264856903414E-3</v>
      </c>
    </row>
    <row r="38" spans="2:53" ht="27" x14ac:dyDescent="0.2">
      <c r="B38" s="32"/>
      <c r="C38" s="36"/>
      <c r="D38" s="36"/>
      <c r="E38" s="36"/>
      <c r="F38" s="36"/>
      <c r="G38" s="75" t="s">
        <v>76</v>
      </c>
      <c r="H38" s="59">
        <f>H23*(H23*H23*M31 - H24*H24*M31)/(H23*H23 + H24*H24*M31*M31)</f>
        <v>-46.74997307184141</v>
      </c>
      <c r="I38" s="90" t="s">
        <v>14</v>
      </c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</row>
    <row r="39" spans="2:53" x14ac:dyDescent="0.2">
      <c r="B39" s="32"/>
      <c r="C39" s="36"/>
      <c r="D39" s="36"/>
      <c r="E39" s="36"/>
      <c r="F39" s="36"/>
      <c r="G39" s="75"/>
      <c r="H39" s="59"/>
      <c r="I39" s="90"/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</row>
    <row r="40" spans="2:53" x14ac:dyDescent="0.2">
      <c r="B40" s="32"/>
      <c r="C40" s="36" t="s">
        <v>51</v>
      </c>
      <c r="D40" s="36"/>
      <c r="E40" s="36"/>
      <c r="F40" s="36"/>
      <c r="G40" s="75"/>
      <c r="H40" s="59"/>
      <c r="I40" s="90"/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  <c r="AG40" s="2">
        <f>300/AG32</f>
        <v>0.1749271137026239</v>
      </c>
      <c r="AH40" s="2">
        <f t="shared" ref="AH40:BA40" si="10">300/AH32</f>
        <v>0.16773832820799553</v>
      </c>
      <c r="AI40" s="2">
        <f t="shared" si="10"/>
        <v>0.1611170784103115</v>
      </c>
      <c r="AJ40" s="2">
        <f t="shared" si="10"/>
        <v>0.15499870834409712</v>
      </c>
      <c r="AK40" s="2">
        <f t="shared" si="10"/>
        <v>0.14932802389248381</v>
      </c>
      <c r="AL40" s="2">
        <f t="shared" si="10"/>
        <v>0.14405762304921968</v>
      </c>
      <c r="AM40" s="2">
        <f t="shared" si="10"/>
        <v>0.1391465677179963</v>
      </c>
      <c r="AN40" s="2">
        <f t="shared" si="10"/>
        <v>0.13455931823278763</v>
      </c>
      <c r="AO40" s="2">
        <f t="shared" si="10"/>
        <v>0.13026487190620928</v>
      </c>
      <c r="AP40" s="2">
        <f t="shared" si="10"/>
        <v>0.12623606143488322</v>
      </c>
      <c r="AQ40" s="2">
        <f t="shared" si="10"/>
        <v>0.12244897959183673</v>
      </c>
      <c r="AR40" s="2">
        <f t="shared" si="10"/>
        <v>0.11888250445809392</v>
      </c>
      <c r="AS40" s="2">
        <f t="shared" si="10"/>
        <v>0.11551790527531768</v>
      </c>
      <c r="AT40" s="2">
        <f t="shared" si="10"/>
        <v>0.11233851338700618</v>
      </c>
      <c r="AU40" s="2">
        <f t="shared" si="10"/>
        <v>0.10932944606413994</v>
      </c>
      <c r="AV40" s="2">
        <f t="shared" si="10"/>
        <v>0.1064773735581189</v>
      </c>
      <c r="AW40" s="2">
        <f t="shared" si="10"/>
        <v>0.10377032168799723</v>
      </c>
      <c r="AX40" s="2">
        <f t="shared" si="10"/>
        <v>0.1011975037949064</v>
      </c>
      <c r="AY40" s="2">
        <f t="shared" si="10"/>
        <v>9.8749177090190918E-2</v>
      </c>
      <c r="AZ40" s="2">
        <f t="shared" si="10"/>
        <v>9.6416519363650977E-2</v>
      </c>
      <c r="BA40" s="2">
        <f t="shared" si="10"/>
        <v>9.4191522762951341E-2</v>
      </c>
    </row>
    <row r="41" spans="2:53" ht="27" x14ac:dyDescent="0.2">
      <c r="B41" s="32"/>
      <c r="C41" s="36"/>
      <c r="D41" s="36" t="s">
        <v>7</v>
      </c>
      <c r="E41" s="36"/>
      <c r="F41" s="36"/>
      <c r="G41" s="75" t="s">
        <v>64</v>
      </c>
      <c r="H41" s="61">
        <f>H27</f>
        <v>4.2686264856903414E-3</v>
      </c>
      <c r="I41" s="90" t="s">
        <v>13</v>
      </c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  <c r="AG41" s="2">
        <f>AG52+AG45</f>
        <v>0.17500000000000002</v>
      </c>
      <c r="AH41" s="2">
        <f t="shared" ref="AH41:BA41" si="11">AH52+AH45</f>
        <v>0.1825</v>
      </c>
      <c r="AI41" s="2">
        <f t="shared" si="11"/>
        <v>0.19</v>
      </c>
      <c r="AJ41" s="2">
        <f t="shared" si="11"/>
        <v>0.19750000000000001</v>
      </c>
      <c r="AK41" s="2">
        <f t="shared" si="11"/>
        <v>0.20500000000000002</v>
      </c>
      <c r="AL41" s="2">
        <f t="shared" si="11"/>
        <v>0.21250000000000002</v>
      </c>
      <c r="AM41" s="2">
        <f t="shared" si="11"/>
        <v>0.22</v>
      </c>
      <c r="AN41" s="2">
        <f t="shared" si="11"/>
        <v>0.22749999999999998</v>
      </c>
      <c r="AO41" s="2">
        <f t="shared" si="11"/>
        <v>0.23500000000000004</v>
      </c>
      <c r="AP41" s="2">
        <f t="shared" si="11"/>
        <v>0.24250000000000002</v>
      </c>
      <c r="AQ41" s="2">
        <f t="shared" si="11"/>
        <v>0.25</v>
      </c>
      <c r="AR41" s="2">
        <f t="shared" si="11"/>
        <v>0.25750000000000001</v>
      </c>
      <c r="AS41" s="2">
        <f t="shared" si="11"/>
        <v>0.26500000000000001</v>
      </c>
      <c r="AT41" s="2">
        <f t="shared" si="11"/>
        <v>0.27250000000000002</v>
      </c>
      <c r="AU41" s="2">
        <f t="shared" si="11"/>
        <v>0.28000000000000003</v>
      </c>
      <c r="AV41" s="2">
        <f t="shared" si="11"/>
        <v>0.28749999999999998</v>
      </c>
      <c r="AW41" s="2">
        <f t="shared" si="11"/>
        <v>0.29500000000000004</v>
      </c>
      <c r="AX41" s="2">
        <f t="shared" si="11"/>
        <v>0.30249999999999999</v>
      </c>
      <c r="AY41" s="2">
        <f t="shared" si="11"/>
        <v>0.31</v>
      </c>
      <c r="AZ41" s="2">
        <f t="shared" si="11"/>
        <v>0.3175</v>
      </c>
      <c r="BA41" s="2">
        <f t="shared" si="11"/>
        <v>0.32500000000000001</v>
      </c>
    </row>
    <row r="42" spans="2:53" x14ac:dyDescent="0.2">
      <c r="B42" s="32"/>
      <c r="C42" s="36"/>
      <c r="D42" s="36" t="s">
        <v>19</v>
      </c>
      <c r="E42" s="36"/>
      <c r="F42" s="36"/>
      <c r="G42" s="75"/>
      <c r="H42" s="61">
        <f>H41/H31</f>
        <v>3.4860449633137787E-2</v>
      </c>
      <c r="I42" s="90" t="s">
        <v>18</v>
      </c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</row>
    <row r="43" spans="2:53" ht="27" x14ac:dyDescent="0.2">
      <c r="B43" s="32"/>
      <c r="C43" s="36"/>
      <c r="D43" s="36" t="s">
        <v>10</v>
      </c>
      <c r="E43" s="36"/>
      <c r="F43" s="36"/>
      <c r="G43" s="75" t="s">
        <v>77</v>
      </c>
      <c r="H43" s="59">
        <v>0</v>
      </c>
      <c r="I43" s="90" t="s">
        <v>14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</row>
    <row r="44" spans="2:53" ht="27" x14ac:dyDescent="0.2">
      <c r="B44" s="32"/>
      <c r="C44" s="36"/>
      <c r="D44" s="36"/>
      <c r="E44" s="36"/>
      <c r="F44" s="36"/>
      <c r="G44" s="75" t="s">
        <v>78</v>
      </c>
      <c r="H44" s="59">
        <f>H23*(H23*H23*M32 - H25*H25*M32)/(H23*H23 + H25*H25*M32*M32)</f>
        <v>48.961939561321564</v>
      </c>
      <c r="I44" s="90" t="s">
        <v>14</v>
      </c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  <c r="AG44" s="2">
        <f>AG36-AG37</f>
        <v>2.6343618412268843E-2</v>
      </c>
      <c r="AH44" s="2">
        <f t="shared" ref="AH44:BA44" si="12">AH36-AH37</f>
        <v>2.6343618412268843E-2</v>
      </c>
      <c r="AI44" s="2">
        <f t="shared" si="12"/>
        <v>2.6343618412268843E-2</v>
      </c>
      <c r="AJ44" s="2">
        <f t="shared" si="12"/>
        <v>2.6343618412268843E-2</v>
      </c>
      <c r="AK44" s="2">
        <f t="shared" si="12"/>
        <v>2.6343618412268843E-2</v>
      </c>
      <c r="AL44" s="2">
        <f t="shared" si="12"/>
        <v>2.6343618412268843E-2</v>
      </c>
      <c r="AM44" s="2">
        <f t="shared" si="12"/>
        <v>2.6343618412268843E-2</v>
      </c>
      <c r="AN44" s="2">
        <f t="shared" si="12"/>
        <v>2.6343618412268843E-2</v>
      </c>
      <c r="AO44" s="2">
        <f t="shared" si="12"/>
        <v>2.6343618412268843E-2</v>
      </c>
      <c r="AP44" s="2">
        <f t="shared" si="12"/>
        <v>2.6343618412268843E-2</v>
      </c>
      <c r="AQ44" s="2">
        <f t="shared" si="12"/>
        <v>2.6343618412268843E-2</v>
      </c>
      <c r="AR44" s="2">
        <f t="shared" si="12"/>
        <v>2.6343618412268843E-2</v>
      </c>
      <c r="AS44" s="2">
        <f t="shared" si="12"/>
        <v>2.6343618412268843E-2</v>
      </c>
      <c r="AT44" s="2">
        <f t="shared" si="12"/>
        <v>2.6343618412268843E-2</v>
      </c>
      <c r="AU44" s="2">
        <f t="shared" si="12"/>
        <v>2.6343618412268843E-2</v>
      </c>
      <c r="AV44" s="2">
        <f t="shared" si="12"/>
        <v>2.6343618412268843E-2</v>
      </c>
      <c r="AW44" s="2">
        <f t="shared" si="12"/>
        <v>2.6343618412268843E-2</v>
      </c>
      <c r="AX44" s="2">
        <f t="shared" si="12"/>
        <v>2.6343618412268843E-2</v>
      </c>
      <c r="AY44" s="2">
        <f t="shared" si="12"/>
        <v>2.6343618412268843E-2</v>
      </c>
      <c r="AZ44" s="2">
        <f t="shared" si="12"/>
        <v>2.6343618412268843E-2</v>
      </c>
      <c r="BA44" s="2">
        <f t="shared" si="12"/>
        <v>2.6343618412268843E-2</v>
      </c>
    </row>
    <row r="45" spans="2:53" x14ac:dyDescent="0.2">
      <c r="B45" s="32"/>
      <c r="C45" s="36"/>
      <c r="D45" s="36"/>
      <c r="E45" s="36"/>
      <c r="F45" s="36"/>
      <c r="G45" s="75"/>
      <c r="H45" s="59"/>
      <c r="I45" s="90"/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  <c r="AG45" s="2">
        <f>AG44/AG40</f>
        <v>0.15059768525680356</v>
      </c>
      <c r="AH45" s="2">
        <f t="shared" ref="AH45:BA45" si="13">AH44/AH40</f>
        <v>0.15705187176780941</v>
      </c>
      <c r="AI45" s="2">
        <f t="shared" si="13"/>
        <v>0.16350605827881529</v>
      </c>
      <c r="AJ45" s="2">
        <f t="shared" si="13"/>
        <v>0.16996024478982116</v>
      </c>
      <c r="AK45" s="2">
        <f t="shared" si="13"/>
        <v>0.17641443130082704</v>
      </c>
      <c r="AL45" s="2">
        <f t="shared" si="13"/>
        <v>0.18286861781183289</v>
      </c>
      <c r="AM45" s="2">
        <f t="shared" si="13"/>
        <v>0.18932280432283874</v>
      </c>
      <c r="AN45" s="2">
        <f t="shared" si="13"/>
        <v>0.19577699083384459</v>
      </c>
      <c r="AO45" s="2">
        <f t="shared" si="13"/>
        <v>0.20223117734485052</v>
      </c>
      <c r="AP45" s="2">
        <f t="shared" si="13"/>
        <v>0.20868536385585637</v>
      </c>
      <c r="AQ45" s="2">
        <f t="shared" si="13"/>
        <v>0.21513955036686222</v>
      </c>
      <c r="AR45" s="2">
        <f t="shared" si="13"/>
        <v>0.22159373687786807</v>
      </c>
      <c r="AS45" s="2">
        <f t="shared" si="13"/>
        <v>0.22804792338887395</v>
      </c>
      <c r="AT45" s="2">
        <f t="shared" si="13"/>
        <v>0.23450210989987982</v>
      </c>
      <c r="AU45" s="2">
        <f t="shared" si="13"/>
        <v>0.2409562964108857</v>
      </c>
      <c r="AV45" s="2">
        <f t="shared" si="13"/>
        <v>0.24741048292189155</v>
      </c>
      <c r="AW45" s="2">
        <f t="shared" si="13"/>
        <v>0.25386466943289743</v>
      </c>
      <c r="AX45" s="2">
        <f t="shared" si="13"/>
        <v>0.26031885594390325</v>
      </c>
      <c r="AY45" s="2">
        <f t="shared" si="13"/>
        <v>0.26677304245490913</v>
      </c>
      <c r="AZ45" s="2">
        <f t="shared" si="13"/>
        <v>0.273227228965915</v>
      </c>
      <c r="BA45" s="2">
        <f t="shared" si="13"/>
        <v>0.27968141547692088</v>
      </c>
    </row>
    <row r="46" spans="2:53" x14ac:dyDescent="0.2">
      <c r="B46" s="32"/>
      <c r="C46" s="36"/>
      <c r="D46" s="36"/>
      <c r="E46" s="36"/>
      <c r="F46" s="36"/>
      <c r="G46" s="75"/>
      <c r="H46" s="59"/>
      <c r="I46" s="90"/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">
        <f t="shared" ref="AG46:BA46" si="14">AG33*(AG34*AG33 + AG34*AG33*AG24*AG24)/(AG33*AG33 + AG34*AG34*AG24*AG24)</f>
        <v>67.89548684062008</v>
      </c>
      <c r="AH46" s="2">
        <f t="shared" si="14"/>
        <v>64.422134929076392</v>
      </c>
      <c r="AI46" s="2">
        <f t="shared" si="14"/>
        <v>61.388406089288964</v>
      </c>
      <c r="AJ46" s="2">
        <f t="shared" si="14"/>
        <v>58.737863224635753</v>
      </c>
      <c r="AK46" s="2">
        <f t="shared" si="14"/>
        <v>56.423854212272218</v>
      </c>
      <c r="AL46" s="2">
        <f t="shared" si="14"/>
        <v>54.407700359413305</v>
      </c>
      <c r="AM46" s="2">
        <f t="shared" si="14"/>
        <v>52.657275862851208</v>
      </c>
      <c r="AN46" s="2">
        <f t="shared" si="14"/>
        <v>51.145888654466333</v>
      </c>
      <c r="AO46" s="2">
        <f t="shared" si="14"/>
        <v>49.851395589576576</v>
      </c>
      <c r="AP46" s="2">
        <f t="shared" si="14"/>
        <v>48.755501557757249</v>
      </c>
      <c r="AQ46" s="2">
        <f t="shared" si="14"/>
        <v>47.843204437322122</v>
      </c>
      <c r="AR46" s="2">
        <f t="shared" si="14"/>
        <v>47.102357062487464</v>
      </c>
      <c r="AS46" s="2">
        <f t="shared" si="14"/>
        <v>46.523324376262089</v>
      </c>
      <c r="AT46" s="2">
        <f t="shared" si="14"/>
        <v>46.098719315725234</v>
      </c>
      <c r="AU46" s="2">
        <f t="shared" si="14"/>
        <v>45.823205167054738</v>
      </c>
      <c r="AV46" s="2">
        <f t="shared" si="14"/>
        <v>45.693355466651973</v>
      </c>
      <c r="AW46" s="2">
        <f t="shared" si="14"/>
        <v>45.707565262117633</v>
      </c>
      <c r="AX46" s="2">
        <f t="shared" si="14"/>
        <v>45.866009877197847</v>
      </c>
      <c r="AY46" s="2">
        <f t="shared" si="14"/>
        <v>46.17064940595629</v>
      </c>
      <c r="AZ46" s="2">
        <f t="shared" si="14"/>
        <v>46.625279129069163</v>
      </c>
      <c r="BA46" s="2">
        <f t="shared" si="14"/>
        <v>47.235628025077695</v>
      </c>
    </row>
    <row r="47" spans="2:53" x14ac:dyDescent="0.2">
      <c r="B47" s="32"/>
      <c r="C47" s="36"/>
      <c r="D47" s="36" t="s">
        <v>55</v>
      </c>
      <c r="E47" s="36"/>
      <c r="F47" s="36"/>
      <c r="G47" s="75" t="s">
        <v>79</v>
      </c>
      <c r="H47" s="67">
        <f>H23*(M32*M32*M33)/((M32+M34)*(M32+M34) + M33*M33)</f>
        <v>49.999956999328354</v>
      </c>
      <c r="I47" s="90" t="s">
        <v>14</v>
      </c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G47" s="2">
        <f t="shared" ref="AG47:BA47" si="15">AG33*(AG33*AG33*AG24 - AG34*AG34*AG24)/(AG33*AG33 + AG34*AG34*AG24*AG24)</f>
        <v>-148.37904099005539</v>
      </c>
      <c r="AH47" s="2">
        <f t="shared" si="15"/>
        <v>-136.52450284375172</v>
      </c>
      <c r="AI47" s="2">
        <f t="shared" si="15"/>
        <v>-125.17698523940336</v>
      </c>
      <c r="AJ47" s="2">
        <f t="shared" si="15"/>
        <v>-114.27879417956456</v>
      </c>
      <c r="AK47" s="2">
        <f t="shared" si="15"/>
        <v>-103.77793499875646</v>
      </c>
      <c r="AL47" s="2">
        <f t="shared" si="15"/>
        <v>-93.627364281426779</v>
      </c>
      <c r="AM47" s="2">
        <f t="shared" si="15"/>
        <v>-83.784317111791154</v>
      </c>
      <c r="AN47" s="2">
        <f t="shared" si="15"/>
        <v>-74.209706563199163</v>
      </c>
      <c r="AO47" s="2">
        <f t="shared" si="15"/>
        <v>-64.867589224206043</v>
      </c>
      <c r="AP47" s="2">
        <f t="shared" si="15"/>
        <v>-55.724689245453632</v>
      </c>
      <c r="AQ47" s="2">
        <f t="shared" si="15"/>
        <v>-46.74997307184141</v>
      </c>
      <c r="AR47" s="2">
        <f t="shared" si="15"/>
        <v>-37.91426722424783</v>
      </c>
      <c r="AS47" s="2">
        <f t="shared" si="15"/>
        <v>-29.18991193653536</v>
      </c>
      <c r="AT47" s="2">
        <f t="shared" si="15"/>
        <v>-20.550443976021935</v>
      </c>
      <c r="AU47" s="2">
        <f t="shared" si="15"/>
        <v>-11.970302487662085</v>
      </c>
      <c r="AV47" s="2">
        <f t="shared" si="15"/>
        <v>-3.4245521533610175</v>
      </c>
      <c r="AW47" s="2">
        <f t="shared" si="15"/>
        <v>5.1113816787220214</v>
      </c>
      <c r="AX47" s="2">
        <f t="shared" si="15"/>
        <v>13.661970977856098</v>
      </c>
      <c r="AY47" s="2">
        <f t="shared" si="15"/>
        <v>22.251841055789452</v>
      </c>
      <c r="AZ47" s="2">
        <f t="shared" si="15"/>
        <v>30.906029517104741</v>
      </c>
      <c r="BA47" s="2">
        <f t="shared" si="15"/>
        <v>39.650253085119779</v>
      </c>
    </row>
    <row r="48" spans="2:53" x14ac:dyDescent="0.2">
      <c r="B48" s="32"/>
      <c r="C48" s="36"/>
      <c r="D48" s="36"/>
      <c r="E48" s="36"/>
      <c r="F48" s="36"/>
      <c r="G48" s="75" t="s">
        <v>80</v>
      </c>
      <c r="H48" s="68">
        <f>H23*(M32*M33*M33+M32*M32*M34)/((M32+M34)*(M32+M34)+M33*M33)</f>
        <v>6.093483044670867E-5</v>
      </c>
      <c r="I48" s="90" t="s">
        <v>14</v>
      </c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</row>
    <row r="49" spans="2:53" x14ac:dyDescent="0.2">
      <c r="B49" s="32"/>
      <c r="C49" s="36"/>
      <c r="D49" s="36"/>
      <c r="E49" s="36"/>
      <c r="F49" s="36"/>
      <c r="G49" s="75"/>
      <c r="H49" s="59"/>
      <c r="I49" s="90"/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</row>
    <row r="50" spans="2:53" x14ac:dyDescent="0.2">
      <c r="B50" s="32"/>
      <c r="C50" s="36"/>
      <c r="D50" s="36"/>
      <c r="E50" s="36"/>
      <c r="F50" s="36"/>
      <c r="G50" s="75" t="s">
        <v>32</v>
      </c>
      <c r="H50" s="59">
        <f>SQRT(H47*H47 + H48*H48)</f>
        <v>49.999956999365487</v>
      </c>
      <c r="I50" s="90" t="s">
        <v>14</v>
      </c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</row>
    <row r="51" spans="2:53" x14ac:dyDescent="0.2">
      <c r="B51" s="32"/>
      <c r="C51" s="36"/>
      <c r="D51" s="36"/>
      <c r="E51" s="36"/>
      <c r="F51" s="36"/>
      <c r="G51" s="75"/>
      <c r="H51" s="59"/>
      <c r="I51" s="90"/>
      <c r="J51" s="33"/>
      <c r="K51" s="38"/>
      <c r="L51" s="6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5"/>
      <c r="AG51" s="2">
        <f>AG37</f>
        <v>4.2686264856903414E-3</v>
      </c>
      <c r="AH51" s="2">
        <f t="shared" ref="AH51:BA51" si="16">AH37</f>
        <v>4.2686264856903414E-3</v>
      </c>
      <c r="AI51" s="2">
        <f t="shared" si="16"/>
        <v>4.2686264856903414E-3</v>
      </c>
      <c r="AJ51" s="2">
        <f t="shared" si="16"/>
        <v>4.2686264856903414E-3</v>
      </c>
      <c r="AK51" s="2">
        <f t="shared" si="16"/>
        <v>4.2686264856903414E-3</v>
      </c>
      <c r="AL51" s="2">
        <f t="shared" si="16"/>
        <v>4.2686264856903414E-3</v>
      </c>
      <c r="AM51" s="2">
        <f t="shared" si="16"/>
        <v>4.2686264856903414E-3</v>
      </c>
      <c r="AN51" s="2">
        <f t="shared" si="16"/>
        <v>4.2686264856903414E-3</v>
      </c>
      <c r="AO51" s="2">
        <f t="shared" si="16"/>
        <v>4.2686264856903414E-3</v>
      </c>
      <c r="AP51" s="2">
        <f t="shared" si="16"/>
        <v>4.2686264856903414E-3</v>
      </c>
      <c r="AQ51" s="2">
        <f t="shared" si="16"/>
        <v>4.2686264856903414E-3</v>
      </c>
      <c r="AR51" s="2">
        <f t="shared" si="16"/>
        <v>4.2686264856903414E-3</v>
      </c>
      <c r="AS51" s="2">
        <f t="shared" si="16"/>
        <v>4.2686264856903414E-3</v>
      </c>
      <c r="AT51" s="2">
        <f t="shared" si="16"/>
        <v>4.2686264856903414E-3</v>
      </c>
      <c r="AU51" s="2">
        <f t="shared" si="16"/>
        <v>4.2686264856903414E-3</v>
      </c>
      <c r="AV51" s="2">
        <f t="shared" si="16"/>
        <v>4.2686264856903414E-3</v>
      </c>
      <c r="AW51" s="2">
        <f t="shared" si="16"/>
        <v>4.2686264856903414E-3</v>
      </c>
      <c r="AX51" s="2">
        <f t="shared" si="16"/>
        <v>4.2686264856903414E-3</v>
      </c>
      <c r="AY51" s="2">
        <f t="shared" si="16"/>
        <v>4.2686264856903414E-3</v>
      </c>
      <c r="AZ51" s="2">
        <f t="shared" si="16"/>
        <v>4.2686264856903414E-3</v>
      </c>
      <c r="BA51" s="2">
        <f t="shared" si="16"/>
        <v>4.2686264856903414E-3</v>
      </c>
    </row>
    <row r="52" spans="2:53" x14ac:dyDescent="0.2">
      <c r="B52" s="32"/>
      <c r="C52" s="33"/>
      <c r="D52" s="33"/>
      <c r="E52" s="33"/>
      <c r="F52" s="33"/>
      <c r="G52" s="46"/>
      <c r="H52" s="57"/>
      <c r="I52" s="89"/>
      <c r="J52" s="33"/>
      <c r="K52" s="33"/>
      <c r="L52" s="58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5"/>
      <c r="AG52" s="2">
        <f>AG51/AG40</f>
        <v>2.4402314743196454E-2</v>
      </c>
      <c r="AH52" s="2">
        <f t="shared" ref="AH52:BA52" si="17">AH51/AH40</f>
        <v>2.5448128232190587E-2</v>
      </c>
      <c r="AI52" s="2">
        <f t="shared" si="17"/>
        <v>2.6493941721184716E-2</v>
      </c>
      <c r="AJ52" s="2">
        <f t="shared" si="17"/>
        <v>2.7539755210178853E-2</v>
      </c>
      <c r="AK52" s="2">
        <f t="shared" si="17"/>
        <v>2.8585568699172989E-2</v>
      </c>
      <c r="AL52" s="2">
        <f t="shared" si="17"/>
        <v>2.9631382188167122E-2</v>
      </c>
      <c r="AM52" s="2">
        <f t="shared" si="17"/>
        <v>3.0677195677161252E-2</v>
      </c>
      <c r="AN52" s="2">
        <f t="shared" si="17"/>
        <v>3.1723009166155385E-2</v>
      </c>
      <c r="AO52" s="2">
        <f t="shared" si="17"/>
        <v>3.2768822655149528E-2</v>
      </c>
      <c r="AP52" s="2">
        <f t="shared" si="17"/>
        <v>3.3814636144143657E-2</v>
      </c>
      <c r="AQ52" s="2">
        <f t="shared" si="17"/>
        <v>3.4860449633137787E-2</v>
      </c>
      <c r="AR52" s="2">
        <f t="shared" si="17"/>
        <v>3.5906263122131923E-2</v>
      </c>
      <c r="AS52" s="2">
        <f t="shared" si="17"/>
        <v>3.6952076611126053E-2</v>
      </c>
      <c r="AT52" s="2">
        <f t="shared" si="17"/>
        <v>3.7997890100120189E-2</v>
      </c>
      <c r="AU52" s="2">
        <f t="shared" si="17"/>
        <v>3.9043703589114326E-2</v>
      </c>
      <c r="AV52" s="2">
        <f t="shared" si="17"/>
        <v>4.0089517078108455E-2</v>
      </c>
      <c r="AW52" s="2">
        <f t="shared" si="17"/>
        <v>4.1135330567102592E-2</v>
      </c>
      <c r="AX52" s="2">
        <f t="shared" si="17"/>
        <v>4.2181144056096721E-2</v>
      </c>
      <c r="AY52" s="2">
        <f t="shared" si="17"/>
        <v>4.3226957545090858E-2</v>
      </c>
      <c r="AZ52" s="2">
        <f t="shared" si="17"/>
        <v>4.4272771034084987E-2</v>
      </c>
      <c r="BA52" s="2">
        <f t="shared" si="17"/>
        <v>4.5318584523079124E-2</v>
      </c>
    </row>
    <row r="53" spans="2:53" s="4" customFormat="1" ht="28" x14ac:dyDescent="0.2">
      <c r="B53" s="28"/>
      <c r="C53" s="4" t="s">
        <v>52</v>
      </c>
      <c r="G53" s="76"/>
      <c r="H53" s="55"/>
      <c r="I53" s="88"/>
      <c r="J53" s="30"/>
      <c r="K53" s="30"/>
      <c r="L53" s="56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1"/>
      <c r="AF53" s="5"/>
      <c r="AG53" s="4">
        <f>AG33*(AG35*AG33 + AG35*AG33*AK45*AK45)/(AG33*AG33 + AG35*AG35*AK45*AK45)</f>
        <v>0</v>
      </c>
      <c r="AH53" s="4">
        <f t="shared" ref="AH53:AW53" si="18">AH33*(AH35*AH33 + AH35*AH33*AL45*AL45)/(AH33*AH33 + AH35*AH35*AL45*AL45)</f>
        <v>0</v>
      </c>
      <c r="AI53" s="4">
        <f t="shared" si="18"/>
        <v>0</v>
      </c>
      <c r="AJ53" s="4">
        <f t="shared" si="18"/>
        <v>0</v>
      </c>
      <c r="AK53" s="4">
        <f t="shared" si="18"/>
        <v>0</v>
      </c>
      <c r="AL53" s="4">
        <f t="shared" si="18"/>
        <v>0</v>
      </c>
      <c r="AM53" s="4">
        <f t="shared" si="18"/>
        <v>0</v>
      </c>
      <c r="AN53" s="4">
        <f t="shared" si="18"/>
        <v>0</v>
      </c>
      <c r="AO53" s="4">
        <f t="shared" si="18"/>
        <v>0</v>
      </c>
      <c r="AP53" s="4">
        <f t="shared" si="18"/>
        <v>0</v>
      </c>
      <c r="AQ53" s="4">
        <f t="shared" si="18"/>
        <v>0</v>
      </c>
      <c r="AR53" s="4">
        <f t="shared" si="18"/>
        <v>0</v>
      </c>
      <c r="AS53" s="4">
        <f t="shared" si="18"/>
        <v>0</v>
      </c>
      <c r="AT53" s="4">
        <f t="shared" si="18"/>
        <v>0</v>
      </c>
      <c r="AU53" s="4">
        <f t="shared" si="18"/>
        <v>0</v>
      </c>
      <c r="AV53" s="4">
        <f t="shared" si="18"/>
        <v>0</v>
      </c>
      <c r="AW53" s="4">
        <f t="shared" si="18"/>
        <v>0</v>
      </c>
      <c r="AX53" s="4">
        <f>AX33*(AX35*AX33 + AX35*AX33*BB38*BB38)/(AX33*AX33 + AX35*AX35*BB38*BB38)</f>
        <v>0</v>
      </c>
      <c r="AY53" s="4">
        <f>AY33*(AY35*AY33 + AY35*AY33*BC38*BC38)/(AY33*AY33 + AY35*AY35*BC38*BC38)</f>
        <v>0</v>
      </c>
      <c r="AZ53" s="4">
        <f>AZ33*(AZ35*AZ33 + AZ35*AZ33*BD38*BD38)/(AZ33*AZ33 + AZ35*AZ35*BD38*BD38)</f>
        <v>0</v>
      </c>
      <c r="BA53" s="4">
        <f>BA33*(BA35*BA33 + BA35*BA33*BE38*BE38)/(BA33*BA33 + BA35*BA35*BE38*BE38)</f>
        <v>0</v>
      </c>
    </row>
    <row r="54" spans="2:53" x14ac:dyDescent="0.2">
      <c r="B54" s="32"/>
      <c r="C54" s="49" t="s">
        <v>48</v>
      </c>
      <c r="D54" s="33"/>
      <c r="E54" s="49" t="s">
        <v>49</v>
      </c>
      <c r="F54" s="33"/>
      <c r="G54" s="46"/>
      <c r="H54" s="57"/>
      <c r="I54" s="89"/>
      <c r="J54" s="33"/>
      <c r="K54" s="33"/>
      <c r="L54" s="58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5"/>
      <c r="AG54" s="2">
        <f>AG33*(AG33*AG33*AG25 - AG35*AG35*AG25)/(AG33*AG33 + AG35*AG35*AG25*AG25)</f>
        <v>33.990264772508603</v>
      </c>
      <c r="AH54" s="2">
        <f t="shared" ref="AH54:BA54" si="19">AH33*(AH33*AH33*AH25 - AH35*AH35*AH25)/(AH33*AH33 + AH35*AH35*AH25*AH25)</f>
        <v>35.471599067967254</v>
      </c>
      <c r="AI54" s="2">
        <f t="shared" si="19"/>
        <v>36.956076353418133</v>
      </c>
      <c r="AJ54" s="2">
        <f t="shared" si="19"/>
        <v>38.443835255527802</v>
      </c>
      <c r="AK54" s="2">
        <f t="shared" si="19"/>
        <v>39.935015582646848</v>
      </c>
      <c r="AL54" s="2">
        <f t="shared" si="19"/>
        <v>41.429758379265493</v>
      </c>
      <c r="AM54" s="2">
        <f t="shared" si="19"/>
        <v>42.928205981432704</v>
      </c>
      <c r="AN54" s="2">
        <f t="shared" si="19"/>
        <v>44.430502073186503</v>
      </c>
      <c r="AO54" s="2">
        <f t="shared" si="19"/>
        <v>45.936791744044861</v>
      </c>
      <c r="AP54" s="2">
        <f t="shared" si="19"/>
        <v>47.447221547607562</v>
      </c>
      <c r="AQ54" s="2">
        <f t="shared" si="19"/>
        <v>48.961939561321564</v>
      </c>
      <c r="AR54" s="2">
        <f t="shared" si="19"/>
        <v>50.481095447463176</v>
      </c>
      <c r="AS54" s="2">
        <f t="shared" si="19"/>
        <v>52.004840515392772</v>
      </c>
      <c r="AT54" s="2">
        <f t="shared" si="19"/>
        <v>53.533327785139505</v>
      </c>
      <c r="AU54" s="2">
        <f t="shared" si="19"/>
        <v>55.066712052374783</v>
      </c>
      <c r="AV54" s="2">
        <f t="shared" si="19"/>
        <v>56.605149954835831</v>
      </c>
      <c r="AW54" s="2">
        <f t="shared" si="19"/>
        <v>58.14880004026277</v>
      </c>
      <c r="AX54" s="2">
        <f t="shared" si="19"/>
        <v>59.697822835914046</v>
      </c>
      <c r="AY54" s="2">
        <f t="shared" si="19"/>
        <v>61.252380919728722</v>
      </c>
      <c r="AZ54" s="2">
        <f t="shared" si="19"/>
        <v>62.812638993204835</v>
      </c>
      <c r="BA54" s="2">
        <f t="shared" si="19"/>
        <v>64.378763956067374</v>
      </c>
    </row>
    <row r="55" spans="2:53" x14ac:dyDescent="0.2">
      <c r="B55" s="32"/>
      <c r="C55" s="36"/>
      <c r="D55" s="36"/>
      <c r="E55" s="36"/>
      <c r="F55" s="36"/>
      <c r="G55" s="75"/>
      <c r="H55" s="59"/>
      <c r="I55" s="90"/>
      <c r="J55" s="33"/>
      <c r="K55" s="66"/>
      <c r="L55" s="98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35"/>
    </row>
    <row r="56" spans="2:53" x14ac:dyDescent="0.2">
      <c r="B56" s="32"/>
      <c r="C56" s="36"/>
      <c r="D56" s="36" t="s">
        <v>34</v>
      </c>
      <c r="E56" s="36"/>
      <c r="F56" s="36"/>
      <c r="G56" s="75"/>
      <c r="H56" s="74">
        <v>50</v>
      </c>
      <c r="I56" s="90" t="s">
        <v>14</v>
      </c>
      <c r="J56" s="33"/>
      <c r="K56" s="66"/>
      <c r="L56" s="97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35"/>
    </row>
    <row r="57" spans="2:53" x14ac:dyDescent="0.2">
      <c r="B57" s="32"/>
      <c r="C57" s="36"/>
      <c r="D57" s="36" t="s">
        <v>35</v>
      </c>
      <c r="E57" s="36"/>
      <c r="F57" s="36"/>
      <c r="G57" s="75"/>
      <c r="H57" s="74">
        <v>0</v>
      </c>
      <c r="I57" s="90" t="s">
        <v>14</v>
      </c>
      <c r="J57" s="33"/>
      <c r="K57" s="66"/>
      <c r="L57" s="97" t="s">
        <v>58</v>
      </c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</row>
    <row r="58" spans="2:53" x14ac:dyDescent="0.2">
      <c r="B58" s="32"/>
      <c r="C58" s="36"/>
      <c r="D58" s="36"/>
      <c r="E58" s="36"/>
      <c r="F58" s="36"/>
      <c r="G58" s="75"/>
      <c r="H58" s="59"/>
      <c r="I58" s="90"/>
      <c r="J58" s="33"/>
      <c r="K58" s="66"/>
      <c r="L58" s="97" t="s">
        <v>81</v>
      </c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  <c r="AF58" s="23" t="s">
        <v>36</v>
      </c>
      <c r="AG58" s="2">
        <f t="shared" ref="AG58:BA58" si="20">AG33*(AG25*AG25*AG26)/((AG25+AG27)*(AG25+AG27) + AG26*AG26)</f>
        <v>4.4331202931395977</v>
      </c>
      <c r="AH58" s="2">
        <f t="shared" si="20"/>
        <v>5.6439703497260414</v>
      </c>
      <c r="AI58" s="2">
        <f t="shared" si="20"/>
        <v>7.2580673849335824</v>
      </c>
      <c r="AJ58" s="2">
        <f t="shared" si="20"/>
        <v>9.434803652632473</v>
      </c>
      <c r="AK58" s="2">
        <f t="shared" si="20"/>
        <v>12.395372623038831</v>
      </c>
      <c r="AL58" s="2">
        <f t="shared" si="20"/>
        <v>16.427478357132411</v>
      </c>
      <c r="AM58" s="2">
        <f t="shared" si="20"/>
        <v>21.845615410655547</v>
      </c>
      <c r="AN58" s="2">
        <f t="shared" si="20"/>
        <v>28.825036302268504</v>
      </c>
      <c r="AO58" s="2">
        <f t="shared" si="20"/>
        <v>36.99472460018351</v>
      </c>
      <c r="AP58" s="2">
        <f t="shared" si="20"/>
        <v>44.880433058227339</v>
      </c>
      <c r="AQ58" s="2">
        <f t="shared" si="20"/>
        <v>49.999956999328354</v>
      </c>
      <c r="AR58" s="2">
        <f t="shared" si="20"/>
        <v>50.50703890350178</v>
      </c>
      <c r="AS58" s="2">
        <f t="shared" si="20"/>
        <v>46.862298207160116</v>
      </c>
      <c r="AT58" s="2">
        <f t="shared" si="20"/>
        <v>41.117971353492919</v>
      </c>
      <c r="AU58" s="2">
        <f t="shared" si="20"/>
        <v>35.114815466440611</v>
      </c>
      <c r="AV58" s="2">
        <f t="shared" si="20"/>
        <v>29.781590004861268</v>
      </c>
      <c r="AW58" s="2">
        <f t="shared" si="20"/>
        <v>25.373402742675584</v>
      </c>
      <c r="AX58" s="2">
        <f t="shared" si="20"/>
        <v>21.837143185031337</v>
      </c>
      <c r="AY58" s="2">
        <f t="shared" si="20"/>
        <v>19.025980945401393</v>
      </c>
      <c r="AZ58" s="2">
        <f t="shared" si="20"/>
        <v>16.788801043778946</v>
      </c>
      <c r="BA58" s="2">
        <f t="shared" si="20"/>
        <v>14.998112531570936</v>
      </c>
    </row>
    <row r="59" spans="2:53" x14ac:dyDescent="0.2">
      <c r="B59" s="32"/>
      <c r="C59" s="36"/>
      <c r="D59" s="36" t="s">
        <v>54</v>
      </c>
      <c r="E59" s="36"/>
      <c r="F59" s="36"/>
      <c r="G59" s="75"/>
      <c r="H59" s="95">
        <f>(H47-H56)*(H47-H56)</f>
        <v>1.8490577619764275E-9</v>
      </c>
      <c r="I59" s="90"/>
      <c r="J59" s="33"/>
      <c r="K59" s="66"/>
      <c r="L59" s="97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  <c r="AF59" s="23" t="s">
        <v>37</v>
      </c>
      <c r="AG59" s="2">
        <f t="shared" ref="AG59:BA59" si="21">AG33*(AG25*AG26*AG26+AG25*AG25*AG27)/((AG25+AG27)*(AG25+AG27)+AG26*AG26)</f>
        <v>-0.83300798171198498</v>
      </c>
      <c r="AH59" s="2">
        <f t="shared" si="21"/>
        <v>-1.7104407564324229</v>
      </c>
      <c r="AI59" s="2">
        <f t="shared" si="21"/>
        <v>-2.7434049120816821</v>
      </c>
      <c r="AJ59" s="2">
        <f t="shared" si="21"/>
        <v>-3.9407776875728509</v>
      </c>
      <c r="AK59" s="2">
        <f t="shared" si="21"/>
        <v>-5.284948666305211</v>
      </c>
      <c r="AL59" s="2">
        <f t="shared" si="21"/>
        <v>-6.6957740459569175</v>
      </c>
      <c r="AM59" s="2">
        <f t="shared" si="21"/>
        <v>-7.9624938387954893</v>
      </c>
      <c r="AN59" s="2">
        <f t="shared" si="21"/>
        <v>-8.6416929756238101</v>
      </c>
      <c r="AO59" s="2">
        <f t="shared" si="21"/>
        <v>-7.990932379838811</v>
      </c>
      <c r="AP59" s="2">
        <f t="shared" si="21"/>
        <v>-5.1777743426817207</v>
      </c>
      <c r="AQ59" s="2">
        <f t="shared" si="21"/>
        <v>6.093483044670867E-5</v>
      </c>
      <c r="AR59" s="2">
        <f t="shared" si="21"/>
        <v>6.4717542567377739</v>
      </c>
      <c r="AS59" s="2">
        <f t="shared" si="21"/>
        <v>12.520233690041518</v>
      </c>
      <c r="AT59" s="2">
        <f t="shared" si="21"/>
        <v>17.077518390587429</v>
      </c>
      <c r="AU59" s="2">
        <f t="shared" si="21"/>
        <v>20.047465385775055</v>
      </c>
      <c r="AV59" s="2">
        <f t="shared" si="21"/>
        <v>21.808559784651685</v>
      </c>
      <c r="AW59" s="2">
        <f t="shared" si="21"/>
        <v>22.782087452772359</v>
      </c>
      <c r="AX59" s="2">
        <f t="shared" si="21"/>
        <v>23.282104673291112</v>
      </c>
      <c r="AY59" s="2">
        <f t="shared" si="21"/>
        <v>23.510879921284154</v>
      </c>
      <c r="AZ59" s="2">
        <f t="shared" si="21"/>
        <v>23.590805511668556</v>
      </c>
      <c r="BA59" s="2">
        <f t="shared" si="21"/>
        <v>23.593958987373504</v>
      </c>
    </row>
    <row r="60" spans="2:53" x14ac:dyDescent="0.2">
      <c r="B60" s="32"/>
      <c r="C60" s="36"/>
      <c r="D60" s="36" t="s">
        <v>54</v>
      </c>
      <c r="E60" s="36"/>
      <c r="F60" s="36"/>
      <c r="G60" s="75"/>
      <c r="H60" s="95">
        <f>(H48-H57)*(H48-H57)</f>
        <v>3.7130535615691338E-9</v>
      </c>
      <c r="I60" s="90"/>
      <c r="J60" s="33"/>
      <c r="K60" s="66"/>
      <c r="L60" s="97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</row>
    <row r="61" spans="2:53" x14ac:dyDescent="0.2">
      <c r="B61" s="32"/>
      <c r="C61" s="36"/>
      <c r="D61" s="36"/>
      <c r="E61" s="36"/>
      <c r="F61" s="36"/>
      <c r="G61" s="75"/>
      <c r="H61" s="95"/>
      <c r="I61" s="90"/>
      <c r="J61" s="33"/>
      <c r="K61" s="66"/>
      <c r="L61" s="97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</row>
    <row r="62" spans="2:53" x14ac:dyDescent="0.2">
      <c r="B62" s="32"/>
      <c r="C62" s="36"/>
      <c r="D62" s="36" t="s">
        <v>53</v>
      </c>
      <c r="E62" s="36"/>
      <c r="F62" s="36"/>
      <c r="G62" s="75"/>
      <c r="H62" s="96">
        <f>SUM(H59:H61)</f>
        <v>5.5621113235455617E-9</v>
      </c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53" x14ac:dyDescent="0.2">
      <c r="B63" s="32"/>
      <c r="C63" s="36"/>
      <c r="D63" s="36"/>
      <c r="E63" s="36"/>
      <c r="F63" s="36"/>
      <c r="G63" s="75"/>
      <c r="H63" s="59"/>
      <c r="I63" s="90"/>
      <c r="J63" s="33"/>
      <c r="K63" s="66"/>
      <c r="L63" s="98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35"/>
    </row>
    <row r="64" spans="2:53" ht="24" thickBot="1" x14ac:dyDescent="0.25">
      <c r="B64" s="40"/>
      <c r="C64" s="41"/>
      <c r="D64" s="41"/>
      <c r="E64" s="41"/>
      <c r="F64" s="41"/>
      <c r="G64" s="85"/>
      <c r="H64" s="63"/>
      <c r="I64" s="91"/>
      <c r="J64" s="41"/>
      <c r="K64" s="41"/>
      <c r="L64" s="64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3"/>
    </row>
    <row r="65" ht="24" thickTop="1" x14ac:dyDescent="0.2"/>
  </sheetData>
  <conditionalFormatting sqref="L17:M17">
    <cfRule type="expression" dxfId="4" priority="1">
      <formula>$M$17&gt;0.2</formula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1C4-3808-4541-B09F-83A6101CF580}">
  <dimension ref="B1:BA64"/>
  <sheetViews>
    <sheetView topLeftCell="A2" zoomScale="140" zoomScaleNormal="140" workbookViewId="0">
      <pane xSplit="29" topLeftCell="AD1" activePane="topRight" state="frozen"/>
      <selection pane="topRight" activeCell="H16" sqref="H16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4" t="s">
        <v>112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32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32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32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32" x14ac:dyDescent="0.2">
      <c r="B7" s="32"/>
      <c r="C7" s="36"/>
      <c r="D7" s="36" t="s">
        <v>108</v>
      </c>
      <c r="E7" s="36"/>
      <c r="F7" s="36"/>
      <c r="G7" s="75" t="s">
        <v>84</v>
      </c>
      <c r="H7" s="74">
        <v>8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32" x14ac:dyDescent="0.2">
      <c r="B8" s="32"/>
      <c r="C8" s="36"/>
      <c r="D8" s="36" t="s">
        <v>109</v>
      </c>
      <c r="E8" s="36"/>
      <c r="F8" s="36"/>
      <c r="G8" s="75" t="s">
        <v>99</v>
      </c>
      <c r="H8" s="74">
        <v>1.16577145005844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32" x14ac:dyDescent="0.2">
      <c r="B9" s="32"/>
      <c r="C9" s="36"/>
      <c r="D9" s="36" t="s">
        <v>103</v>
      </c>
      <c r="E9" s="36"/>
      <c r="F9" s="36"/>
      <c r="G9" s="84" t="s">
        <v>104</v>
      </c>
      <c r="H9" s="72">
        <v>15.130609738953714</v>
      </c>
      <c r="I9" s="90" t="s">
        <v>105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32" x14ac:dyDescent="0.2">
      <c r="B10" s="32"/>
      <c r="C10" s="36"/>
      <c r="D10" s="36"/>
      <c r="E10" s="36"/>
      <c r="F10" s="36"/>
      <c r="G10" s="75"/>
      <c r="H10" s="59"/>
      <c r="I10" s="90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32" x14ac:dyDescent="0.2">
      <c r="B11" s="32"/>
      <c r="C11" s="49" t="s">
        <v>49</v>
      </c>
      <c r="D11" s="33"/>
      <c r="E11" s="33"/>
      <c r="F11" s="33"/>
      <c r="G11" s="46"/>
      <c r="H11" s="57"/>
      <c r="I11" s="89"/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32" x14ac:dyDescent="0.2">
      <c r="B12" s="32"/>
      <c r="C12" s="36"/>
      <c r="D12" s="36"/>
      <c r="E12" s="36"/>
      <c r="F12" s="36"/>
      <c r="G12" s="75"/>
      <c r="H12" s="59"/>
      <c r="I12" s="90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32" x14ac:dyDescent="0.2">
      <c r="B13" s="32"/>
      <c r="C13" s="36"/>
      <c r="D13" s="36" t="s">
        <v>107</v>
      </c>
      <c r="E13" s="36"/>
      <c r="F13" s="36"/>
      <c r="G13" s="75" t="s">
        <v>106</v>
      </c>
      <c r="H13" s="59">
        <f>H30*1000 +  H7*PI()*0.52</f>
        <v>135.51800503077027</v>
      </c>
      <c r="I13" s="90" t="s">
        <v>29</v>
      </c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32" x14ac:dyDescent="0.2">
      <c r="B14" s="32"/>
      <c r="C14" s="36"/>
      <c r="D14" s="36" t="s">
        <v>96</v>
      </c>
      <c r="E14" s="36"/>
      <c r="F14" s="36"/>
      <c r="G14" s="75" t="s">
        <v>94</v>
      </c>
      <c r="H14" s="59">
        <f>H13/PI()</f>
        <v>43.136720757198859</v>
      </c>
      <c r="I14" s="90" t="s">
        <v>29</v>
      </c>
      <c r="J14" s="33"/>
      <c r="K14" s="38"/>
      <c r="L14" s="62" t="s">
        <v>100</v>
      </c>
      <c r="M14" s="62">
        <v>541.93345087277203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32" ht="27" x14ac:dyDescent="0.2">
      <c r="B15" s="32"/>
      <c r="C15" s="36"/>
      <c r="D15" s="36" t="s">
        <v>98</v>
      </c>
      <c r="E15" s="36"/>
      <c r="F15" s="36"/>
      <c r="G15" s="75" t="s">
        <v>71</v>
      </c>
      <c r="H15" s="59">
        <f>M$14 *  POWER(M16, -M$15)</f>
        <v>733.87102007049634</v>
      </c>
      <c r="I15" s="90" t="s">
        <v>14</v>
      </c>
      <c r="J15" s="33"/>
      <c r="K15" s="38"/>
      <c r="L15" s="62" t="s">
        <v>101</v>
      </c>
      <c r="M15" s="62">
        <v>0.17994191272575752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32" ht="27" x14ac:dyDescent="0.2">
      <c r="B16" s="32"/>
      <c r="C16" s="36"/>
      <c r="D16" s="36" t="s">
        <v>97</v>
      </c>
      <c r="E16" s="36"/>
      <c r="F16" s="36"/>
      <c r="G16" s="75" t="s">
        <v>59</v>
      </c>
      <c r="H16" s="59">
        <f>120 * (LN(2) + 2 * ATANH(SQRT(H8/H7)))</f>
        <v>179.67896381753178</v>
      </c>
      <c r="I16" s="90" t="s">
        <v>14</v>
      </c>
      <c r="J16" s="33"/>
      <c r="K16" s="38"/>
      <c r="L16" s="62" t="s">
        <v>102</v>
      </c>
      <c r="M16" s="62">
        <f>H7/H14</f>
        <v>0.18545684186401495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x14ac:dyDescent="0.2">
      <c r="B17" s="32"/>
      <c r="C17" s="36"/>
      <c r="D17" s="36"/>
      <c r="E17" s="36"/>
      <c r="F17" s="36"/>
      <c r="G17" s="75"/>
      <c r="H17" s="59"/>
      <c r="I17" s="90"/>
      <c r="J17" s="33"/>
      <c r="K17" s="38"/>
      <c r="L17" s="6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x14ac:dyDescent="0.2">
      <c r="B18" s="32"/>
      <c r="C18" s="49" t="s">
        <v>49</v>
      </c>
      <c r="D18" s="33"/>
      <c r="E18" s="33"/>
      <c r="F18" s="33"/>
      <c r="G18" s="46"/>
      <c r="H18" s="57"/>
      <c r="I18" s="89"/>
      <c r="J18" s="33"/>
      <c r="K18" s="33"/>
      <c r="L18" s="58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5"/>
    </row>
    <row r="19" spans="2:53" x14ac:dyDescent="0.2">
      <c r="B19" s="32"/>
      <c r="C19" s="36"/>
      <c r="D19" s="36"/>
      <c r="E19" s="36"/>
      <c r="F19" s="36"/>
      <c r="G19" s="75"/>
      <c r="H19" s="59"/>
      <c r="I19" s="90"/>
      <c r="J19" s="33"/>
      <c r="K19" s="38"/>
      <c r="L19" s="60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53" x14ac:dyDescent="0.2">
      <c r="B20" s="32"/>
      <c r="C20" s="36"/>
      <c r="D20" s="36" t="s">
        <v>57</v>
      </c>
      <c r="E20" s="36"/>
      <c r="F20" s="36"/>
      <c r="G20" s="75"/>
      <c r="H20" s="72">
        <v>3</v>
      </c>
      <c r="I20" s="90" t="s">
        <v>31</v>
      </c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36"/>
      <c r="D21" s="36" t="s">
        <v>8</v>
      </c>
      <c r="E21" s="36"/>
      <c r="F21" s="36"/>
      <c r="G21" s="75" t="s">
        <v>75</v>
      </c>
      <c r="H21" s="99">
        <f>H6</f>
        <v>2450</v>
      </c>
      <c r="I21" s="90" t="s">
        <v>12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53" ht="27" x14ac:dyDescent="0.2">
      <c r="B22" s="32"/>
      <c r="C22" s="36"/>
      <c r="D22" s="36" t="s">
        <v>5</v>
      </c>
      <c r="E22" s="36"/>
      <c r="F22" s="36"/>
      <c r="G22" s="75" t="s">
        <v>59</v>
      </c>
      <c r="H22" s="99">
        <f>H16</f>
        <v>179.67896381753178</v>
      </c>
      <c r="I22" s="90" t="s">
        <v>14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ht="27" x14ac:dyDescent="0.2">
      <c r="B23" s="32"/>
      <c r="C23" s="36"/>
      <c r="D23" s="36" t="s">
        <v>6</v>
      </c>
      <c r="E23" s="36"/>
      <c r="F23" s="36"/>
      <c r="G23" s="75" t="s">
        <v>71</v>
      </c>
      <c r="H23" s="99">
        <f>H15</f>
        <v>733.87102007049634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  <c r="AF23" s="23" t="s">
        <v>16</v>
      </c>
      <c r="AG23" s="2">
        <f>TAN(2 * PI() * AG44)</f>
        <v>1.2989284764731504</v>
      </c>
      <c r="AH23" s="2">
        <f t="shared" ref="AH23:BA23" si="0">TAN(2 * PI() * AH44)</f>
        <v>1.4099831964341736</v>
      </c>
      <c r="AI23" s="2">
        <f t="shared" si="0"/>
        <v>1.5340400115815183</v>
      </c>
      <c r="AJ23" s="2">
        <f t="shared" si="0"/>
        <v>1.6739809164082491</v>
      </c>
      <c r="AK23" s="2">
        <f t="shared" si="0"/>
        <v>1.8335890853852777</v>
      </c>
      <c r="AL23" s="2">
        <f t="shared" si="0"/>
        <v>2.0179330258050308</v>
      </c>
      <c r="AM23" s="2">
        <f t="shared" si="0"/>
        <v>2.2339653856129789</v>
      </c>
      <c r="AN23" s="2">
        <f t="shared" si="0"/>
        <v>2.4914907444983321</v>
      </c>
      <c r="AO23" s="2">
        <f t="shared" si="0"/>
        <v>2.8047980351947071</v>
      </c>
      <c r="AP23" s="2">
        <f t="shared" si="0"/>
        <v>3.1955589601841763</v>
      </c>
      <c r="AQ23" s="2">
        <f t="shared" si="0"/>
        <v>3.6983079317206928</v>
      </c>
      <c r="AR23" s="2">
        <f t="shared" si="0"/>
        <v>4.3716536867992568</v>
      </c>
      <c r="AS23" s="2">
        <f t="shared" si="0"/>
        <v>5.3236934284903139</v>
      </c>
      <c r="AT23" s="2">
        <f t="shared" si="0"/>
        <v>6.7782370441114992</v>
      </c>
      <c r="AU23" s="2">
        <f t="shared" si="0"/>
        <v>9.2862361047904365</v>
      </c>
      <c r="AV23" s="2">
        <f t="shared" si="0"/>
        <v>14.667770176181651</v>
      </c>
      <c r="AW23" s="2">
        <f t="shared" si="0"/>
        <v>34.628611086746183</v>
      </c>
      <c r="AX23" s="2">
        <f t="shared" si="0"/>
        <v>-96.786144970608348</v>
      </c>
      <c r="AY23" s="2">
        <f t="shared" si="0"/>
        <v>-20.171961478792841</v>
      </c>
      <c r="AZ23" s="2">
        <f t="shared" si="0"/>
        <v>-11.23995061284665</v>
      </c>
      <c r="BA23" s="2">
        <f t="shared" si="0"/>
        <v>-7.7737007272421703</v>
      </c>
    </row>
    <row r="24" spans="2:53" ht="27" x14ac:dyDescent="0.2">
      <c r="B24" s="32"/>
      <c r="C24" s="36"/>
      <c r="D24" s="36" t="s">
        <v>26</v>
      </c>
      <c r="E24" s="36"/>
      <c r="F24" s="36"/>
      <c r="G24" s="75" t="s">
        <v>72</v>
      </c>
      <c r="H24" s="99">
        <v>0</v>
      </c>
      <c r="I24" s="90" t="s">
        <v>14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F24" s="23" t="s">
        <v>17</v>
      </c>
      <c r="AG24" s="2">
        <f>TAN(2 * PI() *AG51)</f>
        <v>0.18699004675110906</v>
      </c>
      <c r="AH24" s="2">
        <f t="shared" ref="AH24:BA24" si="1">TAN(2 * PI() *AH51)</f>
        <v>0.19520175997250552</v>
      </c>
      <c r="AI24" s="2">
        <f t="shared" si="1"/>
        <v>0.2034389112423447</v>
      </c>
      <c r="AJ24" s="2">
        <f t="shared" si="1"/>
        <v>0.21170265786389161</v>
      </c>
      <c r="AK24" s="2">
        <f t="shared" si="1"/>
        <v>0.21999417132536336</v>
      </c>
      <c r="AL24" s="2">
        <f t="shared" si="1"/>
        <v>0.22831463799652726</v>
      </c>
      <c r="AM24" s="2">
        <f t="shared" si="1"/>
        <v>0.23666525984261474</v>
      </c>
      <c r="AN24" s="2">
        <f t="shared" si="1"/>
        <v>0.2450472551565013</v>
      </c>
      <c r="AO24" s="2">
        <f t="shared" si="1"/>
        <v>0.25346185931013981</v>
      </c>
      <c r="AP24" s="2">
        <f t="shared" si="1"/>
        <v>0.26191032552627341</v>
      </c>
      <c r="AQ24" s="2">
        <f t="shared" si="1"/>
        <v>0.27039392567149884</v>
      </c>
      <c r="AR24" s="2">
        <f t="shared" si="1"/>
        <v>0.27891395107179273</v>
      </c>
      <c r="AS24" s="2">
        <f t="shared" si="1"/>
        <v>0.28747171335166499</v>
      </c>
      <c r="AT24" s="2">
        <f t="shared" si="1"/>
        <v>0.29606854529814974</v>
      </c>
      <c r="AU24" s="2">
        <f t="shared" si="1"/>
        <v>0.30470580175090278</v>
      </c>
      <c r="AV24" s="2">
        <f t="shared" si="1"/>
        <v>0.3133848605197268</v>
      </c>
      <c r="AW24" s="2">
        <f t="shared" si="1"/>
        <v>0.32210712333090957</v>
      </c>
      <c r="AX24" s="2">
        <f t="shared" si="1"/>
        <v>0.33087401680382317</v>
      </c>
      <c r="AY24" s="2">
        <f t="shared" si="1"/>
        <v>0.33968699345930009</v>
      </c>
      <c r="AZ24" s="2">
        <f t="shared" si="1"/>
        <v>0.34854753276137412</v>
      </c>
      <c r="BA24" s="2">
        <f t="shared" si="1"/>
        <v>0.35745714219405261</v>
      </c>
    </row>
    <row r="25" spans="2:53" x14ac:dyDescent="0.2">
      <c r="B25" s="32"/>
      <c r="C25" s="36"/>
      <c r="D25" s="36" t="s">
        <v>23</v>
      </c>
      <c r="E25" s="36"/>
      <c r="F25" s="36"/>
      <c r="G25" s="75" t="s">
        <v>73</v>
      </c>
      <c r="H25" s="100">
        <f>H30/4</f>
        <v>3.0612244897959183E-2</v>
      </c>
      <c r="I25" s="90" t="s">
        <v>13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F25" s="23" t="s">
        <v>20</v>
      </c>
      <c r="AG25" s="2">
        <f>AG45/AG32</f>
        <v>0.3765712389656819</v>
      </c>
      <c r="AH25" s="2">
        <f t="shared" ref="AH25:BA25" si="2">AH45/AH32</f>
        <v>0.35722038228008329</v>
      </c>
      <c r="AI25" s="2">
        <f t="shared" si="2"/>
        <v>0.34021190871984519</v>
      </c>
      <c r="AJ25" s="2">
        <f t="shared" si="2"/>
        <v>0.32525226167673521</v>
      </c>
      <c r="AK25" s="2">
        <f t="shared" si="2"/>
        <v>0.31209639963442987</v>
      </c>
      <c r="AL25" s="2">
        <f t="shared" si="2"/>
        <v>0.3005392052894762</v>
      </c>
      <c r="AM25" s="2">
        <f t="shared" si="2"/>
        <v>0.29040863883070189</v>
      </c>
      <c r="AN25" s="2">
        <f t="shared" si="2"/>
        <v>0.28156026176936028</v>
      </c>
      <c r="AO25" s="2">
        <f t="shared" si="2"/>
        <v>0.27387284400504314</v>
      </c>
      <c r="AP25" s="2">
        <f t="shared" si="2"/>
        <v>0.26724483264318039</v>
      </c>
      <c r="AQ25" s="2">
        <f t="shared" si="2"/>
        <v>0.26159151143527359</v>
      </c>
      <c r="AR25" s="2">
        <f t="shared" si="2"/>
        <v>0.25684271839626349</v>
      </c>
      <c r="AS25" s="2">
        <f t="shared" si="2"/>
        <v>0.25294101904537786</v>
      </c>
      <c r="AT25" s="2">
        <f t="shared" si="2"/>
        <v>0.24984025599443299</v>
      </c>
      <c r="AU25" s="2">
        <f t="shared" si="2"/>
        <v>0.24750441391844444</v>
      </c>
      <c r="AV25" s="2">
        <f t="shared" si="2"/>
        <v>0.24590675354092476</v>
      </c>
      <c r="AW25" s="2">
        <f t="shared" si="2"/>
        <v>0.24502918011291083</v>
      </c>
      <c r="AX25" s="2">
        <f t="shared" si="2"/>
        <v>0.2448618217109414</v>
      </c>
      <c r="AY25" s="2">
        <f t="shared" si="2"/>
        <v>0.24540280112340349</v>
      </c>
      <c r="AZ25" s="2">
        <f t="shared" si="2"/>
        <v>0.24665819263058938</v>
      </c>
      <c r="BA25" s="2">
        <f t="shared" si="2"/>
        <v>0.24864216203796974</v>
      </c>
    </row>
    <row r="26" spans="2:53" ht="27" x14ac:dyDescent="0.2">
      <c r="B26" s="32"/>
      <c r="C26" s="36"/>
      <c r="D26" s="36" t="s">
        <v>22</v>
      </c>
      <c r="E26" s="36"/>
      <c r="F26" s="36"/>
      <c r="G26" s="75" t="s">
        <v>74</v>
      </c>
      <c r="H26" s="100">
        <f>H30 *H9/360</f>
        <v>5.1464658976033044E-3</v>
      </c>
      <c r="I26" s="90" t="s">
        <v>13</v>
      </c>
      <c r="J26" s="33"/>
      <c r="K26" s="38"/>
      <c r="L26" s="60"/>
      <c r="M26" s="38"/>
      <c r="N26" s="92">
        <f>H46</f>
        <v>49.999791665831665</v>
      </c>
      <c r="O26" s="93" t="s">
        <v>66</v>
      </c>
      <c r="P26" s="94">
        <f>H47</f>
        <v>-4.985144231378714E-5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21</v>
      </c>
      <c r="AG26" s="2">
        <f>AG46/AG32</f>
        <v>-0.69888477244299518</v>
      </c>
      <c r="AH26" s="2">
        <f t="shared" ref="AH26:BA26" si="3">AH46/AH32</f>
        <v>-0.64719859469294028</v>
      </c>
      <c r="AI26" s="2">
        <f t="shared" si="3"/>
        <v>-0.5975746683775337</v>
      </c>
      <c r="AJ26" s="2">
        <f t="shared" si="3"/>
        <v>-0.54980682339269782</v>
      </c>
      <c r="AK26" s="2">
        <f t="shared" si="3"/>
        <v>-0.5037045554759193</v>
      </c>
      <c r="AL26" s="2">
        <f t="shared" si="3"/>
        <v>-0.45909194955230254</v>
      </c>
      <c r="AM26" s="2">
        <f t="shared" si="3"/>
        <v>-0.41580641889851117</v>
      </c>
      <c r="AN26" s="2">
        <f t="shared" si="3"/>
        <v>-0.37369737829232191</v>
      </c>
      <c r="AO26" s="2">
        <f t="shared" si="3"/>
        <v>-0.3326249212213318</v>
      </c>
      <c r="AP26" s="2">
        <f t="shared" si="3"/>
        <v>-0.29245854050273967</v>
      </c>
      <c r="AQ26" s="2">
        <f t="shared" si="3"/>
        <v>-0.25307591214537223</v>
      </c>
      <c r="AR26" s="2">
        <f t="shared" si="3"/>
        <v>-0.2143617499899455</v>
      </c>
      <c r="AS26" s="2">
        <f t="shared" si="3"/>
        <v>-0.17620673102229897</v>
      </c>
      <c r="AT26" s="2">
        <f t="shared" si="3"/>
        <v>-0.13850648659728068</v>
      </c>
      <c r="AU26" s="2">
        <f t="shared" si="3"/>
        <v>-0.10116065205079378</v>
      </c>
      <c r="AV26" s="2">
        <f t="shared" si="3"/>
        <v>-6.4071965605286427E-2</v>
      </c>
      <c r="AW26" s="2">
        <f t="shared" si="3"/>
        <v>-2.7145406627666038E-2</v>
      </c>
      <c r="AX26" s="2">
        <f t="shared" si="3"/>
        <v>9.7126371213330578E-3</v>
      </c>
      <c r="AY26" s="2">
        <f t="shared" si="3"/>
        <v>4.659518379249894E-2</v>
      </c>
      <c r="AZ26" s="2">
        <f t="shared" si="3"/>
        <v>8.3595463923029786E-2</v>
      </c>
      <c r="BA26" s="2">
        <f t="shared" si="3"/>
        <v>0.12080772971413706</v>
      </c>
    </row>
    <row r="27" spans="2:53" x14ac:dyDescent="0.2">
      <c r="B27" s="32"/>
      <c r="C27" s="36"/>
      <c r="D27" s="36"/>
      <c r="E27" s="36"/>
      <c r="F27" s="36"/>
      <c r="G27" s="75"/>
      <c r="H27" s="59"/>
      <c r="I27" s="90"/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</row>
    <row r="28" spans="2:53" x14ac:dyDescent="0.2">
      <c r="B28" s="32"/>
      <c r="C28" s="49" t="s">
        <v>49</v>
      </c>
      <c r="D28" s="33"/>
      <c r="E28" s="33"/>
      <c r="F28" s="33"/>
      <c r="G28" s="46"/>
      <c r="H28" s="57"/>
      <c r="I28" s="89"/>
      <c r="J28" s="33"/>
      <c r="K28" s="33"/>
      <c r="L28" s="58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5"/>
      <c r="AQ28" s="2" t="s">
        <v>30</v>
      </c>
    </row>
    <row r="29" spans="2:53" x14ac:dyDescent="0.2">
      <c r="B29" s="32"/>
      <c r="C29" s="36"/>
      <c r="D29" s="36"/>
      <c r="E29" s="36"/>
      <c r="F29" s="36"/>
      <c r="G29" s="75"/>
      <c r="H29" s="59"/>
      <c r="I29" s="90"/>
      <c r="J29" s="33"/>
      <c r="K29" s="38"/>
      <c r="L29" s="6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  <c r="AQ29" s="2">
        <f>H20</f>
        <v>3</v>
      </c>
    </row>
    <row r="30" spans="2:53" x14ac:dyDescent="0.2">
      <c r="B30" s="32"/>
      <c r="C30" s="36"/>
      <c r="D30" s="36" t="s">
        <v>9</v>
      </c>
      <c r="E30" s="36"/>
      <c r="F30" s="36"/>
      <c r="G30" s="75" t="s">
        <v>15</v>
      </c>
      <c r="H30" s="61">
        <f>300/H21</f>
        <v>0.12244897959183673</v>
      </c>
      <c r="I30" s="90" t="s">
        <v>13</v>
      </c>
      <c r="J30" s="33"/>
      <c r="K30" s="38"/>
      <c r="L30" s="62" t="s">
        <v>16</v>
      </c>
      <c r="M30" s="62">
        <f>TAN(2 * PI() * H35)</f>
        <v>3.6983079317206928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F30" s="23" t="s">
        <v>33</v>
      </c>
      <c r="AG30" s="2">
        <f t="shared" ref="AG30:AO30" si="4">AH30-$AQ29</f>
        <v>-30</v>
      </c>
      <c r="AH30" s="2">
        <f t="shared" si="4"/>
        <v>-27</v>
      </c>
      <c r="AI30" s="2">
        <f t="shared" si="4"/>
        <v>-24</v>
      </c>
      <c r="AJ30" s="2">
        <f t="shared" si="4"/>
        <v>-21</v>
      </c>
      <c r="AK30" s="2">
        <f t="shared" si="4"/>
        <v>-18</v>
      </c>
      <c r="AL30" s="2">
        <f t="shared" si="4"/>
        <v>-15</v>
      </c>
      <c r="AM30" s="2">
        <f t="shared" si="4"/>
        <v>-12</v>
      </c>
      <c r="AN30" s="2">
        <f t="shared" si="4"/>
        <v>-9</v>
      </c>
      <c r="AO30" s="2">
        <f t="shared" si="4"/>
        <v>-6</v>
      </c>
      <c r="AP30" s="2">
        <f>-1*$AQ29</f>
        <v>-3</v>
      </c>
      <c r="AQ30" s="2">
        <v>0</v>
      </c>
      <c r="AR30" s="2">
        <f>AQ29</f>
        <v>3</v>
      </c>
      <c r="AS30" s="2">
        <f t="shared" ref="AS30:BA30" si="5">AR30+$AQ29</f>
        <v>6</v>
      </c>
      <c r="AT30" s="2">
        <f t="shared" si="5"/>
        <v>9</v>
      </c>
      <c r="AU30" s="2">
        <f t="shared" si="5"/>
        <v>12</v>
      </c>
      <c r="AV30" s="2">
        <f t="shared" si="5"/>
        <v>15</v>
      </c>
      <c r="AW30" s="2">
        <f t="shared" si="5"/>
        <v>18</v>
      </c>
      <c r="AX30" s="2">
        <f t="shared" si="5"/>
        <v>21</v>
      </c>
      <c r="AY30" s="2">
        <f t="shared" si="5"/>
        <v>24</v>
      </c>
      <c r="AZ30" s="2">
        <f t="shared" si="5"/>
        <v>27</v>
      </c>
      <c r="BA30" s="2">
        <f t="shared" si="5"/>
        <v>30</v>
      </c>
    </row>
    <row r="31" spans="2:53" x14ac:dyDescent="0.2">
      <c r="B31" s="32"/>
      <c r="C31" s="36"/>
      <c r="D31" s="36" t="s">
        <v>25</v>
      </c>
      <c r="E31" s="36"/>
      <c r="F31" s="36"/>
      <c r="G31" s="75" t="s">
        <v>15</v>
      </c>
      <c r="H31" s="61">
        <f>H41+H35</f>
        <v>0.25</v>
      </c>
      <c r="I31" s="90"/>
      <c r="J31" s="33"/>
      <c r="K31" s="38"/>
      <c r="L31" s="62" t="s">
        <v>17</v>
      </c>
      <c r="M31" s="62">
        <f>TAN(2 * PI() * H41)</f>
        <v>0.27039392567149884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G31" s="2">
        <f t="shared" ref="AG31:AP31" si="6">$AQ31 + AG30*$AQ31/100</f>
        <v>1715</v>
      </c>
      <c r="AH31" s="2">
        <f t="shared" si="6"/>
        <v>1788.5</v>
      </c>
      <c r="AI31" s="2">
        <f t="shared" si="6"/>
        <v>1862</v>
      </c>
      <c r="AJ31" s="2">
        <f t="shared" si="6"/>
        <v>1935.5</v>
      </c>
      <c r="AK31" s="2">
        <f t="shared" si="6"/>
        <v>2009</v>
      </c>
      <c r="AL31" s="2">
        <f t="shared" si="6"/>
        <v>2082.5</v>
      </c>
      <c r="AM31" s="2">
        <f t="shared" si="6"/>
        <v>2156</v>
      </c>
      <c r="AN31" s="2">
        <f t="shared" si="6"/>
        <v>2229.5</v>
      </c>
      <c r="AO31" s="2">
        <f t="shared" si="6"/>
        <v>2303</v>
      </c>
      <c r="AP31" s="2">
        <f t="shared" si="6"/>
        <v>2376.5</v>
      </c>
      <c r="AQ31" s="2">
        <f t="shared" ref="AQ31:BA36" si="7">$H21</f>
        <v>2450</v>
      </c>
      <c r="AR31" s="2">
        <f t="shared" ref="AR31:BA31" si="8">$AQ31 + AR30*$AQ31/100</f>
        <v>2523.5</v>
      </c>
      <c r="AS31" s="2">
        <f t="shared" si="8"/>
        <v>2597</v>
      </c>
      <c r="AT31" s="2">
        <f t="shared" si="8"/>
        <v>2670.5</v>
      </c>
      <c r="AU31" s="2">
        <f t="shared" si="8"/>
        <v>2744</v>
      </c>
      <c r="AV31" s="2">
        <f t="shared" si="8"/>
        <v>2817.5</v>
      </c>
      <c r="AW31" s="2">
        <f t="shared" si="8"/>
        <v>2891</v>
      </c>
      <c r="AX31" s="2">
        <f t="shared" si="8"/>
        <v>2964.5</v>
      </c>
      <c r="AY31" s="2">
        <f t="shared" si="8"/>
        <v>3038</v>
      </c>
      <c r="AZ31" s="2">
        <f t="shared" si="8"/>
        <v>3111.5</v>
      </c>
      <c r="BA31" s="2">
        <f t="shared" si="8"/>
        <v>3185</v>
      </c>
    </row>
    <row r="32" spans="2:53" x14ac:dyDescent="0.2">
      <c r="B32" s="32"/>
      <c r="C32" s="36"/>
      <c r="D32" s="36"/>
      <c r="E32" s="36"/>
      <c r="F32" s="36"/>
      <c r="G32" s="75"/>
      <c r="H32" s="59"/>
      <c r="I32" s="90"/>
      <c r="J32" s="33"/>
      <c r="K32" s="38"/>
      <c r="L32" s="62" t="s">
        <v>20</v>
      </c>
      <c r="M32" s="62">
        <f>H36/H22</f>
        <v>0.26159151143527359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AP36" si="9">$H22</f>
        <v>179.67896381753178</v>
      </c>
      <c r="AH32" s="2">
        <f t="shared" si="9"/>
        <v>179.67896381753178</v>
      </c>
      <c r="AI32" s="2">
        <f t="shared" si="9"/>
        <v>179.67896381753178</v>
      </c>
      <c r="AJ32" s="2">
        <f t="shared" si="9"/>
        <v>179.67896381753178</v>
      </c>
      <c r="AK32" s="2">
        <f t="shared" si="9"/>
        <v>179.67896381753178</v>
      </c>
      <c r="AL32" s="2">
        <f t="shared" si="9"/>
        <v>179.67896381753178</v>
      </c>
      <c r="AM32" s="2">
        <f t="shared" si="9"/>
        <v>179.67896381753178</v>
      </c>
      <c r="AN32" s="2">
        <f t="shared" si="9"/>
        <v>179.67896381753178</v>
      </c>
      <c r="AO32" s="2">
        <f t="shared" si="9"/>
        <v>179.67896381753178</v>
      </c>
      <c r="AP32" s="2">
        <f t="shared" si="9"/>
        <v>179.67896381753178</v>
      </c>
      <c r="AQ32" s="2">
        <f t="shared" si="7"/>
        <v>179.67896381753178</v>
      </c>
      <c r="AR32" s="2">
        <f t="shared" si="7"/>
        <v>179.67896381753178</v>
      </c>
      <c r="AS32" s="2">
        <f t="shared" si="7"/>
        <v>179.67896381753178</v>
      </c>
      <c r="AT32" s="2">
        <f t="shared" si="7"/>
        <v>179.67896381753178</v>
      </c>
      <c r="AU32" s="2">
        <f t="shared" si="7"/>
        <v>179.67896381753178</v>
      </c>
      <c r="AV32" s="2">
        <f t="shared" si="7"/>
        <v>179.67896381753178</v>
      </c>
      <c r="AW32" s="2">
        <f t="shared" si="7"/>
        <v>179.67896381753178</v>
      </c>
      <c r="AX32" s="2">
        <f t="shared" si="7"/>
        <v>179.67896381753178</v>
      </c>
      <c r="AY32" s="2">
        <f t="shared" si="7"/>
        <v>179.67896381753178</v>
      </c>
      <c r="AZ32" s="2">
        <f t="shared" si="7"/>
        <v>179.67896381753178</v>
      </c>
      <c r="BA32" s="2">
        <f t="shared" si="7"/>
        <v>179.67896381753178</v>
      </c>
    </row>
    <row r="33" spans="2:53" x14ac:dyDescent="0.2">
      <c r="B33" s="32"/>
      <c r="C33" s="36" t="s">
        <v>50</v>
      </c>
      <c r="D33" s="36"/>
      <c r="E33" s="36"/>
      <c r="F33" s="36"/>
      <c r="G33" s="75"/>
      <c r="H33" s="59"/>
      <c r="I33" s="90"/>
      <c r="J33" s="33"/>
      <c r="K33" s="38"/>
      <c r="L33" s="62" t="s">
        <v>21</v>
      </c>
      <c r="M33" s="62">
        <f>H37/H22</f>
        <v>-0.25307591214537223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G33" s="2">
        <f t="shared" si="9"/>
        <v>733.87102007049634</v>
      </c>
      <c r="AH33" s="2">
        <f t="shared" si="9"/>
        <v>733.87102007049634</v>
      </c>
      <c r="AI33" s="2">
        <f t="shared" si="9"/>
        <v>733.87102007049634</v>
      </c>
      <c r="AJ33" s="2">
        <f t="shared" si="9"/>
        <v>733.87102007049634</v>
      </c>
      <c r="AK33" s="2">
        <f t="shared" si="9"/>
        <v>733.87102007049634</v>
      </c>
      <c r="AL33" s="2">
        <f t="shared" si="9"/>
        <v>733.87102007049634</v>
      </c>
      <c r="AM33" s="2">
        <f t="shared" si="9"/>
        <v>733.87102007049634</v>
      </c>
      <c r="AN33" s="2">
        <f t="shared" si="9"/>
        <v>733.87102007049634</v>
      </c>
      <c r="AO33" s="2">
        <f t="shared" si="9"/>
        <v>733.87102007049634</v>
      </c>
      <c r="AP33" s="2">
        <f t="shared" si="9"/>
        <v>733.87102007049634</v>
      </c>
      <c r="AQ33" s="2">
        <f t="shared" si="7"/>
        <v>733.87102007049634</v>
      </c>
      <c r="AR33" s="2">
        <f t="shared" si="7"/>
        <v>733.87102007049634</v>
      </c>
      <c r="AS33" s="2">
        <f t="shared" si="7"/>
        <v>733.87102007049634</v>
      </c>
      <c r="AT33" s="2">
        <f t="shared" si="7"/>
        <v>733.87102007049634</v>
      </c>
      <c r="AU33" s="2">
        <f t="shared" si="7"/>
        <v>733.87102007049634</v>
      </c>
      <c r="AV33" s="2">
        <f t="shared" si="7"/>
        <v>733.87102007049634</v>
      </c>
      <c r="AW33" s="2">
        <f t="shared" si="7"/>
        <v>733.87102007049634</v>
      </c>
      <c r="AX33" s="2">
        <f t="shared" si="7"/>
        <v>733.87102007049634</v>
      </c>
      <c r="AY33" s="2">
        <f t="shared" si="7"/>
        <v>733.87102007049634</v>
      </c>
      <c r="AZ33" s="2">
        <f t="shared" si="7"/>
        <v>733.87102007049634</v>
      </c>
      <c r="BA33" s="2">
        <f t="shared" si="7"/>
        <v>733.87102007049634</v>
      </c>
    </row>
    <row r="34" spans="2:53" ht="27" x14ac:dyDescent="0.2">
      <c r="B34" s="32"/>
      <c r="C34" s="36"/>
      <c r="D34" s="36" t="s">
        <v>7</v>
      </c>
      <c r="E34" s="36"/>
      <c r="F34" s="36"/>
      <c r="G34" s="75" t="s">
        <v>65</v>
      </c>
      <c r="H34" s="61">
        <f>H25-H26</f>
        <v>2.5465779000355879E-2</v>
      </c>
      <c r="I34" s="90" t="s">
        <v>13</v>
      </c>
      <c r="J34" s="33"/>
      <c r="K34" s="38"/>
      <c r="L34" s="6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">
        <f t="shared" si="9"/>
        <v>0</v>
      </c>
      <c r="AH34" s="2">
        <f t="shared" si="9"/>
        <v>0</v>
      </c>
      <c r="AI34" s="2">
        <f t="shared" si="9"/>
        <v>0</v>
      </c>
      <c r="AJ34" s="2">
        <f t="shared" si="9"/>
        <v>0</v>
      </c>
      <c r="AK34" s="2">
        <f t="shared" si="9"/>
        <v>0</v>
      </c>
      <c r="AL34" s="2">
        <f t="shared" si="9"/>
        <v>0</v>
      </c>
      <c r="AM34" s="2">
        <f t="shared" si="9"/>
        <v>0</v>
      </c>
      <c r="AN34" s="2">
        <f t="shared" si="9"/>
        <v>0</v>
      </c>
      <c r="AO34" s="2">
        <f t="shared" si="9"/>
        <v>0</v>
      </c>
      <c r="AP34" s="2">
        <f t="shared" si="9"/>
        <v>0</v>
      </c>
      <c r="AQ34" s="2">
        <f t="shared" si="7"/>
        <v>0</v>
      </c>
      <c r="AR34" s="2">
        <f t="shared" si="7"/>
        <v>0</v>
      </c>
      <c r="AS34" s="2">
        <f t="shared" si="7"/>
        <v>0</v>
      </c>
      <c r="AT34" s="2">
        <f t="shared" si="7"/>
        <v>0</v>
      </c>
      <c r="AU34" s="2">
        <f t="shared" si="7"/>
        <v>0</v>
      </c>
      <c r="AV34" s="2">
        <f t="shared" si="7"/>
        <v>0</v>
      </c>
      <c r="AW34" s="2">
        <f t="shared" si="7"/>
        <v>0</v>
      </c>
      <c r="AX34" s="2">
        <f t="shared" si="7"/>
        <v>0</v>
      </c>
      <c r="AY34" s="2">
        <f t="shared" si="7"/>
        <v>0</v>
      </c>
      <c r="AZ34" s="2">
        <f t="shared" si="7"/>
        <v>0</v>
      </c>
      <c r="BA34" s="2">
        <f t="shared" si="7"/>
        <v>0</v>
      </c>
    </row>
    <row r="35" spans="2:53" x14ac:dyDescent="0.2">
      <c r="B35" s="32"/>
      <c r="C35" s="36"/>
      <c r="D35" s="36" t="s">
        <v>19</v>
      </c>
      <c r="E35" s="36"/>
      <c r="F35" s="36"/>
      <c r="G35" s="75"/>
      <c r="H35" s="61">
        <f>H34/H30</f>
        <v>0.20797052850290634</v>
      </c>
      <c r="I35" s="90" t="s">
        <v>18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">
        <f t="shared" si="9"/>
        <v>3.0612244897959183E-2</v>
      </c>
      <c r="AH35" s="2">
        <f t="shared" si="9"/>
        <v>3.0612244897959183E-2</v>
      </c>
      <c r="AI35" s="2">
        <f t="shared" si="9"/>
        <v>3.0612244897959183E-2</v>
      </c>
      <c r="AJ35" s="2">
        <f t="shared" si="9"/>
        <v>3.0612244897959183E-2</v>
      </c>
      <c r="AK35" s="2">
        <f t="shared" si="9"/>
        <v>3.0612244897959183E-2</v>
      </c>
      <c r="AL35" s="2">
        <f t="shared" si="9"/>
        <v>3.0612244897959183E-2</v>
      </c>
      <c r="AM35" s="2">
        <f t="shared" si="9"/>
        <v>3.0612244897959183E-2</v>
      </c>
      <c r="AN35" s="2">
        <f t="shared" si="9"/>
        <v>3.0612244897959183E-2</v>
      </c>
      <c r="AO35" s="2">
        <f t="shared" si="9"/>
        <v>3.0612244897959183E-2</v>
      </c>
      <c r="AP35" s="2">
        <f t="shared" si="9"/>
        <v>3.0612244897959183E-2</v>
      </c>
      <c r="AQ35" s="2">
        <f t="shared" si="7"/>
        <v>3.0612244897959183E-2</v>
      </c>
      <c r="AR35" s="2">
        <f t="shared" si="7"/>
        <v>3.0612244897959183E-2</v>
      </c>
      <c r="AS35" s="2">
        <f t="shared" si="7"/>
        <v>3.0612244897959183E-2</v>
      </c>
      <c r="AT35" s="2">
        <f t="shared" si="7"/>
        <v>3.0612244897959183E-2</v>
      </c>
      <c r="AU35" s="2">
        <f t="shared" si="7"/>
        <v>3.0612244897959183E-2</v>
      </c>
      <c r="AV35" s="2">
        <f t="shared" si="7"/>
        <v>3.0612244897959183E-2</v>
      </c>
      <c r="AW35" s="2">
        <f t="shared" si="7"/>
        <v>3.0612244897959183E-2</v>
      </c>
      <c r="AX35" s="2">
        <f t="shared" si="7"/>
        <v>3.0612244897959183E-2</v>
      </c>
      <c r="AY35" s="2">
        <f t="shared" si="7"/>
        <v>3.0612244897959183E-2</v>
      </c>
      <c r="AZ35" s="2">
        <f t="shared" si="7"/>
        <v>3.0612244897959183E-2</v>
      </c>
      <c r="BA35" s="2">
        <f t="shared" si="7"/>
        <v>3.0612244897959183E-2</v>
      </c>
    </row>
    <row r="36" spans="2:53" ht="27" x14ac:dyDescent="0.2">
      <c r="B36" s="32"/>
      <c r="C36" s="36"/>
      <c r="D36" s="36" t="s">
        <v>10</v>
      </c>
      <c r="E36" s="36"/>
      <c r="F36" s="36"/>
      <c r="G36" s="75" t="s">
        <v>70</v>
      </c>
      <c r="H36" s="59">
        <f>H22*(H23*H22 + H23*H22*M30*M30)/(H22*H22 + H23*H23*M30*M30)</f>
        <v>47.00249171815198</v>
      </c>
      <c r="I36" s="90" t="s">
        <v>14</v>
      </c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F36" s="23" t="s">
        <v>56</v>
      </c>
      <c r="AG36" s="2">
        <f t="shared" si="9"/>
        <v>5.1464658976033044E-3</v>
      </c>
      <c r="AH36" s="2">
        <f t="shared" si="9"/>
        <v>5.1464658976033044E-3</v>
      </c>
      <c r="AI36" s="2">
        <f t="shared" si="9"/>
        <v>5.1464658976033044E-3</v>
      </c>
      <c r="AJ36" s="2">
        <f t="shared" si="9"/>
        <v>5.1464658976033044E-3</v>
      </c>
      <c r="AK36" s="2">
        <f t="shared" si="9"/>
        <v>5.1464658976033044E-3</v>
      </c>
      <c r="AL36" s="2">
        <f t="shared" si="9"/>
        <v>5.1464658976033044E-3</v>
      </c>
      <c r="AM36" s="2">
        <f t="shared" si="9"/>
        <v>5.1464658976033044E-3</v>
      </c>
      <c r="AN36" s="2">
        <f t="shared" si="9"/>
        <v>5.1464658976033044E-3</v>
      </c>
      <c r="AO36" s="2">
        <f t="shared" si="9"/>
        <v>5.1464658976033044E-3</v>
      </c>
      <c r="AP36" s="2">
        <f t="shared" si="9"/>
        <v>5.1464658976033044E-3</v>
      </c>
      <c r="AQ36" s="2">
        <f t="shared" si="7"/>
        <v>5.1464658976033044E-3</v>
      </c>
      <c r="AR36" s="2">
        <f t="shared" si="7"/>
        <v>5.1464658976033044E-3</v>
      </c>
      <c r="AS36" s="2">
        <f t="shared" si="7"/>
        <v>5.1464658976033044E-3</v>
      </c>
      <c r="AT36" s="2">
        <f t="shared" si="7"/>
        <v>5.1464658976033044E-3</v>
      </c>
      <c r="AU36" s="2">
        <f t="shared" si="7"/>
        <v>5.1464658976033044E-3</v>
      </c>
      <c r="AV36" s="2">
        <f t="shared" si="7"/>
        <v>5.1464658976033044E-3</v>
      </c>
      <c r="AW36" s="2">
        <f t="shared" si="7"/>
        <v>5.1464658976033044E-3</v>
      </c>
      <c r="AX36" s="2">
        <f t="shared" si="7"/>
        <v>5.1464658976033044E-3</v>
      </c>
      <c r="AY36" s="2">
        <f t="shared" si="7"/>
        <v>5.1464658976033044E-3</v>
      </c>
      <c r="AZ36" s="2">
        <f t="shared" si="7"/>
        <v>5.1464658976033044E-3</v>
      </c>
      <c r="BA36" s="2">
        <f t="shared" si="7"/>
        <v>5.1464658976033044E-3</v>
      </c>
    </row>
    <row r="37" spans="2:53" ht="27" x14ac:dyDescent="0.2">
      <c r="B37" s="32"/>
      <c r="C37" s="36"/>
      <c r="D37" s="36"/>
      <c r="E37" s="36"/>
      <c r="F37" s="36"/>
      <c r="G37" s="75" t="s">
        <v>76</v>
      </c>
      <c r="H37" s="59">
        <f>H22*(H22*H22*M30 - H23*H23*M30)/(H22*H22 + H23*H23*M30*M30)</f>
        <v>-45.472417661457193</v>
      </c>
      <c r="I37" s="90" t="s">
        <v>14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</row>
    <row r="38" spans="2:53" x14ac:dyDescent="0.2">
      <c r="B38" s="32"/>
      <c r="C38" s="36"/>
      <c r="D38" s="36"/>
      <c r="E38" s="36"/>
      <c r="F38" s="36"/>
      <c r="G38" s="75"/>
      <c r="H38" s="59"/>
      <c r="I38" s="90"/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</row>
    <row r="39" spans="2:53" x14ac:dyDescent="0.2">
      <c r="B39" s="32"/>
      <c r="C39" s="36" t="s">
        <v>51</v>
      </c>
      <c r="D39" s="36"/>
      <c r="E39" s="36"/>
      <c r="F39" s="36"/>
      <c r="G39" s="75"/>
      <c r="H39" s="59"/>
      <c r="I39" s="90"/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  <c r="AG39" s="2">
        <f>300/AG31</f>
        <v>0.1749271137026239</v>
      </c>
      <c r="AH39" s="2">
        <f t="shared" ref="AH39:BA39" si="10">300/AH31</f>
        <v>0.16773832820799553</v>
      </c>
      <c r="AI39" s="2">
        <f t="shared" si="10"/>
        <v>0.1611170784103115</v>
      </c>
      <c r="AJ39" s="2">
        <f t="shared" si="10"/>
        <v>0.15499870834409712</v>
      </c>
      <c r="AK39" s="2">
        <f t="shared" si="10"/>
        <v>0.14932802389248381</v>
      </c>
      <c r="AL39" s="2">
        <f t="shared" si="10"/>
        <v>0.14405762304921968</v>
      </c>
      <c r="AM39" s="2">
        <f t="shared" si="10"/>
        <v>0.1391465677179963</v>
      </c>
      <c r="AN39" s="2">
        <f t="shared" si="10"/>
        <v>0.13455931823278763</v>
      </c>
      <c r="AO39" s="2">
        <f t="shared" si="10"/>
        <v>0.13026487190620928</v>
      </c>
      <c r="AP39" s="2">
        <f t="shared" si="10"/>
        <v>0.12623606143488322</v>
      </c>
      <c r="AQ39" s="2">
        <f t="shared" si="10"/>
        <v>0.12244897959183673</v>
      </c>
      <c r="AR39" s="2">
        <f t="shared" si="10"/>
        <v>0.11888250445809392</v>
      </c>
      <c r="AS39" s="2">
        <f t="shared" si="10"/>
        <v>0.11551790527531768</v>
      </c>
      <c r="AT39" s="2">
        <f t="shared" si="10"/>
        <v>0.11233851338700618</v>
      </c>
      <c r="AU39" s="2">
        <f t="shared" si="10"/>
        <v>0.10932944606413994</v>
      </c>
      <c r="AV39" s="2">
        <f t="shared" si="10"/>
        <v>0.1064773735581189</v>
      </c>
      <c r="AW39" s="2">
        <f t="shared" si="10"/>
        <v>0.10377032168799723</v>
      </c>
      <c r="AX39" s="2">
        <f t="shared" si="10"/>
        <v>0.1011975037949064</v>
      </c>
      <c r="AY39" s="2">
        <f t="shared" si="10"/>
        <v>9.8749177090190918E-2</v>
      </c>
      <c r="AZ39" s="2">
        <f t="shared" si="10"/>
        <v>9.6416519363650977E-2</v>
      </c>
      <c r="BA39" s="2">
        <f t="shared" si="10"/>
        <v>9.4191522762951341E-2</v>
      </c>
    </row>
    <row r="40" spans="2:53" ht="27" x14ac:dyDescent="0.2">
      <c r="B40" s="32"/>
      <c r="C40" s="36"/>
      <c r="D40" s="36" t="s">
        <v>7</v>
      </c>
      <c r="E40" s="36"/>
      <c r="F40" s="36"/>
      <c r="G40" s="75" t="s">
        <v>64</v>
      </c>
      <c r="H40" s="61">
        <f>H26</f>
        <v>5.1464658976033044E-3</v>
      </c>
      <c r="I40" s="90" t="s">
        <v>13</v>
      </c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  <c r="AG40" s="2">
        <f>AG51+AG44</f>
        <v>0.17499999999999999</v>
      </c>
      <c r="AH40" s="2">
        <f t="shared" ref="AH40:BA40" si="11">AH51+AH44</f>
        <v>0.1825</v>
      </c>
      <c r="AI40" s="2">
        <f t="shared" si="11"/>
        <v>0.18999999999999997</v>
      </c>
      <c r="AJ40" s="2">
        <f t="shared" si="11"/>
        <v>0.19750000000000001</v>
      </c>
      <c r="AK40" s="2">
        <f t="shared" si="11"/>
        <v>0.20500000000000002</v>
      </c>
      <c r="AL40" s="2">
        <f t="shared" si="11"/>
        <v>0.21250000000000002</v>
      </c>
      <c r="AM40" s="2">
        <f t="shared" si="11"/>
        <v>0.21999999999999997</v>
      </c>
      <c r="AN40" s="2">
        <f t="shared" si="11"/>
        <v>0.22749999999999998</v>
      </c>
      <c r="AO40" s="2">
        <f t="shared" si="11"/>
        <v>0.23500000000000004</v>
      </c>
      <c r="AP40" s="2">
        <f t="shared" si="11"/>
        <v>0.24249999999999999</v>
      </c>
      <c r="AQ40" s="2">
        <f t="shared" si="11"/>
        <v>0.25</v>
      </c>
      <c r="AR40" s="2">
        <f t="shared" si="11"/>
        <v>0.25750000000000001</v>
      </c>
      <c r="AS40" s="2">
        <f t="shared" si="11"/>
        <v>0.26500000000000001</v>
      </c>
      <c r="AT40" s="2">
        <f t="shared" si="11"/>
        <v>0.27250000000000002</v>
      </c>
      <c r="AU40" s="2">
        <f t="shared" si="11"/>
        <v>0.28000000000000003</v>
      </c>
      <c r="AV40" s="2">
        <f t="shared" si="11"/>
        <v>0.28749999999999998</v>
      </c>
      <c r="AW40" s="2">
        <f t="shared" si="11"/>
        <v>0.29500000000000004</v>
      </c>
      <c r="AX40" s="2">
        <f t="shared" si="11"/>
        <v>0.30249999999999999</v>
      </c>
      <c r="AY40" s="2">
        <f t="shared" si="11"/>
        <v>0.31</v>
      </c>
      <c r="AZ40" s="2">
        <f t="shared" si="11"/>
        <v>0.31749999999999995</v>
      </c>
      <c r="BA40" s="2">
        <f t="shared" si="11"/>
        <v>0.32499999999999996</v>
      </c>
    </row>
    <row r="41" spans="2:53" x14ac:dyDescent="0.2">
      <c r="B41" s="32"/>
      <c r="C41" s="36"/>
      <c r="D41" s="36" t="s">
        <v>19</v>
      </c>
      <c r="E41" s="36"/>
      <c r="F41" s="36"/>
      <c r="G41" s="75"/>
      <c r="H41" s="61">
        <f>H40/H30</f>
        <v>4.2029471497093657E-2</v>
      </c>
      <c r="I41" s="90" t="s">
        <v>18</v>
      </c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</row>
    <row r="42" spans="2:53" ht="27" x14ac:dyDescent="0.2">
      <c r="B42" s="32"/>
      <c r="C42" s="36"/>
      <c r="D42" s="36" t="s">
        <v>10</v>
      </c>
      <c r="E42" s="36"/>
      <c r="F42" s="36"/>
      <c r="G42" s="75" t="s">
        <v>77</v>
      </c>
      <c r="H42" s="59">
        <v>0</v>
      </c>
      <c r="I42" s="90" t="s">
        <v>14</v>
      </c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</row>
    <row r="43" spans="2:53" ht="27" x14ac:dyDescent="0.2">
      <c r="B43" s="32"/>
      <c r="C43" s="36"/>
      <c r="D43" s="36"/>
      <c r="E43" s="36"/>
      <c r="F43" s="36"/>
      <c r="G43" s="75" t="s">
        <v>78</v>
      </c>
      <c r="H43" s="59">
        <f>H22*(H22*H22*M31 - H24*H24*M31)/(H22*H22 + H24*H24*M31*M31)</f>
        <v>48.584100387209617</v>
      </c>
      <c r="I43" s="90" t="s">
        <v>14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  <c r="AG43" s="2">
        <f>AG35-AG36</f>
        <v>2.5465779000355879E-2</v>
      </c>
      <c r="AH43" s="2">
        <f t="shared" ref="AH43:BA43" si="12">AH35-AH36</f>
        <v>2.5465779000355879E-2</v>
      </c>
      <c r="AI43" s="2">
        <f t="shared" si="12"/>
        <v>2.5465779000355879E-2</v>
      </c>
      <c r="AJ43" s="2">
        <f t="shared" si="12"/>
        <v>2.5465779000355879E-2</v>
      </c>
      <c r="AK43" s="2">
        <f t="shared" si="12"/>
        <v>2.5465779000355879E-2</v>
      </c>
      <c r="AL43" s="2">
        <f t="shared" si="12"/>
        <v>2.5465779000355879E-2</v>
      </c>
      <c r="AM43" s="2">
        <f t="shared" si="12"/>
        <v>2.5465779000355879E-2</v>
      </c>
      <c r="AN43" s="2">
        <f t="shared" si="12"/>
        <v>2.5465779000355879E-2</v>
      </c>
      <c r="AO43" s="2">
        <f t="shared" si="12"/>
        <v>2.5465779000355879E-2</v>
      </c>
      <c r="AP43" s="2">
        <f t="shared" si="12"/>
        <v>2.5465779000355879E-2</v>
      </c>
      <c r="AQ43" s="2">
        <f t="shared" si="12"/>
        <v>2.5465779000355879E-2</v>
      </c>
      <c r="AR43" s="2">
        <f t="shared" si="12"/>
        <v>2.5465779000355879E-2</v>
      </c>
      <c r="AS43" s="2">
        <f t="shared" si="12"/>
        <v>2.5465779000355879E-2</v>
      </c>
      <c r="AT43" s="2">
        <f t="shared" si="12"/>
        <v>2.5465779000355879E-2</v>
      </c>
      <c r="AU43" s="2">
        <f t="shared" si="12"/>
        <v>2.5465779000355879E-2</v>
      </c>
      <c r="AV43" s="2">
        <f t="shared" si="12"/>
        <v>2.5465779000355879E-2</v>
      </c>
      <c r="AW43" s="2">
        <f t="shared" si="12"/>
        <v>2.5465779000355879E-2</v>
      </c>
      <c r="AX43" s="2">
        <f t="shared" si="12"/>
        <v>2.5465779000355879E-2</v>
      </c>
      <c r="AY43" s="2">
        <f t="shared" si="12"/>
        <v>2.5465779000355879E-2</v>
      </c>
      <c r="AZ43" s="2">
        <f t="shared" si="12"/>
        <v>2.5465779000355879E-2</v>
      </c>
      <c r="BA43" s="2">
        <f t="shared" si="12"/>
        <v>2.5465779000355879E-2</v>
      </c>
    </row>
    <row r="44" spans="2:53" x14ac:dyDescent="0.2">
      <c r="B44" s="32"/>
      <c r="C44" s="36"/>
      <c r="D44" s="36"/>
      <c r="E44" s="36"/>
      <c r="F44" s="36"/>
      <c r="G44" s="75"/>
      <c r="H44" s="59"/>
      <c r="I44" s="90"/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  <c r="AG44" s="2">
        <f>AG43/AG39</f>
        <v>0.14557936995203444</v>
      </c>
      <c r="AH44" s="2">
        <f t="shared" ref="AH44:BA44" si="13">AH43/AH39</f>
        <v>0.15181848580712162</v>
      </c>
      <c r="AI44" s="2">
        <f t="shared" si="13"/>
        <v>0.15805760166220881</v>
      </c>
      <c r="AJ44" s="2">
        <f t="shared" si="13"/>
        <v>0.16429671751729602</v>
      </c>
      <c r="AK44" s="2">
        <f t="shared" si="13"/>
        <v>0.17053583337238321</v>
      </c>
      <c r="AL44" s="2">
        <f t="shared" si="13"/>
        <v>0.17677494922747042</v>
      </c>
      <c r="AM44" s="2">
        <f t="shared" si="13"/>
        <v>0.18301406508255758</v>
      </c>
      <c r="AN44" s="2">
        <f t="shared" si="13"/>
        <v>0.18925318093764476</v>
      </c>
      <c r="AO44" s="2">
        <f t="shared" si="13"/>
        <v>0.195492296792732</v>
      </c>
      <c r="AP44" s="2">
        <f t="shared" si="13"/>
        <v>0.20173141264781916</v>
      </c>
      <c r="AQ44" s="2">
        <f t="shared" si="13"/>
        <v>0.20797052850290634</v>
      </c>
      <c r="AR44" s="2">
        <f t="shared" si="13"/>
        <v>0.21420964435799353</v>
      </c>
      <c r="AS44" s="2">
        <f t="shared" si="13"/>
        <v>0.22044876021308071</v>
      </c>
      <c r="AT44" s="2">
        <f t="shared" si="13"/>
        <v>0.22668787606816793</v>
      </c>
      <c r="AU44" s="2">
        <f t="shared" si="13"/>
        <v>0.23292699192325511</v>
      </c>
      <c r="AV44" s="2">
        <f t="shared" si="13"/>
        <v>0.2391661077783423</v>
      </c>
      <c r="AW44" s="2">
        <f t="shared" si="13"/>
        <v>0.24540522363342951</v>
      </c>
      <c r="AX44" s="2">
        <f t="shared" si="13"/>
        <v>0.25164433948851667</v>
      </c>
      <c r="AY44" s="2">
        <f t="shared" si="13"/>
        <v>0.25788345534360385</v>
      </c>
      <c r="AZ44" s="2">
        <f t="shared" si="13"/>
        <v>0.26412257119869104</v>
      </c>
      <c r="BA44" s="2">
        <f t="shared" si="13"/>
        <v>0.27036168705377822</v>
      </c>
    </row>
    <row r="45" spans="2:53" x14ac:dyDescent="0.2">
      <c r="B45" s="32"/>
      <c r="C45" s="36"/>
      <c r="D45" s="36"/>
      <c r="E45" s="36"/>
      <c r="F45" s="36"/>
      <c r="G45" s="75"/>
      <c r="H45" s="59"/>
      <c r="I45" s="90"/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  <c r="AG45" s="2">
        <f t="shared" ref="AG45:BA45" si="14">AG32*(AG33*AG32 + AG33*AG32*AG23*AG23)/(AG32*AG32 + AG33*AG33*AG23*AG23)</f>
        <v>67.661930020837872</v>
      </c>
      <c r="AH45" s="2">
        <f t="shared" si="14"/>
        <v>64.184988142587954</v>
      </c>
      <c r="AI45" s="2">
        <f t="shared" si="14"/>
        <v>61.128923237166489</v>
      </c>
      <c r="AJ45" s="2">
        <f t="shared" si="14"/>
        <v>58.440989357384488</v>
      </c>
      <c r="AK45" s="2">
        <f t="shared" si="14"/>
        <v>56.077157697496666</v>
      </c>
      <c r="AL45" s="2">
        <f t="shared" si="14"/>
        <v>54.000572992957551</v>
      </c>
      <c r="AM45" s="2">
        <f t="shared" si="14"/>
        <v>52.180323308760336</v>
      </c>
      <c r="AN45" s="2">
        <f t="shared" si="14"/>
        <v>50.590456086911665</v>
      </c>
      <c r="AO45" s="2">
        <f t="shared" si="14"/>
        <v>49.209188828586676</v>
      </c>
      <c r="AP45" s="2">
        <f t="shared" si="14"/>
        <v>48.018274614916344</v>
      </c>
      <c r="AQ45" s="2">
        <f t="shared" si="14"/>
        <v>47.00249171815198</v>
      </c>
      <c r="AR45" s="2">
        <f t="shared" si="14"/>
        <v>46.149233505518737</v>
      </c>
      <c r="AS45" s="2">
        <f t="shared" si="14"/>
        <v>45.448180209024066</v>
      </c>
      <c r="AT45" s="2">
        <f t="shared" si="14"/>
        <v>44.891038316986602</v>
      </c>
      <c r="AU45" s="2">
        <f t="shared" si="14"/>
        <v>44.471336633131585</v>
      </c>
      <c r="AV45" s="2">
        <f t="shared" si="14"/>
        <v>44.184270671966523</v>
      </c>
      <c r="AW45" s="2">
        <f t="shared" si="14"/>
        <v>44.026589187747184</v>
      </c>
      <c r="AX45" s="2">
        <f t="shared" si="14"/>
        <v>43.996518403495159</v>
      </c>
      <c r="AY45" s="2">
        <f t="shared" si="14"/>
        <v>44.093721023772964</v>
      </c>
      <c r="AZ45" s="2">
        <f t="shared" si="14"/>
        <v>44.319288468969454</v>
      </c>
      <c r="BA45" s="2">
        <f t="shared" si="14"/>
        <v>44.675766036333236</v>
      </c>
    </row>
    <row r="46" spans="2:53" x14ac:dyDescent="0.2">
      <c r="B46" s="32"/>
      <c r="C46" s="36"/>
      <c r="D46" s="36" t="s">
        <v>55</v>
      </c>
      <c r="E46" s="36"/>
      <c r="F46" s="36"/>
      <c r="G46" s="75" t="s">
        <v>79</v>
      </c>
      <c r="H46" s="67">
        <f>H22*(M31*M31*M32)/((M31+M33)*(M31+M33) + M32*M32)</f>
        <v>49.999791665831665</v>
      </c>
      <c r="I46" s="90" t="s">
        <v>14</v>
      </c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">
        <f t="shared" ref="AG46:BA46" si="15">AG32*(AG32*AG32*AG23 - AG33*AG33*AG23)/(AG32*AG32 + AG33*AG33*AG23*AG23)</f>
        <v>-125.57489174040886</v>
      </c>
      <c r="AH46" s="2">
        <f t="shared" si="15"/>
        <v>-116.28797287859022</v>
      </c>
      <c r="AI46" s="2">
        <f t="shared" si="15"/>
        <v>-107.37159721768043</v>
      </c>
      <c r="AJ46" s="2">
        <f t="shared" si="15"/>
        <v>-98.788720327008633</v>
      </c>
      <c r="AK46" s="2">
        <f t="shared" si="15"/>
        <v>-90.505112598083642</v>
      </c>
      <c r="AL46" s="2">
        <f t="shared" si="15"/>
        <v>-82.489165792528297</v>
      </c>
      <c r="AM46" s="2">
        <f t="shared" si="15"/>
        <v>-74.711666496363051</v>
      </c>
      <c r="AN46" s="2">
        <f t="shared" si="15"/>
        <v>-67.145557712892597</v>
      </c>
      <c r="AO46" s="2">
        <f t="shared" si="15"/>
        <v>-59.765701184937036</v>
      </c>
      <c r="AP46" s="2">
        <f t="shared" si="15"/>
        <v>-52.54864751711991</v>
      </c>
      <c r="AQ46" s="2">
        <f t="shared" si="15"/>
        <v>-45.472417661457193</v>
      </c>
      <c r="AR46" s="2">
        <f t="shared" si="15"/>
        <v>-38.516297120306213</v>
      </c>
      <c r="AS46" s="2">
        <f t="shared" si="15"/>
        <v>-31.660642847761213</v>
      </c>
      <c r="AT46" s="2">
        <f t="shared" si="15"/>
        <v>-24.886701993806245</v>
      </c>
      <c r="AU46" s="2">
        <f t="shared" si="15"/>
        <v>-18.176441139592498</v>
      </c>
      <c r="AV46" s="2">
        <f t="shared" si="15"/>
        <v>-11.512384389710402</v>
      </c>
      <c r="AW46" s="2">
        <f t="shared" si="15"/>
        <v>-4.8774585352645934</v>
      </c>
      <c r="AX46" s="2">
        <f t="shared" si="15"/>
        <v>1.7451565738968184</v>
      </c>
      <c r="AY46" s="2">
        <f t="shared" si="15"/>
        <v>8.3721743427236603</v>
      </c>
      <c r="AZ46" s="2">
        <f t="shared" si="15"/>
        <v>15.020346337535852</v>
      </c>
      <c r="BA46" s="2">
        <f t="shared" si="15"/>
        <v>21.706607696184591</v>
      </c>
    </row>
    <row r="47" spans="2:53" x14ac:dyDescent="0.2">
      <c r="B47" s="32"/>
      <c r="C47" s="36"/>
      <c r="D47" s="36"/>
      <c r="E47" s="36"/>
      <c r="F47" s="36"/>
      <c r="G47" s="75" t="s">
        <v>80</v>
      </c>
      <c r="H47" s="68">
        <f>H22*(M31*M32*M32+M31*M31*M33)/((M31+M33)*(M31+M33)+M32*M32)</f>
        <v>-4.985144231378714E-5</v>
      </c>
      <c r="I47" s="90" t="s">
        <v>14</v>
      </c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</row>
    <row r="48" spans="2:53" x14ac:dyDescent="0.2">
      <c r="B48" s="32"/>
      <c r="C48" s="36"/>
      <c r="D48" s="36"/>
      <c r="E48" s="36"/>
      <c r="F48" s="36"/>
      <c r="G48" s="75"/>
      <c r="H48" s="59"/>
      <c r="I48" s="90"/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</row>
    <row r="49" spans="2:53" x14ac:dyDescent="0.2">
      <c r="B49" s="32"/>
      <c r="C49" s="36"/>
      <c r="D49" s="36"/>
      <c r="E49" s="36"/>
      <c r="F49" s="36"/>
      <c r="G49" s="75" t="s">
        <v>32</v>
      </c>
      <c r="H49" s="59">
        <f>SQRT(H46*H46 + H47*H47)</f>
        <v>49.99979166585652</v>
      </c>
      <c r="I49" s="90" t="s">
        <v>14</v>
      </c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</row>
    <row r="50" spans="2:53" x14ac:dyDescent="0.2">
      <c r="B50" s="32"/>
      <c r="C50" s="36"/>
      <c r="D50" s="36"/>
      <c r="E50" s="36"/>
      <c r="F50" s="36"/>
      <c r="G50" s="75"/>
      <c r="H50" s="59"/>
      <c r="I50" s="90"/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  <c r="AG50" s="2">
        <f>AG36</f>
        <v>5.1464658976033044E-3</v>
      </c>
      <c r="AH50" s="2">
        <f t="shared" ref="AH50:BA50" si="16">AH36</f>
        <v>5.1464658976033044E-3</v>
      </c>
      <c r="AI50" s="2">
        <f t="shared" si="16"/>
        <v>5.1464658976033044E-3</v>
      </c>
      <c r="AJ50" s="2">
        <f t="shared" si="16"/>
        <v>5.1464658976033044E-3</v>
      </c>
      <c r="AK50" s="2">
        <f t="shared" si="16"/>
        <v>5.1464658976033044E-3</v>
      </c>
      <c r="AL50" s="2">
        <f t="shared" si="16"/>
        <v>5.1464658976033044E-3</v>
      </c>
      <c r="AM50" s="2">
        <f t="shared" si="16"/>
        <v>5.1464658976033044E-3</v>
      </c>
      <c r="AN50" s="2">
        <f t="shared" si="16"/>
        <v>5.1464658976033044E-3</v>
      </c>
      <c r="AO50" s="2">
        <f t="shared" si="16"/>
        <v>5.1464658976033044E-3</v>
      </c>
      <c r="AP50" s="2">
        <f t="shared" si="16"/>
        <v>5.1464658976033044E-3</v>
      </c>
      <c r="AQ50" s="2">
        <f t="shared" si="16"/>
        <v>5.1464658976033044E-3</v>
      </c>
      <c r="AR50" s="2">
        <f t="shared" si="16"/>
        <v>5.1464658976033044E-3</v>
      </c>
      <c r="AS50" s="2">
        <f t="shared" si="16"/>
        <v>5.1464658976033044E-3</v>
      </c>
      <c r="AT50" s="2">
        <f t="shared" si="16"/>
        <v>5.1464658976033044E-3</v>
      </c>
      <c r="AU50" s="2">
        <f t="shared" si="16"/>
        <v>5.1464658976033044E-3</v>
      </c>
      <c r="AV50" s="2">
        <f t="shared" si="16"/>
        <v>5.1464658976033044E-3</v>
      </c>
      <c r="AW50" s="2">
        <f t="shared" si="16"/>
        <v>5.1464658976033044E-3</v>
      </c>
      <c r="AX50" s="2">
        <f t="shared" si="16"/>
        <v>5.1464658976033044E-3</v>
      </c>
      <c r="AY50" s="2">
        <f t="shared" si="16"/>
        <v>5.1464658976033044E-3</v>
      </c>
      <c r="AZ50" s="2">
        <f t="shared" si="16"/>
        <v>5.1464658976033044E-3</v>
      </c>
      <c r="BA50" s="2">
        <f t="shared" si="16"/>
        <v>5.1464658976033044E-3</v>
      </c>
    </row>
    <row r="51" spans="2:53" x14ac:dyDescent="0.2">
      <c r="B51" s="32"/>
      <c r="C51" s="33"/>
      <c r="D51" s="33"/>
      <c r="E51" s="33"/>
      <c r="F51" s="33"/>
      <c r="G51" s="46"/>
      <c r="H51" s="57"/>
      <c r="I51" s="89"/>
      <c r="J51" s="33"/>
      <c r="K51" s="33"/>
      <c r="L51" s="58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5"/>
      <c r="AG51" s="2">
        <f>AG50/AG39</f>
        <v>2.9420630047965558E-2</v>
      </c>
      <c r="AH51" s="2">
        <f t="shared" ref="AH51:BA51" si="17">AH50/AH39</f>
        <v>3.0681514192878366E-2</v>
      </c>
      <c r="AI51" s="2">
        <f t="shared" si="17"/>
        <v>3.1942398337791174E-2</v>
      </c>
      <c r="AJ51" s="2">
        <f t="shared" si="17"/>
        <v>3.3203282482703989E-2</v>
      </c>
      <c r="AK51" s="2">
        <f t="shared" si="17"/>
        <v>3.4464166627616796E-2</v>
      </c>
      <c r="AL51" s="2">
        <f t="shared" si="17"/>
        <v>3.5725050772529604E-2</v>
      </c>
      <c r="AM51" s="2">
        <f t="shared" si="17"/>
        <v>3.6985934917442412E-2</v>
      </c>
      <c r="AN51" s="2">
        <f t="shared" si="17"/>
        <v>3.824681906235522E-2</v>
      </c>
      <c r="AO51" s="2">
        <f t="shared" si="17"/>
        <v>3.9507703207268041E-2</v>
      </c>
      <c r="AP51" s="2">
        <f t="shared" si="17"/>
        <v>4.0768587352180849E-2</v>
      </c>
      <c r="AQ51" s="2">
        <f t="shared" si="17"/>
        <v>4.2029471497093657E-2</v>
      </c>
      <c r="AR51" s="2">
        <f t="shared" si="17"/>
        <v>4.3290355642006458E-2</v>
      </c>
      <c r="AS51" s="2">
        <f t="shared" si="17"/>
        <v>4.4551239786919272E-2</v>
      </c>
      <c r="AT51" s="2">
        <f t="shared" si="17"/>
        <v>4.581212393183208E-2</v>
      </c>
      <c r="AU51" s="2">
        <f t="shared" si="17"/>
        <v>4.7073008076744895E-2</v>
      </c>
      <c r="AV51" s="2">
        <f t="shared" si="17"/>
        <v>4.8333892221657702E-2</v>
      </c>
      <c r="AW51" s="2">
        <f t="shared" si="17"/>
        <v>4.959477636657051E-2</v>
      </c>
      <c r="AX51" s="2">
        <f t="shared" si="17"/>
        <v>5.0855660511483318E-2</v>
      </c>
      <c r="AY51" s="2">
        <f t="shared" si="17"/>
        <v>5.2116544656396126E-2</v>
      </c>
      <c r="AZ51" s="2">
        <f t="shared" si="17"/>
        <v>5.3377428801308933E-2</v>
      </c>
      <c r="BA51" s="2">
        <f t="shared" si="17"/>
        <v>5.4638312946221748E-2</v>
      </c>
    </row>
    <row r="52" spans="2:53" s="4" customFormat="1" ht="28" x14ac:dyDescent="0.2">
      <c r="B52" s="28"/>
      <c r="C52" s="4" t="s">
        <v>52</v>
      </c>
      <c r="G52" s="76"/>
      <c r="H52" s="55"/>
      <c r="I52" s="88"/>
      <c r="J52" s="30"/>
      <c r="K52" s="30"/>
      <c r="L52" s="56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F52" s="5"/>
      <c r="AG52" s="4">
        <f>AG32*(AG34*AG32 + AG34*AG32*AK44*AK44)/(AG32*AG32 + AG34*AG34*AK44*AK44)</f>
        <v>0</v>
      </c>
      <c r="AH52" s="4">
        <f t="shared" ref="AH52:AW52" si="18">AH32*(AH34*AH32 + AH34*AH32*AL44*AL44)/(AH32*AH32 + AH34*AH34*AL44*AL44)</f>
        <v>0</v>
      </c>
      <c r="AI52" s="4">
        <f t="shared" si="18"/>
        <v>0</v>
      </c>
      <c r="AJ52" s="4">
        <f t="shared" si="18"/>
        <v>0</v>
      </c>
      <c r="AK52" s="4">
        <f t="shared" si="18"/>
        <v>0</v>
      </c>
      <c r="AL52" s="4">
        <f t="shared" si="18"/>
        <v>0</v>
      </c>
      <c r="AM52" s="4">
        <f t="shared" si="18"/>
        <v>0</v>
      </c>
      <c r="AN52" s="4">
        <f t="shared" si="18"/>
        <v>0</v>
      </c>
      <c r="AO52" s="4">
        <f t="shared" si="18"/>
        <v>0</v>
      </c>
      <c r="AP52" s="4">
        <f t="shared" si="18"/>
        <v>0</v>
      </c>
      <c r="AQ52" s="4">
        <f t="shared" si="18"/>
        <v>0</v>
      </c>
      <c r="AR52" s="4">
        <f t="shared" si="18"/>
        <v>0</v>
      </c>
      <c r="AS52" s="4">
        <f t="shared" si="18"/>
        <v>0</v>
      </c>
      <c r="AT52" s="4">
        <f t="shared" si="18"/>
        <v>0</v>
      </c>
      <c r="AU52" s="4">
        <f t="shared" si="18"/>
        <v>0</v>
      </c>
      <c r="AV52" s="4">
        <f t="shared" si="18"/>
        <v>0</v>
      </c>
      <c r="AW52" s="4">
        <f t="shared" si="18"/>
        <v>0</v>
      </c>
      <c r="AX52" s="4">
        <f>AX32*(AX34*AX32 + AX34*AX32*BB37*BB37)/(AX32*AX32 + AX34*AX34*BB37*BB37)</f>
        <v>0</v>
      </c>
      <c r="AY52" s="4">
        <f>AY32*(AY34*AY32 + AY34*AY32*BC37*BC37)/(AY32*AY32 + AY34*AY34*BC37*BC37)</f>
        <v>0</v>
      </c>
      <c r="AZ52" s="4">
        <f>AZ32*(AZ34*AZ32 + AZ34*AZ32*BD37*BD37)/(AZ32*AZ32 + AZ34*AZ34*BD37*BD37)</f>
        <v>0</v>
      </c>
      <c r="BA52" s="4">
        <f>BA32*(BA34*BA32 + BA34*BA32*BE37*BE37)/(BA32*BA32 + BA34*BA34*BE37*BE37)</f>
        <v>0</v>
      </c>
    </row>
    <row r="53" spans="2:53" x14ac:dyDescent="0.2">
      <c r="B53" s="32"/>
      <c r="C53" s="49" t="s">
        <v>48</v>
      </c>
      <c r="D53" s="33"/>
      <c r="E53" s="49" t="s">
        <v>49</v>
      </c>
      <c r="F53" s="33"/>
      <c r="G53" s="46"/>
      <c r="H53" s="57"/>
      <c r="I53" s="89"/>
      <c r="J53" s="33"/>
      <c r="K53" s="33"/>
      <c r="L53" s="58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5"/>
      <c r="AG53" s="2">
        <f>AG32*(AG32*AG32*AG24 - AG34*AG34*AG24)/(AG32*AG32 + AG34*AG34*AG24*AG24)</f>
        <v>33.598177844431099</v>
      </c>
      <c r="AH53" s="2">
        <f t="shared" ref="AH53:BA53" si="19">AH32*(AH32*AH32*AH24 - AH34*AH34*AH24)/(AH32*AH32 + AH34*AH34*AH24*AH24)</f>
        <v>35.073649967218344</v>
      </c>
      <c r="AI53" s="2">
        <f t="shared" si="19"/>
        <v>36.553692772191312</v>
      </c>
      <c r="AJ53" s="2">
        <f t="shared" si="19"/>
        <v>38.038514202401487</v>
      </c>
      <c r="AK53" s="2">
        <f t="shared" si="19"/>
        <v>39.528324749637854</v>
      </c>
      <c r="AL53" s="2">
        <f t="shared" si="19"/>
        <v>41.023337579590887</v>
      </c>
      <c r="AM53" s="2">
        <f t="shared" si="19"/>
        <v>42.523768660127935</v>
      </c>
      <c r="AN53" s="2">
        <f t="shared" si="19"/>
        <v>44.029836892850476</v>
      </c>
      <c r="AO53" s="2">
        <f t="shared" si="19"/>
        <v>45.541764248110944</v>
      </c>
      <c r="AP53" s="2">
        <f t="shared" si="19"/>
        <v>47.059775903673248</v>
      </c>
      <c r="AQ53" s="2">
        <f t="shared" si="19"/>
        <v>48.584100387209617</v>
      </c>
      <c r="AR53" s="2">
        <f t="shared" si="19"/>
        <v>50.114969722833479</v>
      </c>
      <c r="AS53" s="2">
        <f t="shared" si="19"/>
        <v>51.652619581877687</v>
      </c>
      <c r="AT53" s="2">
        <f t="shared" si="19"/>
        <v>53.197289438135513</v>
      </c>
      <c r="AU53" s="2">
        <f t="shared" si="19"/>
        <v>54.749222727792478</v>
      </c>
      <c r="AV53" s="2">
        <f t="shared" si="19"/>
        <v>56.308667014286236</v>
      </c>
      <c r="AW53" s="2">
        <f t="shared" si="19"/>
        <v>57.875874158343755</v>
      </c>
      <c r="AX53" s="2">
        <f t="shared" si="19"/>
        <v>59.451100493455542</v>
      </c>
      <c r="AY53" s="2">
        <f t="shared" si="19"/>
        <v>61.034607007059734</v>
      </c>
      <c r="AZ53" s="2">
        <f t="shared" si="19"/>
        <v>62.626659527720918</v>
      </c>
      <c r="BA53" s="2">
        <f t="shared" si="19"/>
        <v>64.227528918603497</v>
      </c>
    </row>
    <row r="54" spans="2:53" x14ac:dyDescent="0.2">
      <c r="B54" s="32"/>
      <c r="C54" s="36"/>
      <c r="D54" s="36"/>
      <c r="E54" s="36"/>
      <c r="F54" s="36"/>
      <c r="G54" s="75"/>
      <c r="H54" s="59"/>
      <c r="I54" s="90"/>
      <c r="J54" s="33"/>
      <c r="K54" s="66"/>
      <c r="L54" s="98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35"/>
    </row>
    <row r="55" spans="2:53" x14ac:dyDescent="0.2">
      <c r="B55" s="32"/>
      <c r="C55" s="36"/>
      <c r="D55" s="36" t="s">
        <v>34</v>
      </c>
      <c r="E55" s="36"/>
      <c r="F55" s="36"/>
      <c r="G55" s="75"/>
      <c r="H55" s="74">
        <v>50</v>
      </c>
      <c r="I55" s="90" t="s">
        <v>14</v>
      </c>
      <c r="J55" s="33"/>
      <c r="K55" s="66"/>
      <c r="L55" s="98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35"/>
    </row>
    <row r="56" spans="2:53" x14ac:dyDescent="0.2">
      <c r="B56" s="32"/>
      <c r="C56" s="36"/>
      <c r="D56" s="36" t="s">
        <v>35</v>
      </c>
      <c r="E56" s="36"/>
      <c r="F56" s="36"/>
      <c r="G56" s="75"/>
      <c r="H56" s="74">
        <v>0</v>
      </c>
      <c r="I56" s="90" t="s">
        <v>14</v>
      </c>
      <c r="J56" s="33"/>
      <c r="K56" s="66"/>
      <c r="L56" s="97" t="s">
        <v>58</v>
      </c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35"/>
    </row>
    <row r="57" spans="2:53" x14ac:dyDescent="0.2">
      <c r="B57" s="32"/>
      <c r="C57" s="36"/>
      <c r="D57" s="36"/>
      <c r="E57" s="36"/>
      <c r="F57" s="36"/>
      <c r="G57" s="75"/>
      <c r="H57" s="59"/>
      <c r="I57" s="90"/>
      <c r="J57" s="33"/>
      <c r="K57" s="66"/>
      <c r="L57" s="97" t="s">
        <v>81</v>
      </c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  <c r="AF57" s="23" t="s">
        <v>36</v>
      </c>
      <c r="AG57" s="2">
        <f t="shared" ref="AG57:BA57" si="20">AG32*(AG24*AG24*AG25)/((AG24+AG26)*(AG24+AG26) + AG25*AG25)</f>
        <v>5.8582750955529876</v>
      </c>
      <c r="AH57" s="2">
        <f t="shared" si="20"/>
        <v>7.3685800299423274</v>
      </c>
      <c r="AI57" s="2">
        <f t="shared" si="20"/>
        <v>9.3326693518090025</v>
      </c>
      <c r="AJ57" s="2">
        <f t="shared" si="20"/>
        <v>11.899899948206755</v>
      </c>
      <c r="AK57" s="2">
        <f t="shared" si="20"/>
        <v>15.256073842649938</v>
      </c>
      <c r="AL57" s="2">
        <f t="shared" si="20"/>
        <v>19.604959008595259</v>
      </c>
      <c r="AM57" s="2">
        <f t="shared" si="20"/>
        <v>25.102421716958101</v>
      </c>
      <c r="AN57" s="2">
        <f t="shared" si="20"/>
        <v>31.701530334416681</v>
      </c>
      <c r="AO57" s="2">
        <f t="shared" si="20"/>
        <v>38.897749901348135</v>
      </c>
      <c r="AP57" s="2">
        <f t="shared" si="20"/>
        <v>45.525558723243336</v>
      </c>
      <c r="AQ57" s="2">
        <f t="shared" si="20"/>
        <v>49.999791665831665</v>
      </c>
      <c r="AR57" s="2">
        <f t="shared" si="20"/>
        <v>51.188113272419308</v>
      </c>
      <c r="AS57" s="2">
        <f t="shared" si="20"/>
        <v>49.186530072671978</v>
      </c>
      <c r="AT57" s="2">
        <f t="shared" si="20"/>
        <v>45.102320338343382</v>
      </c>
      <c r="AU57" s="2">
        <f t="shared" si="20"/>
        <v>40.208459949565835</v>
      </c>
      <c r="AV57" s="2">
        <f t="shared" si="20"/>
        <v>35.386485407697258</v>
      </c>
      <c r="AW57" s="2">
        <f t="shared" si="20"/>
        <v>31.06527088891157</v>
      </c>
      <c r="AX57" s="2">
        <f t="shared" si="20"/>
        <v>27.37399128530188</v>
      </c>
      <c r="AY57" s="2">
        <f t="shared" si="20"/>
        <v>24.293064740300494</v>
      </c>
      <c r="AZ57" s="2">
        <f t="shared" si="20"/>
        <v>21.746406671933041</v>
      </c>
      <c r="BA57" s="2">
        <f t="shared" si="20"/>
        <v>19.646437971401244</v>
      </c>
    </row>
    <row r="58" spans="2:53" x14ac:dyDescent="0.2">
      <c r="B58" s="32"/>
      <c r="C58" s="36"/>
      <c r="D58" s="36" t="s">
        <v>54</v>
      </c>
      <c r="E58" s="36"/>
      <c r="F58" s="36"/>
      <c r="G58" s="75"/>
      <c r="H58" s="95">
        <f>(H46-H55)*(H46-H55)</f>
        <v>4.3403125695646618E-8</v>
      </c>
      <c r="I58" s="90"/>
      <c r="J58" s="33"/>
      <c r="K58" s="66"/>
      <c r="L58" s="98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  <c r="AF58" s="23" t="s">
        <v>37</v>
      </c>
      <c r="AG58" s="2">
        <f t="shared" ref="AG58:BA58" si="21">AG32*(AG24*AG25*AG25+AG24*AG24*AG26)/((AG24+AG26)*(AG24+AG26)+AG25*AG25)</f>
        <v>0.92525971427952369</v>
      </c>
      <c r="AH58" s="2">
        <f t="shared" si="21"/>
        <v>0.13442622360921319</v>
      </c>
      <c r="AI58" s="2">
        <f t="shared" si="21"/>
        <v>-0.78555699282470459</v>
      </c>
      <c r="AJ58" s="2">
        <f t="shared" si="21"/>
        <v>-1.8330321612554863</v>
      </c>
      <c r="AK58" s="2">
        <f t="shared" si="21"/>
        <v>-2.9792279117305873</v>
      </c>
      <c r="AL58" s="2">
        <f t="shared" si="21"/>
        <v>-4.1410194510458656</v>
      </c>
      <c r="AM58" s="2">
        <f t="shared" si="21"/>
        <v>-5.138757979536023</v>
      </c>
      <c r="AN58" s="2">
        <f t="shared" si="21"/>
        <v>-5.650281139409266</v>
      </c>
      <c r="AO58" s="2">
        <f t="shared" si="21"/>
        <v>-5.2120796055315957</v>
      </c>
      <c r="AP58" s="2">
        <f t="shared" si="21"/>
        <v>-3.3679427541267173</v>
      </c>
      <c r="AQ58" s="2">
        <f t="shared" si="21"/>
        <v>-4.985144231378714E-5</v>
      </c>
      <c r="AR58" s="2">
        <f t="shared" si="21"/>
        <v>4.4156940303876331</v>
      </c>
      <c r="AS58" s="2">
        <f t="shared" si="21"/>
        <v>9.0134180198811649</v>
      </c>
      <c r="AT58" s="2">
        <f t="shared" si="21"/>
        <v>13.056189142556377</v>
      </c>
      <c r="AU58" s="2">
        <f t="shared" si="21"/>
        <v>16.226154966977511</v>
      </c>
      <c r="AV58" s="2">
        <f t="shared" si="21"/>
        <v>18.546971411975012</v>
      </c>
      <c r="AW58" s="2">
        <f t="shared" si="21"/>
        <v>20.190025676497761</v>
      </c>
      <c r="AX58" s="2">
        <f t="shared" si="21"/>
        <v>21.343809549773553</v>
      </c>
      <c r="AY58" s="2">
        <f t="shared" si="21"/>
        <v>22.162812782922291</v>
      </c>
      <c r="AZ58" s="2">
        <f t="shared" si="21"/>
        <v>22.759498876548147</v>
      </c>
      <c r="BA58" s="2">
        <f t="shared" si="21"/>
        <v>23.211397861373708</v>
      </c>
    </row>
    <row r="59" spans="2:53" x14ac:dyDescent="0.2">
      <c r="B59" s="32"/>
      <c r="C59" s="36"/>
      <c r="D59" s="36" t="s">
        <v>54</v>
      </c>
      <c r="E59" s="36"/>
      <c r="F59" s="36"/>
      <c r="G59" s="75"/>
      <c r="H59" s="95">
        <f>(H47-H56)*(H47-H56)</f>
        <v>2.4851663007648468E-9</v>
      </c>
      <c r="I59" s="90"/>
      <c r="J59" s="33"/>
      <c r="K59" s="66"/>
      <c r="L59" s="98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</row>
    <row r="60" spans="2:53" x14ac:dyDescent="0.2">
      <c r="B60" s="32"/>
      <c r="C60" s="36"/>
      <c r="D60" s="36"/>
      <c r="E60" s="36"/>
      <c r="F60" s="36"/>
      <c r="G60" s="75"/>
      <c r="H60" s="95"/>
      <c r="I60" s="90"/>
      <c r="J60" s="33"/>
      <c r="K60" s="66"/>
      <c r="L60" s="98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</row>
    <row r="61" spans="2:53" x14ac:dyDescent="0.2">
      <c r="B61" s="32"/>
      <c r="C61" s="36"/>
      <c r="D61" s="36" t="s">
        <v>53</v>
      </c>
      <c r="E61" s="36"/>
      <c r="F61" s="36"/>
      <c r="G61" s="75"/>
      <c r="H61" s="96">
        <f>SUM(H58:H60)</f>
        <v>4.5888291996411466E-8</v>
      </c>
      <c r="I61" s="90"/>
      <c r="J61" s="33"/>
      <c r="K61" s="66"/>
      <c r="L61" s="98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</row>
    <row r="62" spans="2:53" x14ac:dyDescent="0.2">
      <c r="B62" s="32"/>
      <c r="C62" s="36"/>
      <c r="D62" s="36"/>
      <c r="E62" s="36"/>
      <c r="F62" s="36"/>
      <c r="G62" s="75"/>
      <c r="H62" s="59"/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53" ht="24" thickBot="1" x14ac:dyDescent="0.25">
      <c r="B63" s="40"/>
      <c r="C63" s="41"/>
      <c r="D63" s="41"/>
      <c r="E63" s="41"/>
      <c r="F63" s="41"/>
      <c r="G63" s="85"/>
      <c r="H63" s="63"/>
      <c r="I63" s="91"/>
      <c r="J63" s="41"/>
      <c r="K63" s="41"/>
      <c r="L63" s="64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3"/>
    </row>
    <row r="64" spans="2:53" ht="24" thickTop="1" x14ac:dyDescent="0.2"/>
  </sheetData>
  <conditionalFormatting sqref="L16:M16">
    <cfRule type="expression" dxfId="3" priority="1">
      <formula>$M$16&gt;0.3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0E69-3C8E-5745-B71E-CCD3AEE6267D}">
  <dimension ref="B1:BK67"/>
  <sheetViews>
    <sheetView tabSelected="1" topLeftCell="A2" zoomScale="140" zoomScaleNormal="140" workbookViewId="0">
      <pane xSplit="30" topLeftCell="AE1" activePane="topRight" state="frozen"/>
      <selection pane="topRight" activeCell="N7" sqref="N7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53" width="23.5" style="23" customWidth="1"/>
    <col min="54" max="63" width="10.83203125" style="23"/>
    <col min="64" max="16384" width="10.83203125" style="2"/>
  </cols>
  <sheetData>
    <row r="1" spans="2:63" ht="15" customHeight="1" thickBot="1" x14ac:dyDescent="0.25"/>
    <row r="2" spans="2:63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63" s="4" customFormat="1" ht="28" x14ac:dyDescent="0.2">
      <c r="B3" s="28"/>
      <c r="C3" s="4" t="s">
        <v>144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2:63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63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63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  <c r="AF6" s="23" t="s">
        <v>120</v>
      </c>
      <c r="AN6" s="23" t="s">
        <v>121</v>
      </c>
      <c r="AQ6" s="23">
        <v>2.2799999999999998</v>
      </c>
      <c r="AU6" s="23" t="s">
        <v>122</v>
      </c>
      <c r="AY6" s="23" t="s">
        <v>123</v>
      </c>
    </row>
    <row r="7" spans="2:63" x14ac:dyDescent="0.2">
      <c r="B7" s="32"/>
      <c r="C7" s="36"/>
      <c r="D7" s="36" t="s">
        <v>108</v>
      </c>
      <c r="E7" s="36"/>
      <c r="F7" s="36"/>
      <c r="G7" s="75" t="s">
        <v>84</v>
      </c>
      <c r="H7" s="74">
        <v>8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  <c r="AN7" s="23">
        <v>0.17299999999999999</v>
      </c>
      <c r="AS7" s="23" t="s">
        <v>124</v>
      </c>
      <c r="AT7" s="23" t="s">
        <v>125</v>
      </c>
      <c r="AU7" s="23">
        <v>0.17299999999999999</v>
      </c>
      <c r="AW7" s="23" t="s">
        <v>124</v>
      </c>
      <c r="AX7" s="23" t="s">
        <v>125</v>
      </c>
      <c r="AY7" s="23">
        <v>0.17299999999999999</v>
      </c>
    </row>
    <row r="8" spans="2:63" x14ac:dyDescent="0.2">
      <c r="B8" s="32"/>
      <c r="C8" s="36"/>
      <c r="D8" s="36" t="s">
        <v>109</v>
      </c>
      <c r="E8" s="36"/>
      <c r="F8" s="36"/>
      <c r="G8" s="75" t="s">
        <v>99</v>
      </c>
      <c r="H8" s="74">
        <v>2.7929284467455076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  <c r="AF8" s="23" t="s">
        <v>126</v>
      </c>
      <c r="AG8" s="23" t="s">
        <v>127</v>
      </c>
      <c r="AH8" s="23" t="s">
        <v>128</v>
      </c>
      <c r="AI8" s="23" t="s">
        <v>129</v>
      </c>
      <c r="AJ8" s="23" t="s">
        <v>121</v>
      </c>
      <c r="AK8" s="23" t="s">
        <v>130</v>
      </c>
      <c r="AL8" s="23" t="s">
        <v>131</v>
      </c>
      <c r="AM8" s="23" t="s">
        <v>132</v>
      </c>
      <c r="AN8" s="23" t="s">
        <v>133</v>
      </c>
      <c r="AO8" s="23" t="s">
        <v>122</v>
      </c>
      <c r="AP8" s="23" t="s">
        <v>134</v>
      </c>
      <c r="AQ8" s="23" t="s">
        <v>123</v>
      </c>
      <c r="AR8" s="23" t="s">
        <v>135</v>
      </c>
      <c r="AS8" s="23" t="s">
        <v>136</v>
      </c>
      <c r="AT8" s="23" t="s">
        <v>137</v>
      </c>
      <c r="AU8" s="23" t="s">
        <v>138</v>
      </c>
      <c r="AW8" s="23" t="s">
        <v>139</v>
      </c>
      <c r="AX8" s="23" t="s">
        <v>140</v>
      </c>
      <c r="AY8" s="23" t="s">
        <v>141</v>
      </c>
      <c r="AZ8" s="23" t="s">
        <v>142</v>
      </c>
      <c r="BA8" s="23" t="s">
        <v>143</v>
      </c>
    </row>
    <row r="9" spans="2:63" x14ac:dyDescent="0.2">
      <c r="B9" s="32"/>
      <c r="C9" s="36"/>
      <c r="D9" s="36" t="s">
        <v>103</v>
      </c>
      <c r="E9" s="36"/>
      <c r="F9" s="36"/>
      <c r="G9" s="84" t="s">
        <v>104</v>
      </c>
      <c r="H9" s="72">
        <v>15.564448238842273</v>
      </c>
      <c r="I9" s="90" t="s">
        <v>105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  <c r="AF9" s="106">
        <f>H8</f>
        <v>2.7929284467455076</v>
      </c>
      <c r="AG9" s="106">
        <f>H7</f>
        <v>8</v>
      </c>
      <c r="AH9" s="106">
        <f>H11</f>
        <v>1.6</v>
      </c>
      <c r="AI9" s="106">
        <f>H10</f>
        <v>4.3</v>
      </c>
      <c r="AJ9" s="23">
        <f>AF9/AG9</f>
        <v>0.34911605584318844</v>
      </c>
      <c r="AK9" s="23">
        <f>AH9/AG9</f>
        <v>0.2</v>
      </c>
      <c r="AL9" s="23">
        <f>PI()*120*PI()/(4*LN(2*SQRT((AG9/AF9))))</f>
        <v>242.83001708470439</v>
      </c>
      <c r="AM9" s="23">
        <f xml:space="preserve"> 120 * LN(2 * (1 + SQRT(AF9/AG9)) / (1 - SQRT(AF9/AG9)))</f>
        <v>246.13453879726563</v>
      </c>
      <c r="AN9" s="23">
        <f>IF((AF9/AG9) &lt;= AN$7,AL9,AM9)</f>
        <v>246.13453879726563</v>
      </c>
      <c r="AO9" s="23">
        <f>AF9/AG9</f>
        <v>0.34911605584318844</v>
      </c>
      <c r="AP9" s="23">
        <f>SQRT(1 - (AO9*AO9))</f>
        <v>0.93707949478819341</v>
      </c>
      <c r="AQ9" s="23">
        <f>TANH(AQ$6* AF9 / (4 * AH9)) /(TANH( AQ$6* AG9 /(4 * AH9)))</f>
        <v>0.76457757032964901</v>
      </c>
      <c r="AR9" s="23">
        <f>SQRT(1 - (AQ9*AQ9))</f>
        <v>0.6445317206692085</v>
      </c>
      <c r="AS9" s="23">
        <f>4*LN(2/SQRT(AO9))/PI()</f>
        <v>1.5524897743563246</v>
      </c>
      <c r="AT9" s="23">
        <f xml:space="preserve"> PI() /( (LN(2 * (1 + SQRT(AO9)) / ( 1 - SQRT(AO9)))))</f>
        <v>1.531646555062687</v>
      </c>
      <c r="AU9" s="23">
        <f>IF(AO9&lt;= AU$7,AS9,AT9)</f>
        <v>1.531646555062687</v>
      </c>
      <c r="AW9" s="23">
        <f>(4/PI()) * LN(2/SQRT(AQ9))</f>
        <v>1.0534313877697505</v>
      </c>
      <c r="AX9" s="23">
        <f xml:space="preserve"> PI() / (LN(2 * (1 + SQRT(AQ9)) / ( 1 - SQRT(AQ9))))</f>
        <v>0.92505905859256798</v>
      </c>
      <c r="AY9" s="23">
        <f>IF(AQ9 &lt;= AY$7,AW9,AX9)</f>
        <v>0.92505905859256798</v>
      </c>
      <c r="AZ9" s="23">
        <f>1 + ((AI9 - 1)/2 *AY9 / (AU9))</f>
        <v>1.9965402537762813</v>
      </c>
      <c r="BA9" s="23">
        <f>AN9/SQRT(AZ9)</f>
        <v>174.19413355677429</v>
      </c>
    </row>
    <row r="10" spans="2:63" ht="27" x14ac:dyDescent="0.2">
      <c r="B10" s="32"/>
      <c r="C10" s="36"/>
      <c r="D10" s="36" t="s">
        <v>117</v>
      </c>
      <c r="E10" s="36"/>
      <c r="F10" s="36"/>
      <c r="G10" s="84" t="s">
        <v>63</v>
      </c>
      <c r="H10" s="74">
        <v>4.3</v>
      </c>
      <c r="I10" s="90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63" x14ac:dyDescent="0.2">
      <c r="B11" s="32"/>
      <c r="C11" s="36"/>
      <c r="D11" s="36" t="s">
        <v>145</v>
      </c>
      <c r="E11" s="36"/>
      <c r="F11" s="36"/>
      <c r="G11" s="84" t="s">
        <v>146</v>
      </c>
      <c r="H11" s="74">
        <v>1.6</v>
      </c>
      <c r="I11" s="90" t="s">
        <v>29</v>
      </c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63" x14ac:dyDescent="0.2">
      <c r="B12" s="32"/>
      <c r="C12" s="36"/>
      <c r="D12" s="36"/>
      <c r="E12" s="36"/>
      <c r="F12" s="36"/>
      <c r="G12" s="75"/>
      <c r="H12" s="59"/>
      <c r="I12" s="90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63" x14ac:dyDescent="0.2">
      <c r="B13" s="32"/>
      <c r="C13" s="49" t="s">
        <v>49</v>
      </c>
      <c r="D13" s="33"/>
      <c r="E13" s="33"/>
      <c r="F13" s="33"/>
      <c r="G13" s="46"/>
      <c r="H13" s="57"/>
      <c r="I13" s="89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63" x14ac:dyDescent="0.2">
      <c r="B14" s="32"/>
      <c r="C14" s="36"/>
      <c r="D14" s="36"/>
      <c r="E14" s="36"/>
      <c r="F14" s="36"/>
      <c r="G14" s="75"/>
      <c r="H14" s="59"/>
      <c r="I14" s="90"/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63" ht="27" x14ac:dyDescent="0.2">
      <c r="B15" s="32"/>
      <c r="C15" s="36"/>
      <c r="D15" s="36" t="s">
        <v>118</v>
      </c>
      <c r="E15" s="36"/>
      <c r="F15" s="36"/>
      <c r="G15" s="84" t="s">
        <v>119</v>
      </c>
      <c r="H15" s="59">
        <f>AZ9</f>
        <v>1.9965402537762813</v>
      </c>
      <c r="I15" s="90"/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63" x14ac:dyDescent="0.2">
      <c r="B16" s="32"/>
      <c r="C16" s="36"/>
      <c r="D16" s="36" t="s">
        <v>107</v>
      </c>
      <c r="E16" s="36"/>
      <c r="F16" s="36"/>
      <c r="G16" s="75" t="s">
        <v>106</v>
      </c>
      <c r="H16" s="59">
        <f>H33*1000 / SQRT(H15) + H7*0.52*PI()</f>
        <v>99.728516663283784</v>
      </c>
      <c r="I16" s="90" t="s">
        <v>29</v>
      </c>
      <c r="J16" s="33"/>
      <c r="K16" s="38"/>
      <c r="L16" s="6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x14ac:dyDescent="0.2">
      <c r="B17" s="32"/>
      <c r="C17" s="36"/>
      <c r="D17" s="36" t="s">
        <v>96</v>
      </c>
      <c r="E17" s="36"/>
      <c r="F17" s="36"/>
      <c r="G17" s="75" t="s">
        <v>94</v>
      </c>
      <c r="H17" s="59">
        <f>H16/PI()</f>
        <v>31.744572788368135</v>
      </c>
      <c r="I17" s="90" t="s">
        <v>29</v>
      </c>
      <c r="J17" s="33"/>
      <c r="K17" s="38"/>
      <c r="L17" s="62" t="s">
        <v>100</v>
      </c>
      <c r="M17" s="62">
        <v>541.93345087277203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ht="27" x14ac:dyDescent="0.2">
      <c r="B18" s="32"/>
      <c r="C18" s="36"/>
      <c r="D18" s="36" t="s">
        <v>98</v>
      </c>
      <c r="E18" s="36"/>
      <c r="F18" s="36"/>
      <c r="G18" s="75" t="s">
        <v>71</v>
      </c>
      <c r="H18" s="59">
        <f>M$17 *  POWER(M19, -M$18)</f>
        <v>694.47321280560152</v>
      </c>
      <c r="I18" s="90" t="s">
        <v>14</v>
      </c>
      <c r="J18" s="33"/>
      <c r="K18" s="38"/>
      <c r="L18" s="62" t="s">
        <v>101</v>
      </c>
      <c r="M18" s="62">
        <v>0.17994191272575799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53" ht="27" x14ac:dyDescent="0.2">
      <c r="B19" s="32"/>
      <c r="C19" s="36"/>
      <c r="D19" s="36" t="s">
        <v>97</v>
      </c>
      <c r="E19" s="36"/>
      <c r="F19" s="36"/>
      <c r="G19" s="75" t="s">
        <v>59</v>
      </c>
      <c r="H19" s="59">
        <f>BA9</f>
        <v>174.19413355677429</v>
      </c>
      <c r="I19" s="90" t="s">
        <v>14</v>
      </c>
      <c r="J19" s="33"/>
      <c r="K19" s="38"/>
      <c r="L19" s="62" t="s">
        <v>102</v>
      </c>
      <c r="M19" s="62">
        <f>H7/H17</f>
        <v>0.2520115817381976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53" x14ac:dyDescent="0.2">
      <c r="B20" s="32"/>
      <c r="C20" s="36"/>
      <c r="D20" s="36"/>
      <c r="E20" s="36"/>
      <c r="F20" s="36"/>
      <c r="G20" s="75"/>
      <c r="H20" s="59"/>
      <c r="I20" s="90"/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49" t="s">
        <v>49</v>
      </c>
      <c r="D21" s="33"/>
      <c r="E21" s="33"/>
      <c r="F21" s="33"/>
      <c r="G21" s="46"/>
      <c r="H21" s="57"/>
      <c r="I21" s="89"/>
      <c r="J21" s="33"/>
      <c r="K21" s="33"/>
      <c r="L21" s="5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5"/>
    </row>
    <row r="22" spans="2:53" x14ac:dyDescent="0.2">
      <c r="B22" s="32"/>
      <c r="C22" s="36"/>
      <c r="D22" s="36"/>
      <c r="E22" s="36"/>
      <c r="F22" s="36"/>
      <c r="G22" s="75"/>
      <c r="H22" s="59"/>
      <c r="I22" s="90"/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x14ac:dyDescent="0.2">
      <c r="B23" s="32"/>
      <c r="C23" s="36"/>
      <c r="D23" s="36" t="s">
        <v>57</v>
      </c>
      <c r="E23" s="36"/>
      <c r="F23" s="36"/>
      <c r="G23" s="75"/>
      <c r="H23" s="72">
        <v>3</v>
      </c>
      <c r="I23" s="90" t="s">
        <v>31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53" x14ac:dyDescent="0.2">
      <c r="B24" s="32"/>
      <c r="C24" s="36"/>
      <c r="D24" s="36" t="s">
        <v>8</v>
      </c>
      <c r="E24" s="36"/>
      <c r="F24" s="36"/>
      <c r="G24" s="75" t="s">
        <v>75</v>
      </c>
      <c r="H24" s="99">
        <f>H6</f>
        <v>2450</v>
      </c>
      <c r="I24" s="90" t="s">
        <v>12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53" ht="27" x14ac:dyDescent="0.2">
      <c r="B25" s="32"/>
      <c r="C25" s="36"/>
      <c r="D25" s="36" t="s">
        <v>5</v>
      </c>
      <c r="E25" s="36"/>
      <c r="F25" s="36"/>
      <c r="G25" s="75" t="s">
        <v>59</v>
      </c>
      <c r="H25" s="99">
        <f>H19</f>
        <v>174.19413355677429</v>
      </c>
      <c r="I25" s="90" t="s">
        <v>14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</row>
    <row r="26" spans="2:53" ht="27" x14ac:dyDescent="0.2">
      <c r="B26" s="32"/>
      <c r="C26" s="36"/>
      <c r="D26" s="36" t="s">
        <v>6</v>
      </c>
      <c r="E26" s="36"/>
      <c r="F26" s="36"/>
      <c r="G26" s="75" t="s">
        <v>71</v>
      </c>
      <c r="H26" s="99">
        <f>H18</f>
        <v>694.47321280560152</v>
      </c>
      <c r="I26" s="90" t="s">
        <v>14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16</v>
      </c>
      <c r="AG26" s="23">
        <f>TAN(2 * PI() * AG47)</f>
        <v>1.2847825884880257</v>
      </c>
      <c r="AH26" s="23">
        <f t="shared" ref="AH26:BA26" si="0">TAN(2 * PI() * AH47)</f>
        <v>1.3935943148014871</v>
      </c>
      <c r="AI26" s="23">
        <f t="shared" si="0"/>
        <v>1.5149117109175683</v>
      </c>
      <c r="AJ26" s="23">
        <f t="shared" si="0"/>
        <v>1.6514620322175748</v>
      </c>
      <c r="AK26" s="23">
        <f t="shared" si="0"/>
        <v>1.806809799933125</v>
      </c>
      <c r="AL26" s="23">
        <f t="shared" si="0"/>
        <v>1.9857067597791287</v>
      </c>
      <c r="AM26" s="23">
        <f t="shared" si="0"/>
        <v>2.1946332237314206</v>
      </c>
      <c r="AN26" s="23">
        <f t="shared" si="0"/>
        <v>2.4426651688002234</v>
      </c>
      <c r="AO26" s="23">
        <f t="shared" si="0"/>
        <v>2.7429213093699354</v>
      </c>
      <c r="AP26" s="23">
        <f t="shared" si="0"/>
        <v>3.1150995331811884</v>
      </c>
      <c r="AQ26" s="23">
        <f t="shared" si="0"/>
        <v>3.5901967574513236</v>
      </c>
      <c r="AR26" s="23">
        <f t="shared" si="0"/>
        <v>4.2199723364491017</v>
      </c>
      <c r="AS26" s="23">
        <f t="shared" si="0"/>
        <v>5.0978360966913625</v>
      </c>
      <c r="AT26" s="23">
        <f t="shared" si="0"/>
        <v>6.411305240197998</v>
      </c>
      <c r="AU26" s="23">
        <f t="shared" si="0"/>
        <v>8.6004351457291861</v>
      </c>
      <c r="AV26" s="23">
        <f t="shared" si="0"/>
        <v>12.998783263655344</v>
      </c>
      <c r="AW26" s="23">
        <f t="shared" si="0"/>
        <v>26.439144903590059</v>
      </c>
      <c r="AX26" s="23">
        <f t="shared" si="0"/>
        <v>-854.93552260417744</v>
      </c>
      <c r="AY26" s="23">
        <f t="shared" si="0"/>
        <v>-24.896913940324296</v>
      </c>
      <c r="AZ26" s="23">
        <f t="shared" si="0"/>
        <v>-12.612900171937856</v>
      </c>
      <c r="BA26" s="23">
        <f t="shared" si="0"/>
        <v>-8.4285180331066947</v>
      </c>
    </row>
    <row r="27" spans="2:53" ht="27" x14ac:dyDescent="0.2">
      <c r="B27" s="32"/>
      <c r="C27" s="36"/>
      <c r="D27" s="36" t="s">
        <v>26</v>
      </c>
      <c r="E27" s="36"/>
      <c r="F27" s="36"/>
      <c r="G27" s="75" t="s">
        <v>72</v>
      </c>
      <c r="H27" s="99">
        <v>0</v>
      </c>
      <c r="I27" s="90" t="s">
        <v>14</v>
      </c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F27" s="23" t="s">
        <v>17</v>
      </c>
      <c r="AG27" s="23">
        <f>TAN(2 * PI() *AG54)</f>
        <v>0.19248120544918382</v>
      </c>
      <c r="AH27" s="23">
        <f t="shared" ref="AH27:BA27" si="1">TAN(2 * PI() *AH54)</f>
        <v>0.20094612913574267</v>
      </c>
      <c r="AI27" s="23">
        <f t="shared" si="1"/>
        <v>0.20943882349885778</v>
      </c>
      <c r="AJ27" s="23">
        <f t="shared" si="1"/>
        <v>0.21796055919600169</v>
      </c>
      <c r="AK27" s="23">
        <f t="shared" si="1"/>
        <v>0.22651262333268715</v>
      </c>
      <c r="AL27" s="23">
        <f t="shared" si="1"/>
        <v>0.23509632027951011</v>
      </c>
      <c r="AM27" s="23">
        <f t="shared" si="1"/>
        <v>0.24371297251055513</v>
      </c>
      <c r="AN27" s="23">
        <f t="shared" si="1"/>
        <v>0.25236392146435727</v>
      </c>
      <c r="AO27" s="23">
        <f t="shared" si="1"/>
        <v>0.26105052842866106</v>
      </c>
      <c r="AP27" s="23">
        <f t="shared" si="1"/>
        <v>0.26977417545027199</v>
      </c>
      <c r="AQ27" s="23">
        <f t="shared" si="1"/>
        <v>0.27853626627134997</v>
      </c>
      <c r="AR27" s="23">
        <f t="shared" si="1"/>
        <v>0.2873382272935544</v>
      </c>
      <c r="AS27" s="23">
        <f t="shared" si="1"/>
        <v>0.29618150857151349</v>
      </c>
      <c r="AT27" s="23">
        <f t="shared" si="1"/>
        <v>0.30506758483715751</v>
      </c>
      <c r="AU27" s="23">
        <f t="shared" si="1"/>
        <v>0.31399795655652768</v>
      </c>
      <c r="AV27" s="23">
        <f t="shared" si="1"/>
        <v>0.32297415102074611</v>
      </c>
      <c r="AW27" s="23">
        <f t="shared" si="1"/>
        <v>0.33199772347291512</v>
      </c>
      <c r="AX27" s="23">
        <f t="shared" si="1"/>
        <v>0.34107025827279885</v>
      </c>
      <c r="AY27" s="23">
        <f t="shared" si="1"/>
        <v>0.35019337010123047</v>
      </c>
      <c r="AZ27" s="23">
        <f t="shared" si="1"/>
        <v>0.359368705206285</v>
      </c>
      <c r="BA27" s="23">
        <f t="shared" si="1"/>
        <v>0.36859794269336171</v>
      </c>
    </row>
    <row r="28" spans="2:53" x14ac:dyDescent="0.2">
      <c r="B28" s="32"/>
      <c r="C28" s="36"/>
      <c r="D28" s="36" t="s">
        <v>23</v>
      </c>
      <c r="E28" s="36"/>
      <c r="F28" s="36"/>
      <c r="G28" s="75" t="s">
        <v>73</v>
      </c>
      <c r="H28" s="100">
        <f>H33/4</f>
        <v>3.0612244897959183E-2</v>
      </c>
      <c r="I28" s="90" t="s">
        <v>13</v>
      </c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  <c r="AF28" s="23" t="s">
        <v>20</v>
      </c>
      <c r="AG28" s="23">
        <f>AG48/AG35</f>
        <v>0.38799694013217789</v>
      </c>
      <c r="AH28" s="23">
        <f t="shared" ref="AH28:BA28" si="2">AH48/AH35</f>
        <v>0.36805898080203003</v>
      </c>
      <c r="AI28" s="23">
        <f t="shared" si="2"/>
        <v>0.35051570144500233</v>
      </c>
      <c r="AJ28" s="23">
        <f t="shared" si="2"/>
        <v>0.33506850976561081</v>
      </c>
      <c r="AK28" s="23">
        <f t="shared" si="2"/>
        <v>0.32146772113714034</v>
      </c>
      <c r="AL28" s="23">
        <f t="shared" si="2"/>
        <v>0.30950397674064539</v>
      </c>
      <c r="AM28" s="23">
        <f t="shared" si="2"/>
        <v>0.29900138277955185</v>
      </c>
      <c r="AN28" s="23">
        <f t="shared" si="2"/>
        <v>0.28981200745016084</v>
      </c>
      <c r="AO28" s="23">
        <f t="shared" si="2"/>
        <v>0.28181145465684343</v>
      </c>
      <c r="AP28" s="23">
        <f t="shared" si="2"/>
        <v>0.27489529675498348</v>
      </c>
      <c r="AQ28" s="23">
        <f t="shared" si="2"/>
        <v>0.26897619734255168</v>
      </c>
      <c r="AR28" s="23">
        <f t="shared" si="2"/>
        <v>0.26398159277022443</v>
      </c>
      <c r="AS28" s="23">
        <f t="shared" si="2"/>
        <v>0.25985183026644942</v>
      </c>
      <c r="AT28" s="23">
        <f t="shared" si="2"/>
        <v>0.25653868341662861</v>
      </c>
      <c r="AU28" s="23">
        <f t="shared" si="2"/>
        <v>0.25400418375225076</v>
      </c>
      <c r="AV28" s="23">
        <f t="shared" si="2"/>
        <v>0.25221972159005951</v>
      </c>
      <c r="AW28" s="23">
        <f t="shared" si="2"/>
        <v>0.25116538093487051</v>
      </c>
      <c r="AX28" s="23">
        <f t="shared" si="2"/>
        <v>0.25082948294334567</v>
      </c>
      <c r="AY28" s="23">
        <f t="shared" si="2"/>
        <v>0.25120832071525506</v>
      </c>
      <c r="AZ28" s="23">
        <f t="shared" si="2"/>
        <v>0.25230607550669637</v>
      </c>
      <c r="BA28" s="23">
        <f t="shared" si="2"/>
        <v>0.25413491125235477</v>
      </c>
    </row>
    <row r="29" spans="2:53" ht="27" x14ac:dyDescent="0.2">
      <c r="B29" s="32"/>
      <c r="C29" s="36"/>
      <c r="D29" s="36" t="s">
        <v>22</v>
      </c>
      <c r="E29" s="36"/>
      <c r="F29" s="36"/>
      <c r="G29" s="75" t="s">
        <v>74</v>
      </c>
      <c r="H29" s="100">
        <f>H33 *H9/360</f>
        <v>5.2940300132116574E-3</v>
      </c>
      <c r="I29" s="90" t="s">
        <v>13</v>
      </c>
      <c r="J29" s="33"/>
      <c r="K29" s="38"/>
      <c r="L29" s="60"/>
      <c r="M29" s="38"/>
      <c r="N29" s="92">
        <f>H49</f>
        <v>49.999825403875441</v>
      </c>
      <c r="O29" s="93" t="s">
        <v>66</v>
      </c>
      <c r="P29" s="94">
        <f>H50</f>
        <v>2.7456311269200354E-6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  <c r="AF29" s="23" t="s">
        <v>21</v>
      </c>
      <c r="AG29" s="23">
        <f>AG49/AG35</f>
        <v>-0.70259284409957534</v>
      </c>
      <c r="AH29" s="23">
        <f t="shared" ref="AH29:BA29" si="3">AH49/AH35</f>
        <v>-0.65132303201364117</v>
      </c>
      <c r="AI29" s="23">
        <f t="shared" si="3"/>
        <v>-0.60206838061190415</v>
      </c>
      <c r="AJ29" s="23">
        <f t="shared" si="3"/>
        <v>-0.55463282160144955</v>
      </c>
      <c r="AK29" s="23">
        <f t="shared" si="3"/>
        <v>-0.50883414576126051</v>
      </c>
      <c r="AL29" s="23">
        <f t="shared" si="3"/>
        <v>-0.4645033172865714</v>
      </c>
      <c r="AM29" s="23">
        <f t="shared" si="3"/>
        <v>-0.4214835189355397</v>
      </c>
      <c r="AN29" s="23">
        <f t="shared" si="3"/>
        <v>-0.37962906626042142</v>
      </c>
      <c r="AO29" s="23">
        <f t="shared" si="3"/>
        <v>-0.33880427629895676</v>
      </c>
      <c r="AP29" s="23">
        <f t="shared" si="3"/>
        <v>-0.29888234174708417</v>
      </c>
      <c r="AQ29" s="23">
        <f t="shared" si="3"/>
        <v>-0.25974423938148944</v>
      </c>
      <c r="AR29" s="23">
        <f t="shared" si="3"/>
        <v>-0.22127768715565388</v>
      </c>
      <c r="AS29" s="23">
        <f t="shared" si="3"/>
        <v>-0.18337615521661668</v>
      </c>
      <c r="AT29" s="23">
        <f t="shared" si="3"/>
        <v>-0.14593793028526325</v>
      </c>
      <c r="AU29" s="23">
        <f t="shared" si="3"/>
        <v>-0.10886522922875486</v>
      </c>
      <c r="AV29" s="23">
        <f t="shared" si="3"/>
        <v>-7.2063355450628308E-2</v>
      </c>
      <c r="AW29" s="23">
        <f t="shared" si="3"/>
        <v>-3.5439890418300687E-2</v>
      </c>
      <c r="AX29" s="23">
        <f t="shared" si="3"/>
        <v>1.096088098309349E-3</v>
      </c>
      <c r="AY29" s="23">
        <f t="shared" si="3"/>
        <v>3.7634769908976802E-2</v>
      </c>
      <c r="AZ29" s="23">
        <f t="shared" si="3"/>
        <v>7.4266367441649647E-2</v>
      </c>
      <c r="BA29" s="23">
        <f t="shared" si="3"/>
        <v>0.11108187105492046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</row>
    <row r="31" spans="2:53" x14ac:dyDescent="0.2">
      <c r="B31" s="32"/>
      <c r="C31" s="49" t="s">
        <v>49</v>
      </c>
      <c r="D31" s="33"/>
      <c r="E31" s="33"/>
      <c r="F31" s="33"/>
      <c r="G31" s="46"/>
      <c r="H31" s="57"/>
      <c r="I31" s="89"/>
      <c r="J31" s="33"/>
      <c r="K31" s="33"/>
      <c r="L31" s="58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5"/>
      <c r="AQ31" s="23" t="s">
        <v>30</v>
      </c>
    </row>
    <row r="32" spans="2:53" x14ac:dyDescent="0.2">
      <c r="B32" s="32"/>
      <c r="C32" s="36"/>
      <c r="D32" s="36"/>
      <c r="E32" s="36"/>
      <c r="F32" s="36"/>
      <c r="G32" s="75"/>
      <c r="H32" s="59"/>
      <c r="I32" s="90"/>
      <c r="J32" s="33"/>
      <c r="K32" s="38"/>
      <c r="L32" s="6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Q32" s="23">
        <f>H23</f>
        <v>3</v>
      </c>
    </row>
    <row r="33" spans="2:53" x14ac:dyDescent="0.2">
      <c r="B33" s="32"/>
      <c r="C33" s="36"/>
      <c r="D33" s="36" t="s">
        <v>147</v>
      </c>
      <c r="E33" s="36"/>
      <c r="F33" s="36"/>
      <c r="G33" s="75" t="s">
        <v>15</v>
      </c>
      <c r="H33" s="61">
        <f>300/H24</f>
        <v>0.12244897959183673</v>
      </c>
      <c r="I33" s="90" t="s">
        <v>13</v>
      </c>
      <c r="J33" s="33"/>
      <c r="K33" s="38"/>
      <c r="L33" s="62" t="s">
        <v>16</v>
      </c>
      <c r="M33" s="62">
        <f>TAN(2 * PI() * H38)</f>
        <v>3.5901967574513236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F33" s="23" t="s">
        <v>33</v>
      </c>
      <c r="AG33" s="23">
        <f t="shared" ref="AG33:AO33" si="4">AH33-$AQ32</f>
        <v>-30</v>
      </c>
      <c r="AH33" s="23">
        <f t="shared" si="4"/>
        <v>-27</v>
      </c>
      <c r="AI33" s="23">
        <f t="shared" si="4"/>
        <v>-24</v>
      </c>
      <c r="AJ33" s="23">
        <f t="shared" si="4"/>
        <v>-21</v>
      </c>
      <c r="AK33" s="23">
        <f t="shared" si="4"/>
        <v>-18</v>
      </c>
      <c r="AL33" s="23">
        <f t="shared" si="4"/>
        <v>-15</v>
      </c>
      <c r="AM33" s="23">
        <f t="shared" si="4"/>
        <v>-12</v>
      </c>
      <c r="AN33" s="23">
        <f t="shared" si="4"/>
        <v>-9</v>
      </c>
      <c r="AO33" s="23">
        <f t="shared" si="4"/>
        <v>-6</v>
      </c>
      <c r="AP33" s="23">
        <f>-1*$AQ32</f>
        <v>-3</v>
      </c>
      <c r="AQ33" s="23">
        <v>0</v>
      </c>
      <c r="AR33" s="23">
        <f>AQ32</f>
        <v>3</v>
      </c>
      <c r="AS33" s="23">
        <f t="shared" ref="AS33:BA33" si="5">AR33+$AQ32</f>
        <v>6</v>
      </c>
      <c r="AT33" s="23">
        <f t="shared" si="5"/>
        <v>9</v>
      </c>
      <c r="AU33" s="23">
        <f t="shared" si="5"/>
        <v>12</v>
      </c>
      <c r="AV33" s="23">
        <f t="shared" si="5"/>
        <v>15</v>
      </c>
      <c r="AW33" s="23">
        <f t="shared" si="5"/>
        <v>18</v>
      </c>
      <c r="AX33" s="23">
        <f t="shared" si="5"/>
        <v>21</v>
      </c>
      <c r="AY33" s="23">
        <f t="shared" si="5"/>
        <v>24</v>
      </c>
      <c r="AZ33" s="23">
        <f t="shared" si="5"/>
        <v>27</v>
      </c>
      <c r="BA33" s="23">
        <f t="shared" si="5"/>
        <v>30</v>
      </c>
    </row>
    <row r="34" spans="2:53" x14ac:dyDescent="0.2">
      <c r="B34" s="32"/>
      <c r="C34" s="36"/>
      <c r="D34" s="36" t="s">
        <v>25</v>
      </c>
      <c r="E34" s="36"/>
      <c r="F34" s="36"/>
      <c r="G34" s="75" t="s">
        <v>15</v>
      </c>
      <c r="H34" s="61">
        <f>H44+H38</f>
        <v>0.25</v>
      </c>
      <c r="I34" s="90"/>
      <c r="J34" s="33"/>
      <c r="K34" s="38"/>
      <c r="L34" s="62" t="s">
        <v>17</v>
      </c>
      <c r="M34" s="62">
        <f>TAN(2 * PI() * H44)</f>
        <v>0.27853626627134997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3">
        <f t="shared" ref="AG34:AP34" si="6">$AQ34 + AG33*$AQ34/100</f>
        <v>1715</v>
      </c>
      <c r="AH34" s="23">
        <f t="shared" si="6"/>
        <v>1788.5</v>
      </c>
      <c r="AI34" s="23">
        <f t="shared" si="6"/>
        <v>1862</v>
      </c>
      <c r="AJ34" s="23">
        <f t="shared" si="6"/>
        <v>1935.5</v>
      </c>
      <c r="AK34" s="23">
        <f t="shared" si="6"/>
        <v>2009</v>
      </c>
      <c r="AL34" s="23">
        <f t="shared" si="6"/>
        <v>2082.5</v>
      </c>
      <c r="AM34" s="23">
        <f t="shared" si="6"/>
        <v>2156</v>
      </c>
      <c r="AN34" s="23">
        <f t="shared" si="6"/>
        <v>2229.5</v>
      </c>
      <c r="AO34" s="23">
        <f t="shared" si="6"/>
        <v>2303</v>
      </c>
      <c r="AP34" s="23">
        <f t="shared" si="6"/>
        <v>2376.5</v>
      </c>
      <c r="AQ34" s="23">
        <f t="shared" ref="AQ34:BA39" si="7">$H24</f>
        <v>2450</v>
      </c>
      <c r="AR34" s="23">
        <f t="shared" ref="AR34:BA34" si="8">$AQ34 + AR33*$AQ34/100</f>
        <v>2523.5</v>
      </c>
      <c r="AS34" s="23">
        <f t="shared" si="8"/>
        <v>2597</v>
      </c>
      <c r="AT34" s="23">
        <f t="shared" si="8"/>
        <v>2670.5</v>
      </c>
      <c r="AU34" s="23">
        <f t="shared" si="8"/>
        <v>2744</v>
      </c>
      <c r="AV34" s="23">
        <f t="shared" si="8"/>
        <v>2817.5</v>
      </c>
      <c r="AW34" s="23">
        <f t="shared" si="8"/>
        <v>2891</v>
      </c>
      <c r="AX34" s="23">
        <f t="shared" si="8"/>
        <v>2964.5</v>
      </c>
      <c r="AY34" s="23">
        <f t="shared" si="8"/>
        <v>3038</v>
      </c>
      <c r="AZ34" s="23">
        <f t="shared" si="8"/>
        <v>3111.5</v>
      </c>
      <c r="BA34" s="23">
        <f t="shared" si="8"/>
        <v>3185</v>
      </c>
    </row>
    <row r="35" spans="2:53" x14ac:dyDescent="0.2">
      <c r="B35" s="32"/>
      <c r="C35" s="36"/>
      <c r="D35" s="36"/>
      <c r="E35" s="36"/>
      <c r="F35" s="36"/>
      <c r="G35" s="75"/>
      <c r="H35" s="59"/>
      <c r="I35" s="90"/>
      <c r="J35" s="33"/>
      <c r="K35" s="38"/>
      <c r="L35" s="62" t="s">
        <v>20</v>
      </c>
      <c r="M35" s="62">
        <f>H39/H25</f>
        <v>0.26897619734255168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3">
        <f t="shared" ref="AG35:AP39" si="9">$H25</f>
        <v>174.19413355677429</v>
      </c>
      <c r="AH35" s="23">
        <f t="shared" si="9"/>
        <v>174.19413355677429</v>
      </c>
      <c r="AI35" s="23">
        <f t="shared" si="9"/>
        <v>174.19413355677429</v>
      </c>
      <c r="AJ35" s="23">
        <f t="shared" si="9"/>
        <v>174.19413355677429</v>
      </c>
      <c r="AK35" s="23">
        <f t="shared" si="9"/>
        <v>174.19413355677429</v>
      </c>
      <c r="AL35" s="23">
        <f t="shared" si="9"/>
        <v>174.19413355677429</v>
      </c>
      <c r="AM35" s="23">
        <f t="shared" si="9"/>
        <v>174.19413355677429</v>
      </c>
      <c r="AN35" s="23">
        <f t="shared" si="9"/>
        <v>174.19413355677429</v>
      </c>
      <c r="AO35" s="23">
        <f t="shared" si="9"/>
        <v>174.19413355677429</v>
      </c>
      <c r="AP35" s="23">
        <f t="shared" si="9"/>
        <v>174.19413355677429</v>
      </c>
      <c r="AQ35" s="23">
        <f t="shared" si="7"/>
        <v>174.19413355677429</v>
      </c>
      <c r="AR35" s="23">
        <f t="shared" si="7"/>
        <v>174.19413355677429</v>
      </c>
      <c r="AS35" s="23">
        <f t="shared" si="7"/>
        <v>174.19413355677429</v>
      </c>
      <c r="AT35" s="23">
        <f t="shared" si="7"/>
        <v>174.19413355677429</v>
      </c>
      <c r="AU35" s="23">
        <f t="shared" si="7"/>
        <v>174.19413355677429</v>
      </c>
      <c r="AV35" s="23">
        <f t="shared" si="7"/>
        <v>174.19413355677429</v>
      </c>
      <c r="AW35" s="23">
        <f t="shared" si="7"/>
        <v>174.19413355677429</v>
      </c>
      <c r="AX35" s="23">
        <f t="shared" si="7"/>
        <v>174.19413355677429</v>
      </c>
      <c r="AY35" s="23">
        <f t="shared" si="7"/>
        <v>174.19413355677429</v>
      </c>
      <c r="AZ35" s="23">
        <f t="shared" si="7"/>
        <v>174.19413355677429</v>
      </c>
      <c r="BA35" s="23">
        <f t="shared" si="7"/>
        <v>174.19413355677429</v>
      </c>
    </row>
    <row r="36" spans="2:53" x14ac:dyDescent="0.2">
      <c r="B36" s="32"/>
      <c r="C36" s="36" t="s">
        <v>50</v>
      </c>
      <c r="D36" s="36"/>
      <c r="E36" s="36"/>
      <c r="F36" s="36"/>
      <c r="G36" s="75"/>
      <c r="H36" s="59"/>
      <c r="I36" s="90"/>
      <c r="J36" s="33"/>
      <c r="K36" s="38"/>
      <c r="L36" s="62" t="s">
        <v>21</v>
      </c>
      <c r="M36" s="62">
        <f>H40/H25</f>
        <v>-0.25974423938148944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3">
        <f t="shared" si="9"/>
        <v>694.47321280560152</v>
      </c>
      <c r="AH36" s="23">
        <f t="shared" si="9"/>
        <v>694.47321280560152</v>
      </c>
      <c r="AI36" s="23">
        <f t="shared" si="9"/>
        <v>694.47321280560152</v>
      </c>
      <c r="AJ36" s="23">
        <f t="shared" si="9"/>
        <v>694.47321280560152</v>
      </c>
      <c r="AK36" s="23">
        <f t="shared" si="9"/>
        <v>694.47321280560152</v>
      </c>
      <c r="AL36" s="23">
        <f t="shared" si="9"/>
        <v>694.47321280560152</v>
      </c>
      <c r="AM36" s="23">
        <f t="shared" si="9"/>
        <v>694.47321280560152</v>
      </c>
      <c r="AN36" s="23">
        <f t="shared" si="9"/>
        <v>694.47321280560152</v>
      </c>
      <c r="AO36" s="23">
        <f t="shared" si="9"/>
        <v>694.47321280560152</v>
      </c>
      <c r="AP36" s="23">
        <f t="shared" si="9"/>
        <v>694.47321280560152</v>
      </c>
      <c r="AQ36" s="23">
        <f t="shared" si="7"/>
        <v>694.47321280560152</v>
      </c>
      <c r="AR36" s="23">
        <f t="shared" si="7"/>
        <v>694.47321280560152</v>
      </c>
      <c r="AS36" s="23">
        <f t="shared" si="7"/>
        <v>694.47321280560152</v>
      </c>
      <c r="AT36" s="23">
        <f t="shared" si="7"/>
        <v>694.47321280560152</v>
      </c>
      <c r="AU36" s="23">
        <f t="shared" si="7"/>
        <v>694.47321280560152</v>
      </c>
      <c r="AV36" s="23">
        <f t="shared" si="7"/>
        <v>694.47321280560152</v>
      </c>
      <c r="AW36" s="23">
        <f t="shared" si="7"/>
        <v>694.47321280560152</v>
      </c>
      <c r="AX36" s="23">
        <f t="shared" si="7"/>
        <v>694.47321280560152</v>
      </c>
      <c r="AY36" s="23">
        <f t="shared" si="7"/>
        <v>694.47321280560152</v>
      </c>
      <c r="AZ36" s="23">
        <f t="shared" si="7"/>
        <v>694.47321280560152</v>
      </c>
      <c r="BA36" s="23">
        <f t="shared" si="7"/>
        <v>694.47321280560152</v>
      </c>
    </row>
    <row r="37" spans="2:53" ht="27" x14ac:dyDescent="0.2">
      <c r="B37" s="32"/>
      <c r="C37" s="36"/>
      <c r="D37" s="36" t="s">
        <v>7</v>
      </c>
      <c r="E37" s="36"/>
      <c r="F37" s="36"/>
      <c r="G37" s="75" t="s">
        <v>65</v>
      </c>
      <c r="H37" s="61">
        <f>H28-H29</f>
        <v>2.5318214884747524E-2</v>
      </c>
      <c r="I37" s="90" t="s">
        <v>13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  <c r="AG37" s="23">
        <f t="shared" si="9"/>
        <v>0</v>
      </c>
      <c r="AH37" s="23">
        <f t="shared" si="9"/>
        <v>0</v>
      </c>
      <c r="AI37" s="23">
        <f t="shared" si="9"/>
        <v>0</v>
      </c>
      <c r="AJ37" s="23">
        <f t="shared" si="9"/>
        <v>0</v>
      </c>
      <c r="AK37" s="23">
        <f t="shared" si="9"/>
        <v>0</v>
      </c>
      <c r="AL37" s="23">
        <f t="shared" si="9"/>
        <v>0</v>
      </c>
      <c r="AM37" s="23">
        <f t="shared" si="9"/>
        <v>0</v>
      </c>
      <c r="AN37" s="23">
        <f t="shared" si="9"/>
        <v>0</v>
      </c>
      <c r="AO37" s="23">
        <f t="shared" si="9"/>
        <v>0</v>
      </c>
      <c r="AP37" s="23">
        <f t="shared" si="9"/>
        <v>0</v>
      </c>
      <c r="AQ37" s="23">
        <f t="shared" si="7"/>
        <v>0</v>
      </c>
      <c r="AR37" s="23">
        <f t="shared" si="7"/>
        <v>0</v>
      </c>
      <c r="AS37" s="23">
        <f t="shared" si="7"/>
        <v>0</v>
      </c>
      <c r="AT37" s="23">
        <f t="shared" si="7"/>
        <v>0</v>
      </c>
      <c r="AU37" s="23">
        <f t="shared" si="7"/>
        <v>0</v>
      </c>
      <c r="AV37" s="23">
        <f t="shared" si="7"/>
        <v>0</v>
      </c>
      <c r="AW37" s="23">
        <f t="shared" si="7"/>
        <v>0</v>
      </c>
      <c r="AX37" s="23">
        <f t="shared" si="7"/>
        <v>0</v>
      </c>
      <c r="AY37" s="23">
        <f t="shared" si="7"/>
        <v>0</v>
      </c>
      <c r="AZ37" s="23">
        <f t="shared" si="7"/>
        <v>0</v>
      </c>
      <c r="BA37" s="23">
        <f t="shared" si="7"/>
        <v>0</v>
      </c>
    </row>
    <row r="38" spans="2:53" x14ac:dyDescent="0.2">
      <c r="B38" s="32"/>
      <c r="C38" s="36"/>
      <c r="D38" s="36" t="s">
        <v>19</v>
      </c>
      <c r="E38" s="36"/>
      <c r="F38" s="36"/>
      <c r="G38" s="75"/>
      <c r="H38" s="61">
        <f>H37/H33</f>
        <v>0.20676542155877145</v>
      </c>
      <c r="I38" s="90" t="s">
        <v>18</v>
      </c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  <c r="AG38" s="23">
        <f t="shared" si="9"/>
        <v>3.0612244897959183E-2</v>
      </c>
      <c r="AH38" s="23">
        <f t="shared" si="9"/>
        <v>3.0612244897959183E-2</v>
      </c>
      <c r="AI38" s="23">
        <f t="shared" si="9"/>
        <v>3.0612244897959183E-2</v>
      </c>
      <c r="AJ38" s="23">
        <f t="shared" si="9"/>
        <v>3.0612244897959183E-2</v>
      </c>
      <c r="AK38" s="23">
        <f t="shared" si="9"/>
        <v>3.0612244897959183E-2</v>
      </c>
      <c r="AL38" s="23">
        <f t="shared" si="9"/>
        <v>3.0612244897959183E-2</v>
      </c>
      <c r="AM38" s="23">
        <f t="shared" si="9"/>
        <v>3.0612244897959183E-2</v>
      </c>
      <c r="AN38" s="23">
        <f t="shared" si="9"/>
        <v>3.0612244897959183E-2</v>
      </c>
      <c r="AO38" s="23">
        <f t="shared" si="9"/>
        <v>3.0612244897959183E-2</v>
      </c>
      <c r="AP38" s="23">
        <f t="shared" si="9"/>
        <v>3.0612244897959183E-2</v>
      </c>
      <c r="AQ38" s="23">
        <f t="shared" si="7"/>
        <v>3.0612244897959183E-2</v>
      </c>
      <c r="AR38" s="23">
        <f t="shared" si="7"/>
        <v>3.0612244897959183E-2</v>
      </c>
      <c r="AS38" s="23">
        <f t="shared" si="7"/>
        <v>3.0612244897959183E-2</v>
      </c>
      <c r="AT38" s="23">
        <f t="shared" si="7"/>
        <v>3.0612244897959183E-2</v>
      </c>
      <c r="AU38" s="23">
        <f t="shared" si="7"/>
        <v>3.0612244897959183E-2</v>
      </c>
      <c r="AV38" s="23">
        <f t="shared" si="7"/>
        <v>3.0612244897959183E-2</v>
      </c>
      <c r="AW38" s="23">
        <f t="shared" si="7"/>
        <v>3.0612244897959183E-2</v>
      </c>
      <c r="AX38" s="23">
        <f t="shared" si="7"/>
        <v>3.0612244897959183E-2</v>
      </c>
      <c r="AY38" s="23">
        <f t="shared" si="7"/>
        <v>3.0612244897959183E-2</v>
      </c>
      <c r="AZ38" s="23">
        <f t="shared" si="7"/>
        <v>3.0612244897959183E-2</v>
      </c>
      <c r="BA38" s="23">
        <f t="shared" si="7"/>
        <v>3.0612244897959183E-2</v>
      </c>
    </row>
    <row r="39" spans="2:53" ht="27" x14ac:dyDescent="0.2">
      <c r="B39" s="32"/>
      <c r="C39" s="36"/>
      <c r="D39" s="36" t="s">
        <v>10</v>
      </c>
      <c r="E39" s="36"/>
      <c r="F39" s="36"/>
      <c r="G39" s="75" t="s">
        <v>70</v>
      </c>
      <c r="H39" s="59">
        <f>H25*(H26*H25 + H26*H25*M33*M33)/(H25*H25 + H26*H26*M33*M33)</f>
        <v>46.854075643481721</v>
      </c>
      <c r="I39" s="90" t="s">
        <v>14</v>
      </c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  <c r="AF39" s="23" t="s">
        <v>56</v>
      </c>
      <c r="AG39" s="23">
        <f t="shared" si="9"/>
        <v>5.2940300132116574E-3</v>
      </c>
      <c r="AH39" s="23">
        <f t="shared" si="9"/>
        <v>5.2940300132116574E-3</v>
      </c>
      <c r="AI39" s="23">
        <f t="shared" si="9"/>
        <v>5.2940300132116574E-3</v>
      </c>
      <c r="AJ39" s="23">
        <f t="shared" si="9"/>
        <v>5.2940300132116574E-3</v>
      </c>
      <c r="AK39" s="23">
        <f t="shared" si="9"/>
        <v>5.2940300132116574E-3</v>
      </c>
      <c r="AL39" s="23">
        <f t="shared" si="9"/>
        <v>5.2940300132116574E-3</v>
      </c>
      <c r="AM39" s="23">
        <f t="shared" si="9"/>
        <v>5.2940300132116574E-3</v>
      </c>
      <c r="AN39" s="23">
        <f t="shared" si="9"/>
        <v>5.2940300132116574E-3</v>
      </c>
      <c r="AO39" s="23">
        <f t="shared" si="9"/>
        <v>5.2940300132116574E-3</v>
      </c>
      <c r="AP39" s="23">
        <f t="shared" si="9"/>
        <v>5.2940300132116574E-3</v>
      </c>
      <c r="AQ39" s="23">
        <f t="shared" si="7"/>
        <v>5.2940300132116574E-3</v>
      </c>
      <c r="AR39" s="23">
        <f t="shared" si="7"/>
        <v>5.2940300132116574E-3</v>
      </c>
      <c r="AS39" s="23">
        <f t="shared" si="7"/>
        <v>5.2940300132116574E-3</v>
      </c>
      <c r="AT39" s="23">
        <f t="shared" si="7"/>
        <v>5.2940300132116574E-3</v>
      </c>
      <c r="AU39" s="23">
        <f t="shared" si="7"/>
        <v>5.2940300132116574E-3</v>
      </c>
      <c r="AV39" s="23">
        <f t="shared" si="7"/>
        <v>5.2940300132116574E-3</v>
      </c>
      <c r="AW39" s="23">
        <f t="shared" si="7"/>
        <v>5.2940300132116574E-3</v>
      </c>
      <c r="AX39" s="23">
        <f t="shared" si="7"/>
        <v>5.2940300132116574E-3</v>
      </c>
      <c r="AY39" s="23">
        <f t="shared" si="7"/>
        <v>5.2940300132116574E-3</v>
      </c>
      <c r="AZ39" s="23">
        <f t="shared" si="7"/>
        <v>5.2940300132116574E-3</v>
      </c>
      <c r="BA39" s="23">
        <f t="shared" si="7"/>
        <v>5.2940300132116574E-3</v>
      </c>
    </row>
    <row r="40" spans="2:53" ht="27" x14ac:dyDescent="0.2">
      <c r="B40" s="32"/>
      <c r="C40" s="36"/>
      <c r="D40" s="36"/>
      <c r="E40" s="36"/>
      <c r="F40" s="36"/>
      <c r="G40" s="75" t="s">
        <v>76</v>
      </c>
      <c r="H40" s="59">
        <f>H25*(H25*H25*M33 - H26*H26*M33)/(H25*H25 + H26*H26*M33*M33)</f>
        <v>-45.245922725421927</v>
      </c>
      <c r="I40" s="90" t="s">
        <v>14</v>
      </c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</row>
    <row r="41" spans="2:53" x14ac:dyDescent="0.2">
      <c r="B41" s="32"/>
      <c r="C41" s="36"/>
      <c r="D41" s="36"/>
      <c r="E41" s="36"/>
      <c r="F41" s="36"/>
      <c r="G41" s="75"/>
      <c r="H41" s="59"/>
      <c r="I41" s="90"/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</row>
    <row r="42" spans="2:53" x14ac:dyDescent="0.2">
      <c r="B42" s="32"/>
      <c r="C42" s="36" t="s">
        <v>51</v>
      </c>
      <c r="D42" s="36"/>
      <c r="E42" s="36"/>
      <c r="F42" s="36"/>
      <c r="G42" s="75"/>
      <c r="H42" s="59"/>
      <c r="I42" s="90"/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  <c r="AG42" s="23">
        <f>300/AG34</f>
        <v>0.1749271137026239</v>
      </c>
      <c r="AH42" s="23">
        <f t="shared" ref="AH42:BA42" si="10">300/AH34</f>
        <v>0.16773832820799553</v>
      </c>
      <c r="AI42" s="23">
        <f t="shared" si="10"/>
        <v>0.1611170784103115</v>
      </c>
      <c r="AJ42" s="23">
        <f t="shared" si="10"/>
        <v>0.15499870834409712</v>
      </c>
      <c r="AK42" s="23">
        <f t="shared" si="10"/>
        <v>0.14932802389248381</v>
      </c>
      <c r="AL42" s="23">
        <f t="shared" si="10"/>
        <v>0.14405762304921968</v>
      </c>
      <c r="AM42" s="23">
        <f t="shared" si="10"/>
        <v>0.1391465677179963</v>
      </c>
      <c r="AN42" s="23">
        <f t="shared" si="10"/>
        <v>0.13455931823278763</v>
      </c>
      <c r="AO42" s="23">
        <f t="shared" si="10"/>
        <v>0.13026487190620928</v>
      </c>
      <c r="AP42" s="23">
        <f t="shared" si="10"/>
        <v>0.12623606143488322</v>
      </c>
      <c r="AQ42" s="23">
        <f t="shared" si="10"/>
        <v>0.12244897959183673</v>
      </c>
      <c r="AR42" s="23">
        <f t="shared" si="10"/>
        <v>0.11888250445809392</v>
      </c>
      <c r="AS42" s="23">
        <f t="shared" si="10"/>
        <v>0.11551790527531768</v>
      </c>
      <c r="AT42" s="23">
        <f t="shared" si="10"/>
        <v>0.11233851338700618</v>
      </c>
      <c r="AU42" s="23">
        <f t="shared" si="10"/>
        <v>0.10932944606413994</v>
      </c>
      <c r="AV42" s="23">
        <f t="shared" si="10"/>
        <v>0.1064773735581189</v>
      </c>
      <c r="AW42" s="23">
        <f t="shared" si="10"/>
        <v>0.10377032168799723</v>
      </c>
      <c r="AX42" s="23">
        <f t="shared" si="10"/>
        <v>0.1011975037949064</v>
      </c>
      <c r="AY42" s="23">
        <f t="shared" si="10"/>
        <v>9.8749177090190918E-2</v>
      </c>
      <c r="AZ42" s="23">
        <f t="shared" si="10"/>
        <v>9.6416519363650977E-2</v>
      </c>
      <c r="BA42" s="23">
        <f t="shared" si="10"/>
        <v>9.4191522762951341E-2</v>
      </c>
    </row>
    <row r="43" spans="2:53" ht="27" x14ac:dyDescent="0.2">
      <c r="B43" s="32"/>
      <c r="C43" s="36"/>
      <c r="D43" s="36" t="s">
        <v>7</v>
      </c>
      <c r="E43" s="36"/>
      <c r="F43" s="36"/>
      <c r="G43" s="75" t="s">
        <v>64</v>
      </c>
      <c r="H43" s="61">
        <f>H29</f>
        <v>5.2940300132116574E-3</v>
      </c>
      <c r="I43" s="90" t="s">
        <v>13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  <c r="AG43" s="23">
        <f>AG54+AG47</f>
        <v>0.17499999999999999</v>
      </c>
      <c r="AH43" s="23">
        <f t="shared" ref="AH43:BA43" si="11">AH54+AH47</f>
        <v>0.1825</v>
      </c>
      <c r="AI43" s="23">
        <f t="shared" si="11"/>
        <v>0.18999999999999997</v>
      </c>
      <c r="AJ43" s="23">
        <f t="shared" si="11"/>
        <v>0.19750000000000001</v>
      </c>
      <c r="AK43" s="23">
        <f t="shared" si="11"/>
        <v>0.20499999999999999</v>
      </c>
      <c r="AL43" s="23">
        <f t="shared" si="11"/>
        <v>0.21249999999999999</v>
      </c>
      <c r="AM43" s="23">
        <f t="shared" si="11"/>
        <v>0.21999999999999997</v>
      </c>
      <c r="AN43" s="23">
        <f t="shared" si="11"/>
        <v>0.22749999999999998</v>
      </c>
      <c r="AO43" s="23">
        <f t="shared" si="11"/>
        <v>0.23500000000000001</v>
      </c>
      <c r="AP43" s="23">
        <f t="shared" si="11"/>
        <v>0.24249999999999999</v>
      </c>
      <c r="AQ43" s="23">
        <f t="shared" si="11"/>
        <v>0.25</v>
      </c>
      <c r="AR43" s="23">
        <f t="shared" si="11"/>
        <v>0.25749999999999995</v>
      </c>
      <c r="AS43" s="23">
        <f t="shared" si="11"/>
        <v>0.26499999999999996</v>
      </c>
      <c r="AT43" s="23">
        <f t="shared" si="11"/>
        <v>0.27249999999999996</v>
      </c>
      <c r="AU43" s="23">
        <f t="shared" si="11"/>
        <v>0.27999999999999997</v>
      </c>
      <c r="AV43" s="23">
        <f t="shared" si="11"/>
        <v>0.28749999999999998</v>
      </c>
      <c r="AW43" s="23">
        <f t="shared" si="11"/>
        <v>0.29499999999999998</v>
      </c>
      <c r="AX43" s="23">
        <f t="shared" si="11"/>
        <v>0.30249999999999999</v>
      </c>
      <c r="AY43" s="23">
        <f t="shared" si="11"/>
        <v>0.30999999999999994</v>
      </c>
      <c r="AZ43" s="23">
        <f t="shared" si="11"/>
        <v>0.3175</v>
      </c>
      <c r="BA43" s="23">
        <f t="shared" si="11"/>
        <v>0.32499999999999996</v>
      </c>
    </row>
    <row r="44" spans="2:53" x14ac:dyDescent="0.2">
      <c r="B44" s="32"/>
      <c r="C44" s="36"/>
      <c r="D44" s="36" t="s">
        <v>19</v>
      </c>
      <c r="E44" s="36"/>
      <c r="F44" s="36"/>
      <c r="G44" s="75"/>
      <c r="H44" s="61">
        <f>H43/H33</f>
        <v>4.3234578441228536E-2</v>
      </c>
      <c r="I44" s="90" t="s">
        <v>18</v>
      </c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</row>
    <row r="45" spans="2:53" ht="27" x14ac:dyDescent="0.2">
      <c r="B45" s="32"/>
      <c r="C45" s="36"/>
      <c r="D45" s="36" t="s">
        <v>10</v>
      </c>
      <c r="E45" s="36"/>
      <c r="F45" s="36"/>
      <c r="G45" s="75" t="s">
        <v>77</v>
      </c>
      <c r="H45" s="59">
        <v>0</v>
      </c>
      <c r="I45" s="90" t="s">
        <v>14</v>
      </c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</row>
    <row r="46" spans="2:53" ht="27" x14ac:dyDescent="0.2">
      <c r="B46" s="32"/>
      <c r="C46" s="36"/>
      <c r="D46" s="36"/>
      <c r="E46" s="36"/>
      <c r="F46" s="36"/>
      <c r="G46" s="75" t="s">
        <v>78</v>
      </c>
      <c r="H46" s="59">
        <f>H25*(H25*H25*M34 - H27*H27*M34)/(H25*H25 + H27*H27*M34*M34)</f>
        <v>48.519383567276783</v>
      </c>
      <c r="I46" s="90" t="s">
        <v>14</v>
      </c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3">
        <f>AG38-AG39</f>
        <v>2.5318214884747524E-2</v>
      </c>
      <c r="AH46" s="23">
        <f t="shared" ref="AH46:BA46" si="12">AH38-AH39</f>
        <v>2.5318214884747524E-2</v>
      </c>
      <c r="AI46" s="23">
        <f t="shared" si="12"/>
        <v>2.5318214884747524E-2</v>
      </c>
      <c r="AJ46" s="23">
        <f t="shared" si="12"/>
        <v>2.5318214884747524E-2</v>
      </c>
      <c r="AK46" s="23">
        <f t="shared" si="12"/>
        <v>2.5318214884747524E-2</v>
      </c>
      <c r="AL46" s="23">
        <f t="shared" si="12"/>
        <v>2.5318214884747524E-2</v>
      </c>
      <c r="AM46" s="23">
        <f t="shared" si="12"/>
        <v>2.5318214884747524E-2</v>
      </c>
      <c r="AN46" s="23">
        <f t="shared" si="12"/>
        <v>2.5318214884747524E-2</v>
      </c>
      <c r="AO46" s="23">
        <f t="shared" si="12"/>
        <v>2.5318214884747524E-2</v>
      </c>
      <c r="AP46" s="23">
        <f t="shared" si="12"/>
        <v>2.5318214884747524E-2</v>
      </c>
      <c r="AQ46" s="23">
        <f t="shared" si="12"/>
        <v>2.5318214884747524E-2</v>
      </c>
      <c r="AR46" s="23">
        <f t="shared" si="12"/>
        <v>2.5318214884747524E-2</v>
      </c>
      <c r="AS46" s="23">
        <f t="shared" si="12"/>
        <v>2.5318214884747524E-2</v>
      </c>
      <c r="AT46" s="23">
        <f t="shared" si="12"/>
        <v>2.5318214884747524E-2</v>
      </c>
      <c r="AU46" s="23">
        <f t="shared" si="12"/>
        <v>2.5318214884747524E-2</v>
      </c>
      <c r="AV46" s="23">
        <f t="shared" si="12"/>
        <v>2.5318214884747524E-2</v>
      </c>
      <c r="AW46" s="23">
        <f t="shared" si="12"/>
        <v>2.5318214884747524E-2</v>
      </c>
      <c r="AX46" s="23">
        <f t="shared" si="12"/>
        <v>2.5318214884747524E-2</v>
      </c>
      <c r="AY46" s="23">
        <f t="shared" si="12"/>
        <v>2.5318214884747524E-2</v>
      </c>
      <c r="AZ46" s="23">
        <f t="shared" si="12"/>
        <v>2.5318214884747524E-2</v>
      </c>
      <c r="BA46" s="23">
        <f t="shared" si="12"/>
        <v>2.5318214884747524E-2</v>
      </c>
    </row>
    <row r="47" spans="2:53" x14ac:dyDescent="0.2">
      <c r="B47" s="32"/>
      <c r="C47" s="36"/>
      <c r="D47" s="36"/>
      <c r="E47" s="36"/>
      <c r="F47" s="36"/>
      <c r="G47" s="75"/>
      <c r="H47" s="59"/>
      <c r="I47" s="90"/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G47" s="23">
        <f>AG46/AG42</f>
        <v>0.14473579509114001</v>
      </c>
      <c r="AH47" s="23">
        <f t="shared" ref="AH47:BA47" si="13">AH46/AH42</f>
        <v>0.15093875773790316</v>
      </c>
      <c r="AI47" s="23">
        <f t="shared" si="13"/>
        <v>0.15714172038466628</v>
      </c>
      <c r="AJ47" s="23">
        <f t="shared" si="13"/>
        <v>0.16334468303142946</v>
      </c>
      <c r="AK47" s="23">
        <f t="shared" si="13"/>
        <v>0.16954764567819258</v>
      </c>
      <c r="AL47" s="23">
        <f t="shared" si="13"/>
        <v>0.17575060832495573</v>
      </c>
      <c r="AM47" s="23">
        <f t="shared" si="13"/>
        <v>0.18195357097171885</v>
      </c>
      <c r="AN47" s="23">
        <f t="shared" si="13"/>
        <v>0.188156533618482</v>
      </c>
      <c r="AO47" s="23">
        <f t="shared" si="13"/>
        <v>0.19435949626524518</v>
      </c>
      <c r="AP47" s="23">
        <f t="shared" si="13"/>
        <v>0.2005624589120083</v>
      </c>
      <c r="AQ47" s="23">
        <f t="shared" si="13"/>
        <v>0.20676542155877145</v>
      </c>
      <c r="AR47" s="23">
        <f t="shared" si="13"/>
        <v>0.21296838420553457</v>
      </c>
      <c r="AS47" s="23">
        <f t="shared" si="13"/>
        <v>0.21917134685229772</v>
      </c>
      <c r="AT47" s="23">
        <f t="shared" si="13"/>
        <v>0.22537430949906087</v>
      </c>
      <c r="AU47" s="23">
        <f t="shared" si="13"/>
        <v>0.23157727214582402</v>
      </c>
      <c r="AV47" s="23">
        <f t="shared" si="13"/>
        <v>0.23778023479258717</v>
      </c>
      <c r="AW47" s="23">
        <f t="shared" si="13"/>
        <v>0.24398319743935032</v>
      </c>
      <c r="AX47" s="23">
        <f t="shared" si="13"/>
        <v>0.25018616008611344</v>
      </c>
      <c r="AY47" s="23">
        <f t="shared" si="13"/>
        <v>0.25638912273287656</v>
      </c>
      <c r="AZ47" s="23">
        <f t="shared" si="13"/>
        <v>0.26259208537963974</v>
      </c>
      <c r="BA47" s="23">
        <f t="shared" si="13"/>
        <v>0.26879504802640286</v>
      </c>
    </row>
    <row r="48" spans="2:53" x14ac:dyDescent="0.2">
      <c r="B48" s="32"/>
      <c r="C48" s="36"/>
      <c r="D48" s="36"/>
      <c r="E48" s="36"/>
      <c r="F48" s="36"/>
      <c r="G48" s="75"/>
      <c r="H48" s="59"/>
      <c r="I48" s="90"/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G48" s="23">
        <f t="shared" ref="AG48:BA48" si="14">AG35*(AG36*AG35 + AG36*AG35*AG26*AG26)/(AG35*AG35 + AG36*AG36*AG26*AG26)</f>
        <v>67.586790809004356</v>
      </c>
      <c r="AH48" s="23">
        <f t="shared" si="14"/>
        <v>64.113715258599044</v>
      </c>
      <c r="AI48" s="23">
        <f t="shared" si="14"/>
        <v>61.057778911257159</v>
      </c>
      <c r="AJ48" s="23">
        <f t="shared" si="14"/>
        <v>58.366968740780145</v>
      </c>
      <c r="AK48" s="23">
        <f t="shared" si="14"/>
        <v>55.997791149954899</v>
      </c>
      <c r="AL48" s="23">
        <f t="shared" si="14"/>
        <v>53.913777060712746</v>
      </c>
      <c r="AM48" s="23">
        <f t="shared" si="14"/>
        <v>52.084286805561447</v>
      </c>
      <c r="AN48" s="23">
        <f t="shared" si="14"/>
        <v>50.483551532130186</v>
      </c>
      <c r="AO48" s="23">
        <f t="shared" si="14"/>
        <v>49.089902170323022</v>
      </c>
      <c r="AP48" s="23">
        <f t="shared" si="14"/>
        <v>47.885148037066692</v>
      </c>
      <c r="AQ48" s="23">
        <f t="shared" si="14"/>
        <v>46.854075643481721</v>
      </c>
      <c r="AR48" s="23">
        <f t="shared" si="14"/>
        <v>45.984044827546477</v>
      </c>
      <c r="AS48" s="23">
        <f t="shared" si="14"/>
        <v>45.264664426406135</v>
      </c>
      <c r="AT48" s="23">
        <f t="shared" si="14"/>
        <v>44.687533681555237</v>
      </c>
      <c r="AU48" s="23">
        <f t="shared" si="14"/>
        <v>44.246038708519002</v>
      </c>
      <c r="AV48" s="23">
        <f t="shared" si="14"/>
        <v>43.935195868311254</v>
      </c>
      <c r="AW48" s="23">
        <f t="shared" si="14"/>
        <v>43.751535911406926</v>
      </c>
      <c r="AX48" s="23">
        <f t="shared" si="14"/>
        <v>43.693024451809798</v>
      </c>
      <c r="AY48" s="23">
        <f t="shared" si="14"/>
        <v>43.759015769246126</v>
      </c>
      <c r="AZ48" s="23">
        <f t="shared" si="14"/>
        <v>43.950238213999043</v>
      </c>
      <c r="BA48" s="23">
        <f t="shared" si="14"/>
        <v>44.268810672131664</v>
      </c>
    </row>
    <row r="49" spans="2:63" x14ac:dyDescent="0.2">
      <c r="B49" s="32"/>
      <c r="C49" s="36"/>
      <c r="D49" s="36" t="s">
        <v>55</v>
      </c>
      <c r="E49" s="36"/>
      <c r="F49" s="36"/>
      <c r="G49" s="75" t="s">
        <v>79</v>
      </c>
      <c r="H49" s="67">
        <f>H25*(M34*M34*M35)/((M34+M36)*(M34+M36) + M35*M35)</f>
        <v>49.999825403875441</v>
      </c>
      <c r="I49" s="90" t="s">
        <v>14</v>
      </c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  <c r="AG49" s="23">
        <f t="shared" ref="AG49:BA49" si="15">AG35*(AG35*AG35*AG26 - AG36*AG36*AG26)/(AG35*AG35 + AG36*AG36*AG26*AG26)</f>
        <v>-122.38755172111532</v>
      </c>
      <c r="AH49" s="23">
        <f t="shared" si="15"/>
        <v>-113.45665122718739</v>
      </c>
      <c r="AI49" s="23">
        <f t="shared" si="15"/>
        <v>-104.87677990262084</v>
      </c>
      <c r="AJ49" s="23">
        <f t="shared" si="15"/>
        <v>-96.613783801013469</v>
      </c>
      <c r="AK49" s="23">
        <f t="shared" si="15"/>
        <v>-88.635923144984176</v>
      </c>
      <c r="AL49" s="23">
        <f t="shared" si="15"/>
        <v>-80.913752888981719</v>
      </c>
      <c r="AM49" s="23">
        <f t="shared" si="15"/>
        <v>-73.419956389436607</v>
      </c>
      <c r="AN49" s="23">
        <f t="shared" si="15"/>
        <v>-66.129156270201364</v>
      </c>
      <c r="AO49" s="23">
        <f t="shared" si="15"/>
        <v>-59.017717355226729</v>
      </c>
      <c r="AP49" s="23">
        <f t="shared" si="15"/>
        <v>-52.063550556053038</v>
      </c>
      <c r="AQ49" s="23">
        <f t="shared" si="15"/>
        <v>-45.245922725421927</v>
      </c>
      <c r="AR49" s="23">
        <f t="shared" si="15"/>
        <v>-38.545274989526092</v>
      </c>
      <c r="AS49" s="23">
        <f t="shared" si="15"/>
        <v>-31.943050472931098</v>
      </c>
      <c r="AT49" s="23">
        <f t="shared" si="15"/>
        <v>-25.421531319110361</v>
      </c>
      <c r="AU49" s="23">
        <f t="shared" si="15"/>
        <v>-18.963684279962571</v>
      </c>
      <c r="AV49" s="23">
        <f t="shared" si="15"/>
        <v>-12.553013763916045</v>
      </c>
      <c r="AW49" s="23">
        <f t="shared" si="15"/>
        <v>-6.1734210047629157</v>
      </c>
      <c r="AX49" s="23">
        <f t="shared" si="15"/>
        <v>0.19093211658688949</v>
      </c>
      <c r="AY49" s="23">
        <f t="shared" si="15"/>
        <v>6.555756135902775</v>
      </c>
      <c r="AZ49" s="23">
        <f t="shared" si="15"/>
        <v>12.936765528907191</v>
      </c>
      <c r="BA49" s="23">
        <f t="shared" si="15"/>
        <v>19.349810282277193</v>
      </c>
    </row>
    <row r="50" spans="2:63" x14ac:dyDescent="0.2">
      <c r="B50" s="32"/>
      <c r="C50" s="36"/>
      <c r="D50" s="36"/>
      <c r="E50" s="36"/>
      <c r="F50" s="36"/>
      <c r="G50" s="75" t="s">
        <v>80</v>
      </c>
      <c r="H50" s="68">
        <f>H25*(M34*M35*M35+M34*M34*M36)/((M34+M36)*(M34+M36)+M35*M35)</f>
        <v>2.7456311269200354E-6</v>
      </c>
      <c r="I50" s="90" t="s">
        <v>14</v>
      </c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</row>
    <row r="51" spans="2:63" x14ac:dyDescent="0.2">
      <c r="B51" s="32"/>
      <c r="C51" s="36"/>
      <c r="D51" s="36"/>
      <c r="E51" s="36"/>
      <c r="F51" s="36"/>
      <c r="G51" s="75"/>
      <c r="H51" s="59"/>
      <c r="I51" s="90"/>
      <c r="J51" s="33"/>
      <c r="K51" s="38"/>
      <c r="L51" s="6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5"/>
    </row>
    <row r="52" spans="2:63" x14ac:dyDescent="0.2">
      <c r="B52" s="32"/>
      <c r="C52" s="36"/>
      <c r="D52" s="36"/>
      <c r="E52" s="36"/>
      <c r="F52" s="36"/>
      <c r="G52" s="75" t="s">
        <v>32</v>
      </c>
      <c r="H52" s="59">
        <f>SQRT(H49*H49 + H50*H50)</f>
        <v>49.999825403875519</v>
      </c>
      <c r="I52" s="90" t="s">
        <v>14</v>
      </c>
      <c r="J52" s="33"/>
      <c r="K52" s="38"/>
      <c r="L52" s="6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5"/>
    </row>
    <row r="53" spans="2:63" x14ac:dyDescent="0.2">
      <c r="B53" s="32"/>
      <c r="C53" s="36"/>
      <c r="D53" s="36"/>
      <c r="E53" s="36"/>
      <c r="F53" s="36"/>
      <c r="G53" s="75"/>
      <c r="H53" s="59"/>
      <c r="I53" s="90"/>
      <c r="J53" s="33"/>
      <c r="K53" s="38"/>
      <c r="L53" s="60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G53" s="23">
        <f>AG39</f>
        <v>5.2940300132116574E-3</v>
      </c>
      <c r="AH53" s="23">
        <f t="shared" ref="AH53:BA53" si="16">AH39</f>
        <v>5.2940300132116574E-3</v>
      </c>
      <c r="AI53" s="23">
        <f t="shared" si="16"/>
        <v>5.2940300132116574E-3</v>
      </c>
      <c r="AJ53" s="23">
        <f t="shared" si="16"/>
        <v>5.2940300132116574E-3</v>
      </c>
      <c r="AK53" s="23">
        <f t="shared" si="16"/>
        <v>5.2940300132116574E-3</v>
      </c>
      <c r="AL53" s="23">
        <f t="shared" si="16"/>
        <v>5.2940300132116574E-3</v>
      </c>
      <c r="AM53" s="23">
        <f t="shared" si="16"/>
        <v>5.2940300132116574E-3</v>
      </c>
      <c r="AN53" s="23">
        <f t="shared" si="16"/>
        <v>5.2940300132116574E-3</v>
      </c>
      <c r="AO53" s="23">
        <f t="shared" si="16"/>
        <v>5.2940300132116574E-3</v>
      </c>
      <c r="AP53" s="23">
        <f t="shared" si="16"/>
        <v>5.2940300132116574E-3</v>
      </c>
      <c r="AQ53" s="23">
        <f t="shared" si="16"/>
        <v>5.2940300132116574E-3</v>
      </c>
      <c r="AR53" s="23">
        <f t="shared" si="16"/>
        <v>5.2940300132116574E-3</v>
      </c>
      <c r="AS53" s="23">
        <f t="shared" si="16"/>
        <v>5.2940300132116574E-3</v>
      </c>
      <c r="AT53" s="23">
        <f t="shared" si="16"/>
        <v>5.2940300132116574E-3</v>
      </c>
      <c r="AU53" s="23">
        <f t="shared" si="16"/>
        <v>5.2940300132116574E-3</v>
      </c>
      <c r="AV53" s="23">
        <f t="shared" si="16"/>
        <v>5.2940300132116574E-3</v>
      </c>
      <c r="AW53" s="23">
        <f t="shared" si="16"/>
        <v>5.2940300132116574E-3</v>
      </c>
      <c r="AX53" s="23">
        <f t="shared" si="16"/>
        <v>5.2940300132116574E-3</v>
      </c>
      <c r="AY53" s="23">
        <f t="shared" si="16"/>
        <v>5.2940300132116574E-3</v>
      </c>
      <c r="AZ53" s="23">
        <f t="shared" si="16"/>
        <v>5.2940300132116574E-3</v>
      </c>
      <c r="BA53" s="23">
        <f t="shared" si="16"/>
        <v>5.2940300132116574E-3</v>
      </c>
    </row>
    <row r="54" spans="2:63" x14ac:dyDescent="0.2">
      <c r="B54" s="32"/>
      <c r="C54" s="33"/>
      <c r="D54" s="33"/>
      <c r="E54" s="33"/>
      <c r="F54" s="33"/>
      <c r="G54" s="46"/>
      <c r="H54" s="57"/>
      <c r="I54" s="89"/>
      <c r="J54" s="33"/>
      <c r="K54" s="33"/>
      <c r="L54" s="58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5"/>
      <c r="AG54" s="23">
        <f>AG53/AG42</f>
        <v>3.0264204908859976E-2</v>
      </c>
      <c r="AH54" s="23">
        <f t="shared" ref="AH54:BA54" si="17">AH53/AH42</f>
        <v>3.1561242262096834E-2</v>
      </c>
      <c r="AI54" s="23">
        <f t="shared" si="17"/>
        <v>3.2858279615333684E-2</v>
      </c>
      <c r="AJ54" s="23">
        <f t="shared" si="17"/>
        <v>3.4155316968570541E-2</v>
      </c>
      <c r="AK54" s="23">
        <f t="shared" si="17"/>
        <v>3.5452354321807399E-2</v>
      </c>
      <c r="AL54" s="23">
        <f t="shared" si="17"/>
        <v>3.6749391675044256E-2</v>
      </c>
      <c r="AM54" s="23">
        <f t="shared" si="17"/>
        <v>3.8046429028281106E-2</v>
      </c>
      <c r="AN54" s="23">
        <f t="shared" si="17"/>
        <v>3.9343466381517964E-2</v>
      </c>
      <c r="AO54" s="23">
        <f t="shared" si="17"/>
        <v>4.0640503734754828E-2</v>
      </c>
      <c r="AP54" s="23">
        <f t="shared" si="17"/>
        <v>4.1937541087991685E-2</v>
      </c>
      <c r="AQ54" s="23">
        <f t="shared" si="17"/>
        <v>4.3234578441228536E-2</v>
      </c>
      <c r="AR54" s="23">
        <f t="shared" si="17"/>
        <v>4.4531615794465386E-2</v>
      </c>
      <c r="AS54" s="23">
        <f t="shared" si="17"/>
        <v>4.582865314770225E-2</v>
      </c>
      <c r="AT54" s="23">
        <f t="shared" si="17"/>
        <v>4.7125690500939101E-2</v>
      </c>
      <c r="AU54" s="23">
        <f t="shared" si="17"/>
        <v>4.8422727854175958E-2</v>
      </c>
      <c r="AV54" s="23">
        <f t="shared" si="17"/>
        <v>4.9719765207412815E-2</v>
      </c>
      <c r="AW54" s="23">
        <f t="shared" si="17"/>
        <v>5.1016802560649673E-2</v>
      </c>
      <c r="AX54" s="23">
        <f t="shared" si="17"/>
        <v>5.2313839913886523E-2</v>
      </c>
      <c r="AY54" s="23">
        <f t="shared" si="17"/>
        <v>5.361087726712338E-2</v>
      </c>
      <c r="AZ54" s="23">
        <f t="shared" si="17"/>
        <v>5.4907914620360238E-2</v>
      </c>
      <c r="BA54" s="23">
        <f t="shared" si="17"/>
        <v>5.6204951973597095E-2</v>
      </c>
    </row>
    <row r="55" spans="2:63" s="4" customFormat="1" ht="28" x14ac:dyDescent="0.2">
      <c r="B55" s="28"/>
      <c r="C55" s="4" t="s">
        <v>52</v>
      </c>
      <c r="G55" s="76"/>
      <c r="H55" s="55"/>
      <c r="I55" s="88"/>
      <c r="J55" s="30"/>
      <c r="K55" s="30"/>
      <c r="L55" s="56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1"/>
      <c r="AF55" s="5"/>
      <c r="AG55" s="5">
        <f>AG35*(AG37*AG35 + AG37*AG35*AK47*AK47)/(AG35*AG35 + AG37*AG37*AK47*AK47)</f>
        <v>0</v>
      </c>
      <c r="AH55" s="5">
        <f t="shared" ref="AH55:AW55" si="18">AH35*(AH37*AH35 + AH37*AH35*AL47*AL47)/(AH35*AH35 + AH37*AH37*AL47*AL47)</f>
        <v>0</v>
      </c>
      <c r="AI55" s="5">
        <f t="shared" si="18"/>
        <v>0</v>
      </c>
      <c r="AJ55" s="5">
        <f t="shared" si="18"/>
        <v>0</v>
      </c>
      <c r="AK55" s="5">
        <f t="shared" si="18"/>
        <v>0</v>
      </c>
      <c r="AL55" s="5">
        <f t="shared" si="18"/>
        <v>0</v>
      </c>
      <c r="AM55" s="5">
        <f t="shared" si="18"/>
        <v>0</v>
      </c>
      <c r="AN55" s="5">
        <f t="shared" si="18"/>
        <v>0</v>
      </c>
      <c r="AO55" s="5">
        <f t="shared" si="18"/>
        <v>0</v>
      </c>
      <c r="AP55" s="5">
        <f t="shared" si="18"/>
        <v>0</v>
      </c>
      <c r="AQ55" s="5">
        <f t="shared" si="18"/>
        <v>0</v>
      </c>
      <c r="AR55" s="5">
        <f t="shared" si="18"/>
        <v>0</v>
      </c>
      <c r="AS55" s="5">
        <f t="shared" si="18"/>
        <v>0</v>
      </c>
      <c r="AT55" s="5">
        <f t="shared" si="18"/>
        <v>0</v>
      </c>
      <c r="AU55" s="5">
        <f t="shared" si="18"/>
        <v>0</v>
      </c>
      <c r="AV55" s="5">
        <f t="shared" si="18"/>
        <v>0</v>
      </c>
      <c r="AW55" s="5">
        <f t="shared" si="18"/>
        <v>0</v>
      </c>
      <c r="AX55" s="5">
        <f>AX35*(AX37*AX35 + AX37*AX35*BB40*BB40)/(AX35*AX35 + AX37*AX37*BB40*BB40)</f>
        <v>0</v>
      </c>
      <c r="AY55" s="5">
        <f>AY35*(AY37*AY35 + AY37*AY35*BC40*BC40)/(AY35*AY35 + AY37*AY37*BC40*BC40)</f>
        <v>0</v>
      </c>
      <c r="AZ55" s="5">
        <f>AZ35*(AZ37*AZ35 + AZ37*AZ35*BD40*BD40)/(AZ35*AZ35 + AZ37*AZ37*BD40*BD40)</f>
        <v>0</v>
      </c>
      <c r="BA55" s="5">
        <f>BA35*(BA37*BA35 + BA37*BA35*BE40*BE40)/(BA35*BA35 + BA37*BA37*BE40*BE40)</f>
        <v>0</v>
      </c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2:63" x14ac:dyDescent="0.2">
      <c r="B56" s="32"/>
      <c r="C56" s="49" t="s">
        <v>48</v>
      </c>
      <c r="D56" s="33"/>
      <c r="E56" s="49" t="s">
        <v>49</v>
      </c>
      <c r="F56" s="33"/>
      <c r="G56" s="46"/>
      <c r="H56" s="57"/>
      <c r="I56" s="89"/>
      <c r="J56" s="33"/>
      <c r="K56" s="33"/>
      <c r="L56" s="58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5"/>
      <c r="AG56" s="23">
        <f>AG35*(AG35*AG35*AG27 - AG37*AG37*AG27)/(AG35*AG35 + AG37*AG37*AG27*AG27)</f>
        <v>33.52909680918404</v>
      </c>
      <c r="AH56" s="23">
        <f t="shared" ref="AH56:BA56" si="19">AH35*(AH35*AH35*AH27 - AH37*AH37*AH27)/(AH35*AH35 + AH37*AH37*AH27*AH27)</f>
        <v>35.003636856388376</v>
      </c>
      <c r="AI56" s="23">
        <f t="shared" si="19"/>
        <v>36.483014392533718</v>
      </c>
      <c r="AJ56" s="23">
        <f t="shared" si="19"/>
        <v>37.967450758697524</v>
      </c>
      <c r="AK56" s="23">
        <f t="shared" si="19"/>
        <v>39.45717016110941</v>
      </c>
      <c r="AL56" s="23">
        <f t="shared" si="19"/>
        <v>40.952399813475168</v>
      </c>
      <c r="AM56" s="23">
        <f t="shared" si="19"/>
        <v>42.453370083022101</v>
      </c>
      <c r="AN56" s="23">
        <f t="shared" si="19"/>
        <v>43.960314640473541</v>
      </c>
      <c r="AO56" s="23">
        <f t="shared" si="19"/>
        <v>45.47347061416869</v>
      </c>
      <c r="AP56" s="23">
        <f t="shared" si="19"/>
        <v>46.993078748553344</v>
      </c>
      <c r="AQ56" s="23">
        <f t="shared" si="19"/>
        <v>48.519383567276783</v>
      </c>
      <c r="AR56" s="23">
        <f t="shared" si="19"/>
        <v>50.052633541140182</v>
      </c>
      <c r="AS56" s="23">
        <f t="shared" si="19"/>
        <v>51.593081261153102</v>
      </c>
      <c r="AT56" s="23">
        <f t="shared" si="19"/>
        <v>53.140983616966381</v>
      </c>
      <c r="AU56" s="23">
        <f t="shared" si="19"/>
        <v>54.696601980961987</v>
      </c>
      <c r="AV56" s="23">
        <f t="shared" si="19"/>
        <v>56.260202398293636</v>
      </c>
      <c r="AW56" s="23">
        <f t="shared" si="19"/>
        <v>57.832055783186</v>
      </c>
      <c r="AX56" s="23">
        <f t="shared" si="19"/>
        <v>59.412438121815427</v>
      </c>
      <c r="AY56" s="23">
        <f t="shared" si="19"/>
        <v>61.00163068211063</v>
      </c>
      <c r="AZ56" s="23">
        <f t="shared" si="19"/>
        <v>62.599920230828658</v>
      </c>
      <c r="BA56" s="23">
        <f t="shared" si="19"/>
        <v>64.207599258279686</v>
      </c>
    </row>
    <row r="57" spans="2:63" x14ac:dyDescent="0.2">
      <c r="B57" s="32"/>
      <c r="C57" s="36"/>
      <c r="D57" s="36"/>
      <c r="E57" s="36"/>
      <c r="F57" s="36"/>
      <c r="G57" s="75"/>
      <c r="H57" s="59"/>
      <c r="I57" s="90"/>
      <c r="J57" s="33"/>
      <c r="K57" s="66"/>
      <c r="L57" s="98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</row>
    <row r="58" spans="2:63" x14ac:dyDescent="0.2">
      <c r="B58" s="32"/>
      <c r="C58" s="36"/>
      <c r="D58" s="36" t="s">
        <v>34</v>
      </c>
      <c r="E58" s="36"/>
      <c r="F58" s="36"/>
      <c r="G58" s="75"/>
      <c r="H58" s="74">
        <v>50</v>
      </c>
      <c r="I58" s="90" t="s">
        <v>14</v>
      </c>
      <c r="J58" s="33"/>
      <c r="K58" s="66"/>
      <c r="L58" s="98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</row>
    <row r="59" spans="2:63" x14ac:dyDescent="0.2">
      <c r="B59" s="32"/>
      <c r="C59" s="36"/>
      <c r="D59" s="36" t="s">
        <v>35</v>
      </c>
      <c r="E59" s="36"/>
      <c r="F59" s="36"/>
      <c r="G59" s="75"/>
      <c r="H59" s="74">
        <v>0</v>
      </c>
      <c r="I59" s="90" t="s">
        <v>14</v>
      </c>
      <c r="J59" s="33"/>
      <c r="K59" s="66"/>
      <c r="L59" s="97" t="s">
        <v>58</v>
      </c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</row>
    <row r="60" spans="2:63" x14ac:dyDescent="0.2">
      <c r="B60" s="32"/>
      <c r="C60" s="36"/>
      <c r="D60" s="36"/>
      <c r="E60" s="36"/>
      <c r="F60" s="36"/>
      <c r="G60" s="75"/>
      <c r="H60" s="59"/>
      <c r="I60" s="90"/>
      <c r="J60" s="33"/>
      <c r="K60" s="66"/>
      <c r="L60" s="97" t="s">
        <v>81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  <c r="AF60" s="23" t="s">
        <v>36</v>
      </c>
      <c r="AG60" s="23">
        <f t="shared" ref="AG60:BA60" si="20">AG35*(AG27*AG27*AG28)/((AG27+AG29)*(AG27+AG29) + AG28*AG28)</f>
        <v>6.0961421864162615</v>
      </c>
      <c r="AH60" s="23">
        <f t="shared" si="20"/>
        <v>7.6524332024030102</v>
      </c>
      <c r="AI60" s="23">
        <f t="shared" si="20"/>
        <v>9.668196522139155</v>
      </c>
      <c r="AJ60" s="23">
        <f t="shared" si="20"/>
        <v>12.289863740405604</v>
      </c>
      <c r="AK60" s="23">
        <f t="shared" si="20"/>
        <v>15.696153900119052</v>
      </c>
      <c r="AL60" s="23">
        <f t="shared" si="20"/>
        <v>20.076969977934169</v>
      </c>
      <c r="AM60" s="23">
        <f t="shared" si="20"/>
        <v>25.566047508892169</v>
      </c>
      <c r="AN60" s="23">
        <f t="shared" si="20"/>
        <v>32.091591531321818</v>
      </c>
      <c r="AO60" s="23">
        <f t="shared" si="20"/>
        <v>39.143661928290449</v>
      </c>
      <c r="AP60" s="23">
        <f t="shared" si="20"/>
        <v>45.606276448048497</v>
      </c>
      <c r="AQ60" s="23">
        <f t="shared" si="20"/>
        <v>49.999825403875441</v>
      </c>
      <c r="AR60" s="23">
        <f t="shared" si="20"/>
        <v>51.270470486147495</v>
      </c>
      <c r="AS60" s="23">
        <f t="shared" si="20"/>
        <v>49.481271760037323</v>
      </c>
      <c r="AT60" s="23">
        <f t="shared" si="20"/>
        <v>45.634831037440442</v>
      </c>
      <c r="AU60" s="23">
        <f t="shared" si="20"/>
        <v>40.924253838875366</v>
      </c>
      <c r="AV60" s="23">
        <f t="shared" si="20"/>
        <v>36.208775123185042</v>
      </c>
      <c r="AW60" s="23">
        <f t="shared" si="20"/>
        <v>31.929974834492274</v>
      </c>
      <c r="AX60" s="23">
        <f t="shared" si="20"/>
        <v>28.238629665793141</v>
      </c>
      <c r="AY60" s="23">
        <f t="shared" si="20"/>
        <v>25.133465618166408</v>
      </c>
      <c r="AZ60" s="23">
        <f t="shared" si="20"/>
        <v>22.55082532151588</v>
      </c>
      <c r="BA60" s="23">
        <f t="shared" si="20"/>
        <v>20.410658686286538</v>
      </c>
    </row>
    <row r="61" spans="2:63" x14ac:dyDescent="0.2">
      <c r="B61" s="32"/>
      <c r="C61" s="36"/>
      <c r="D61" s="36" t="s">
        <v>54</v>
      </c>
      <c r="E61" s="36"/>
      <c r="F61" s="36"/>
      <c r="G61" s="75"/>
      <c r="H61" s="95">
        <f>(H49-H58)*(H49-H58)</f>
        <v>3.0483806711002839E-8</v>
      </c>
      <c r="I61" s="90"/>
      <c r="J61" s="33"/>
      <c r="K61" s="66"/>
      <c r="L61" s="98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  <c r="AF61" s="23" t="s">
        <v>37</v>
      </c>
      <c r="AG61" s="23">
        <f t="shared" ref="AG61:BA61" si="21">AG35*(AG27*AG28*AG28+AG27*AG27*AG29)/((AG27+AG29)*(AG27+AG29)+AG28*AG28)</f>
        <v>1.2493723219565744</v>
      </c>
      <c r="AH61" s="23">
        <f t="shared" si="21"/>
        <v>0.47455945195869498</v>
      </c>
      <c r="AI61" s="23">
        <f t="shared" si="21"/>
        <v>-0.42607574820643168</v>
      </c>
      <c r="AJ61" s="23">
        <f t="shared" si="21"/>
        <v>-1.4501081318142182</v>
      </c>
      <c r="AK61" s="23">
        <f t="shared" si="21"/>
        <v>-2.5685552524220667</v>
      </c>
      <c r="AL61" s="23">
        <f t="shared" si="21"/>
        <v>-3.7001973729643125</v>
      </c>
      <c r="AM61" s="23">
        <f t="shared" si="21"/>
        <v>-4.6729276005591593</v>
      </c>
      <c r="AN61" s="23">
        <f t="shared" si="21"/>
        <v>-5.1836160227158006</v>
      </c>
      <c r="AO61" s="23">
        <f t="shared" si="21"/>
        <v>-4.8032811042040828</v>
      </c>
      <c r="AP61" s="23">
        <f t="shared" si="21"/>
        <v>-3.1138071952884361</v>
      </c>
      <c r="AQ61" s="23">
        <f t="shared" si="21"/>
        <v>2.7456311269200354E-6</v>
      </c>
      <c r="AR61" s="23">
        <f t="shared" si="21"/>
        <v>4.1263649144705692</v>
      </c>
      <c r="AS61" s="23">
        <f t="shared" si="21"/>
        <v>8.4932003920311434</v>
      </c>
      <c r="AT61" s="23">
        <f t="shared" si="21"/>
        <v>12.415005891649372</v>
      </c>
      <c r="AU61" s="23">
        <f t="shared" si="21"/>
        <v>15.56511355000004</v>
      </c>
      <c r="AV61" s="23">
        <f t="shared" si="21"/>
        <v>17.931017423230681</v>
      </c>
      <c r="AW61" s="23">
        <f t="shared" si="21"/>
        <v>19.650524144690735</v>
      </c>
      <c r="AX61" s="23">
        <f t="shared" si="21"/>
        <v>20.890618056799173</v>
      </c>
      <c r="AY61" s="23">
        <f t="shared" si="21"/>
        <v>21.794653591853638</v>
      </c>
      <c r="AZ61" s="23">
        <f t="shared" si="21"/>
        <v>22.470356558603452</v>
      </c>
      <c r="BA61" s="23">
        <f t="shared" si="21"/>
        <v>22.993867666644363</v>
      </c>
    </row>
    <row r="62" spans="2:63" x14ac:dyDescent="0.2">
      <c r="B62" s="32"/>
      <c r="C62" s="36"/>
      <c r="D62" s="36" t="s">
        <v>54</v>
      </c>
      <c r="E62" s="36"/>
      <c r="F62" s="36"/>
      <c r="G62" s="75"/>
      <c r="H62" s="95">
        <f>(H50-H59)*(H50-H59)</f>
        <v>7.5384902851121835E-12</v>
      </c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63" x14ac:dyDescent="0.2">
      <c r="B63" s="32"/>
      <c r="C63" s="36"/>
      <c r="D63" s="36"/>
      <c r="E63" s="36"/>
      <c r="F63" s="36"/>
      <c r="G63" s="75"/>
      <c r="H63" s="95"/>
      <c r="I63" s="90"/>
      <c r="J63" s="33"/>
      <c r="K63" s="66"/>
      <c r="L63" s="98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35"/>
    </row>
    <row r="64" spans="2:63" x14ac:dyDescent="0.2">
      <c r="B64" s="32"/>
      <c r="C64" s="36"/>
      <c r="D64" s="36" t="s">
        <v>53</v>
      </c>
      <c r="E64" s="36"/>
      <c r="F64" s="36"/>
      <c r="G64" s="75"/>
      <c r="H64" s="96">
        <f>SUM(H61:H63)</f>
        <v>3.0491345201287949E-8</v>
      </c>
      <c r="I64" s="90"/>
      <c r="J64" s="33"/>
      <c r="K64" s="66"/>
      <c r="L64" s="98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35"/>
    </row>
    <row r="65" spans="2:27" x14ac:dyDescent="0.2">
      <c r="B65" s="32"/>
      <c r="C65" s="36"/>
      <c r="D65" s="36"/>
      <c r="E65" s="36"/>
      <c r="F65" s="36"/>
      <c r="G65" s="75"/>
      <c r="H65" s="59"/>
      <c r="I65" s="90"/>
      <c r="J65" s="33"/>
      <c r="K65" s="66"/>
      <c r="L65" s="98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35"/>
    </row>
    <row r="66" spans="2:27" ht="24" thickBot="1" x14ac:dyDescent="0.25">
      <c r="B66" s="40"/>
      <c r="C66" s="41"/>
      <c r="D66" s="41"/>
      <c r="E66" s="41"/>
      <c r="F66" s="41"/>
      <c r="G66" s="85"/>
      <c r="H66" s="63"/>
      <c r="I66" s="91"/>
      <c r="J66" s="41"/>
      <c r="K66" s="41"/>
      <c r="L66" s="64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3"/>
    </row>
    <row r="67" spans="2:27" ht="24" thickTop="1" x14ac:dyDescent="0.2"/>
  </sheetData>
  <conditionalFormatting sqref="L19:M19">
    <cfRule type="expression" dxfId="2" priority="1">
      <formula>$M$19&gt;0.3</formula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5BF3-8A97-ED41-8278-FBD2DE0BF5F5}">
  <dimension ref="B1:BA65"/>
  <sheetViews>
    <sheetView topLeftCell="A2" zoomScale="140" zoomScaleNormal="140" workbookViewId="0">
      <pane xSplit="29" topLeftCell="AD1" activePane="topRight" state="frozen"/>
      <selection pane="topRight" activeCell="H17" sqref="H17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4" t="s">
        <v>112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32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32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32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32" x14ac:dyDescent="0.2">
      <c r="B7" s="32"/>
      <c r="C7" s="36"/>
      <c r="D7" s="36" t="s">
        <v>108</v>
      </c>
      <c r="E7" s="36"/>
      <c r="F7" s="36"/>
      <c r="G7" s="75" t="s">
        <v>84</v>
      </c>
      <c r="H7" s="74">
        <v>3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32" x14ac:dyDescent="0.2">
      <c r="B8" s="32"/>
      <c r="C8" s="36"/>
      <c r="D8" s="36" t="s">
        <v>181</v>
      </c>
      <c r="E8" s="36"/>
      <c r="F8" s="36"/>
      <c r="G8" s="75" t="s">
        <v>182</v>
      </c>
      <c r="H8" s="74">
        <v>1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32" x14ac:dyDescent="0.2">
      <c r="B9" s="32"/>
      <c r="C9" s="36"/>
      <c r="D9" s="36" t="s">
        <v>109</v>
      </c>
      <c r="E9" s="36"/>
      <c r="F9" s="36"/>
      <c r="G9" s="75" t="s">
        <v>99</v>
      </c>
      <c r="H9" s="74">
        <v>1.475033044382126</v>
      </c>
      <c r="I9" s="90" t="s">
        <v>29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32" x14ac:dyDescent="0.2">
      <c r="B10" s="32"/>
      <c r="C10" s="36"/>
      <c r="D10" s="36" t="s">
        <v>103</v>
      </c>
      <c r="E10" s="36"/>
      <c r="F10" s="36"/>
      <c r="G10" s="84" t="s">
        <v>104</v>
      </c>
      <c r="H10" s="72">
        <v>14.277318513700534</v>
      </c>
      <c r="I10" s="90" t="s">
        <v>105</v>
      </c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32" x14ac:dyDescent="0.2">
      <c r="B11" s="32"/>
      <c r="C11" s="36"/>
      <c r="D11" s="36"/>
      <c r="E11" s="36"/>
      <c r="F11" s="36"/>
      <c r="G11" s="75"/>
      <c r="H11" s="59"/>
      <c r="I11" s="90"/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32" x14ac:dyDescent="0.2">
      <c r="B12" s="32"/>
      <c r="C12" s="49" t="s">
        <v>49</v>
      </c>
      <c r="D12" s="33"/>
      <c r="E12" s="33"/>
      <c r="F12" s="33"/>
      <c r="G12" s="46"/>
      <c r="H12" s="57"/>
      <c r="I12" s="89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32" x14ac:dyDescent="0.2">
      <c r="B13" s="32"/>
      <c r="C13" s="36"/>
      <c r="D13" s="36"/>
      <c r="E13" s="36"/>
      <c r="F13" s="36"/>
      <c r="G13" s="75"/>
      <c r="H13" s="59"/>
      <c r="I13" s="90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32" x14ac:dyDescent="0.2">
      <c r="B14" s="32"/>
      <c r="C14" s="36"/>
      <c r="D14" s="36" t="s">
        <v>107</v>
      </c>
      <c r="E14" s="36"/>
      <c r="F14" s="36"/>
      <c r="G14" s="75" t="s">
        <v>106</v>
      </c>
      <c r="H14" s="59">
        <f>H31*1000 +  H7*PI()*0.52</f>
        <v>127.3498641314368</v>
      </c>
      <c r="I14" s="90" t="s">
        <v>29</v>
      </c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32" x14ac:dyDescent="0.2">
      <c r="B15" s="32"/>
      <c r="C15" s="36"/>
      <c r="D15" s="36" t="s">
        <v>96</v>
      </c>
      <c r="E15" s="36"/>
      <c r="F15" s="36"/>
      <c r="G15" s="75" t="s">
        <v>94</v>
      </c>
      <c r="H15" s="59">
        <f>H14/PI()</f>
        <v>40.536720757198857</v>
      </c>
      <c r="I15" s="90" t="s">
        <v>29</v>
      </c>
      <c r="J15" s="33"/>
      <c r="K15" s="38"/>
      <c r="L15" s="62" t="s">
        <v>100</v>
      </c>
      <c r="M15" s="62">
        <v>541.93345087277203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32" ht="27" x14ac:dyDescent="0.2">
      <c r="B16" s="32"/>
      <c r="C16" s="36"/>
      <c r="D16" s="36" t="s">
        <v>98</v>
      </c>
      <c r="E16" s="36"/>
      <c r="F16" s="36"/>
      <c r="G16" s="75" t="s">
        <v>71</v>
      </c>
      <c r="H16" s="59">
        <f>M$15 *  POWER(M17, -M$16)</f>
        <v>822.10915989900434</v>
      </c>
      <c r="I16" s="90" t="s">
        <v>14</v>
      </c>
      <c r="J16" s="33"/>
      <c r="K16" s="38"/>
      <c r="L16" s="62" t="s">
        <v>101</v>
      </c>
      <c r="M16" s="62">
        <v>0.17994191272575752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ht="27" x14ac:dyDescent="0.2">
      <c r="B17" s="32"/>
      <c r="C17" s="36"/>
      <c r="D17" s="36" t="s">
        <v>97</v>
      </c>
      <c r="E17" s="36"/>
      <c r="F17" s="36"/>
      <c r="G17" s="75" t="s">
        <v>59</v>
      </c>
      <c r="H17" s="59">
        <f>(120*(LN(2)+2*ATANH(SQRT(H9/H7))))*(377*H9/H8)  /  ((120*(LN(2)+2*ATANH(SQRT(H9/H7))))+(377*H9/H8))</f>
        <v>191.41768938601609</v>
      </c>
      <c r="I17" s="90" t="s">
        <v>14</v>
      </c>
      <c r="J17" s="33"/>
      <c r="K17" s="38"/>
      <c r="L17" s="62" t="s">
        <v>102</v>
      </c>
      <c r="M17" s="62">
        <f>( H8 + H7) /H15</f>
        <v>9.8675964046490997E-2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x14ac:dyDescent="0.2">
      <c r="B18" s="32"/>
      <c r="C18" s="36"/>
      <c r="D18" s="36"/>
      <c r="E18" s="36"/>
      <c r="F18" s="36"/>
      <c r="G18" s="75"/>
      <c r="H18" s="59"/>
      <c r="I18" s="90"/>
      <c r="J18" s="33"/>
      <c r="K18" s="38"/>
      <c r="L18" s="60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53" x14ac:dyDescent="0.2">
      <c r="B19" s="32"/>
      <c r="C19" s="49" t="s">
        <v>49</v>
      </c>
      <c r="D19" s="33"/>
      <c r="E19" s="33"/>
      <c r="F19" s="33"/>
      <c r="G19" s="46"/>
      <c r="H19" s="57"/>
      <c r="I19" s="89"/>
      <c r="J19" s="33"/>
      <c r="K19" s="33"/>
      <c r="L19" s="5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5"/>
    </row>
    <row r="20" spans="2:53" x14ac:dyDescent="0.2">
      <c r="B20" s="32"/>
      <c r="C20" s="36"/>
      <c r="D20" s="36"/>
      <c r="E20" s="36"/>
      <c r="F20" s="36"/>
      <c r="G20" s="75"/>
      <c r="H20" s="59"/>
      <c r="I20" s="90"/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36"/>
      <c r="D21" s="36" t="s">
        <v>57</v>
      </c>
      <c r="E21" s="36"/>
      <c r="F21" s="36"/>
      <c r="G21" s="75"/>
      <c r="H21" s="72">
        <v>3</v>
      </c>
      <c r="I21" s="90" t="s">
        <v>31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53" x14ac:dyDescent="0.2">
      <c r="B22" s="32"/>
      <c r="C22" s="36"/>
      <c r="D22" s="36" t="s">
        <v>8</v>
      </c>
      <c r="E22" s="36"/>
      <c r="F22" s="36"/>
      <c r="G22" s="75" t="s">
        <v>75</v>
      </c>
      <c r="H22" s="99">
        <f>H6</f>
        <v>2450</v>
      </c>
      <c r="I22" s="90" t="s">
        <v>12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ht="27" x14ac:dyDescent="0.2">
      <c r="B23" s="32"/>
      <c r="C23" s="36"/>
      <c r="D23" s="36" t="s">
        <v>5</v>
      </c>
      <c r="E23" s="36"/>
      <c r="F23" s="36"/>
      <c r="G23" s="75" t="s">
        <v>59</v>
      </c>
      <c r="H23" s="99">
        <f>H17</f>
        <v>191.41768938601609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53" ht="27" x14ac:dyDescent="0.2">
      <c r="B24" s="32"/>
      <c r="C24" s="36"/>
      <c r="D24" s="36" t="s">
        <v>6</v>
      </c>
      <c r="E24" s="36"/>
      <c r="F24" s="36"/>
      <c r="G24" s="75" t="s">
        <v>71</v>
      </c>
      <c r="H24" s="99">
        <f>H16</f>
        <v>822.10915989900434</v>
      </c>
      <c r="I24" s="90" t="s">
        <v>14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F24" s="23" t="s">
        <v>16</v>
      </c>
      <c r="AG24" s="2">
        <f>TAN(2 * PI() * AG45)</f>
        <v>1.3273280710972524</v>
      </c>
      <c r="AH24" s="2">
        <f t="shared" ref="AH24:BA24" si="0">TAN(2 * PI() * AH45)</f>
        <v>1.442975446875594</v>
      </c>
      <c r="AI24" s="2">
        <f t="shared" si="0"/>
        <v>1.5726663606512861</v>
      </c>
      <c r="AJ24" s="2">
        <f t="shared" si="0"/>
        <v>1.719615829514537</v>
      </c>
      <c r="AK24" s="2">
        <f t="shared" si="0"/>
        <v>1.8880815331230134</v>
      </c>
      <c r="AL24" s="2">
        <f t="shared" si="0"/>
        <v>2.0838260268851907</v>
      </c>
      <c r="AM24" s="2">
        <f t="shared" si="0"/>
        <v>2.3148485718821594</v>
      </c>
      <c r="AN24" s="2">
        <f t="shared" si="0"/>
        <v>2.5925898512289272</v>
      </c>
      <c r="AO24" s="2">
        <f t="shared" si="0"/>
        <v>2.9340091215265911</v>
      </c>
      <c r="AP24" s="2">
        <f t="shared" si="0"/>
        <v>3.3653721158910748</v>
      </c>
      <c r="AQ24" s="2">
        <f t="shared" si="0"/>
        <v>3.9296550985852234</v>
      </c>
      <c r="AR24" s="2">
        <f t="shared" si="0"/>
        <v>4.7023547556879643</v>
      </c>
      <c r="AS24" s="2">
        <f t="shared" si="0"/>
        <v>5.8294360177804645</v>
      </c>
      <c r="AT24" s="2">
        <f t="shared" si="0"/>
        <v>7.6345927138019842</v>
      </c>
      <c r="AU24" s="2">
        <f t="shared" si="0"/>
        <v>11.00816585896991</v>
      </c>
      <c r="AV24" s="2">
        <f t="shared" si="0"/>
        <v>19.612142816287207</v>
      </c>
      <c r="AW24" s="2">
        <f t="shared" si="0"/>
        <v>88.520039004976454</v>
      </c>
      <c r="AX24" s="2">
        <f t="shared" si="0"/>
        <v>-35.261545214915053</v>
      </c>
      <c r="AY24" s="2">
        <f t="shared" si="0"/>
        <v>-14.683163195517221</v>
      </c>
      <c r="AZ24" s="2">
        <f t="shared" si="0"/>
        <v>-9.2535813744858135</v>
      </c>
      <c r="BA24" s="2">
        <f t="shared" si="0"/>
        <v>-6.739842873208242</v>
      </c>
    </row>
    <row r="25" spans="2:53" ht="27" x14ac:dyDescent="0.2">
      <c r="B25" s="32"/>
      <c r="C25" s="36"/>
      <c r="D25" s="36" t="s">
        <v>26</v>
      </c>
      <c r="E25" s="36"/>
      <c r="F25" s="36"/>
      <c r="G25" s="75" t="s">
        <v>72</v>
      </c>
      <c r="H25" s="99">
        <v>0</v>
      </c>
      <c r="I25" s="90" t="s">
        <v>14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F25" s="23" t="s">
        <v>17</v>
      </c>
      <c r="AG25" s="2">
        <f>TAN(2 * PI() *AG52)</f>
        <v>0.1762212197755065</v>
      </c>
      <c r="AH25" s="2">
        <f t="shared" ref="AH25:BA25" si="1">TAN(2 * PI() *AH52)</f>
        <v>0.18393926371253405</v>
      </c>
      <c r="AI25" s="2">
        <f t="shared" si="1"/>
        <v>0.19167856272482922</v>
      </c>
      <c r="AJ25" s="2">
        <f t="shared" si="1"/>
        <v>0.19944007341106643</v>
      </c>
      <c r="AK25" s="2">
        <f t="shared" si="1"/>
        <v>0.20722476284884569</v>
      </c>
      <c r="AL25" s="2">
        <f t="shared" si="1"/>
        <v>0.21503360909813765</v>
      </c>
      <c r="AM25" s="2">
        <f t="shared" si="1"/>
        <v>0.22286760171600109</v>
      </c>
      <c r="AN25" s="2">
        <f t="shared" si="1"/>
        <v>0.23072774228317122</v>
      </c>
      <c r="AO25" s="2">
        <f t="shared" si="1"/>
        <v>0.23861504494313654</v>
      </c>
      <c r="AP25" s="2">
        <f t="shared" si="1"/>
        <v>0.24653053695434707</v>
      </c>
      <c r="AQ25" s="2">
        <f t="shared" si="1"/>
        <v>0.25447525925621961</v>
      </c>
      <c r="AR25" s="2">
        <f t="shared" si="1"/>
        <v>0.26245026704963059</v>
      </c>
      <c r="AS25" s="2">
        <f t="shared" si="1"/>
        <v>0.27045663039261497</v>
      </c>
      <c r="AT25" s="2">
        <f t="shared" si="1"/>
        <v>0.27849543481201888</v>
      </c>
      <c r="AU25" s="2">
        <f t="shared" si="1"/>
        <v>0.28656778193188165</v>
      </c>
      <c r="AV25" s="2">
        <f t="shared" si="1"/>
        <v>0.29467479011935732</v>
      </c>
      <c r="AW25" s="2">
        <f t="shared" si="1"/>
        <v>0.30281759514901785</v>
      </c>
      <c r="AX25" s="2">
        <f t="shared" si="1"/>
        <v>0.31099735088641595</v>
      </c>
      <c r="AY25" s="2">
        <f t="shared" si="1"/>
        <v>0.31921522999182594</v>
      </c>
      <c r="AZ25" s="2">
        <f t="shared" si="1"/>
        <v>0.32747242464511483</v>
      </c>
      <c r="BA25" s="2">
        <f t="shared" si="1"/>
        <v>0.33577014729274707</v>
      </c>
    </row>
    <row r="26" spans="2:53" x14ac:dyDescent="0.2">
      <c r="B26" s="32"/>
      <c r="C26" s="36"/>
      <c r="D26" s="36" t="s">
        <v>23</v>
      </c>
      <c r="E26" s="36"/>
      <c r="F26" s="36"/>
      <c r="G26" s="75" t="s">
        <v>73</v>
      </c>
      <c r="H26" s="100">
        <f>H31/4</f>
        <v>3.0612244897959183E-2</v>
      </c>
      <c r="I26" s="90" t="s">
        <v>13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20</v>
      </c>
      <c r="AG26" s="2">
        <f>AG46/AG33</f>
        <v>0.35409991198083329</v>
      </c>
      <c r="AH26" s="2">
        <f t="shared" ref="AH26:BA26" si="2">AH46/AH33</f>
        <v>0.33591508434325912</v>
      </c>
      <c r="AI26" s="2">
        <f t="shared" si="2"/>
        <v>0.31996494769263434</v>
      </c>
      <c r="AJ26" s="2">
        <f t="shared" si="2"/>
        <v>0.30596687824291507</v>
      </c>
      <c r="AK26" s="2">
        <f t="shared" si="2"/>
        <v>0.29368575230670629</v>
      </c>
      <c r="AL26" s="2">
        <f t="shared" si="2"/>
        <v>0.28292539531201966</v>
      </c>
      <c r="AM26" s="2">
        <f t="shared" si="2"/>
        <v>0.27352180605863807</v>
      </c>
      <c r="AN26" s="2">
        <f t="shared" si="2"/>
        <v>0.2653377660503316</v>
      </c>
      <c r="AO26" s="2">
        <f t="shared" si="2"/>
        <v>0.25825853691372569</v>
      </c>
      <c r="AP26" s="2">
        <f t="shared" si="2"/>
        <v>0.25218841902834138</v>
      </c>
      <c r="AQ26" s="2">
        <f t="shared" si="2"/>
        <v>0.24704799751062778</v>
      </c>
      <c r="AR26" s="2">
        <f t="shared" si="2"/>
        <v>0.24277194203349806</v>
      </c>
      <c r="AS26" s="2">
        <f t="shared" si="2"/>
        <v>0.2393072578884641</v>
      </c>
      <c r="AT26" s="2">
        <f t="shared" si="2"/>
        <v>0.23661190963195147</v>
      </c>
      <c r="AU26" s="2">
        <f t="shared" si="2"/>
        <v>0.23465375740610139</v>
      </c>
      <c r="AV26" s="2">
        <f t="shared" si="2"/>
        <v>0.23340976094449811</v>
      </c>
      <c r="AW26" s="2">
        <f t="shared" si="2"/>
        <v>0.23286541839843636</v>
      </c>
      <c r="AX26" s="2">
        <f t="shared" si="2"/>
        <v>0.23301441725217423</v>
      </c>
      <c r="AY26" s="2">
        <f t="shared" si="2"/>
        <v>0.23385848337736165</v>
      </c>
      <c r="AZ26" s="2">
        <f t="shared" si="2"/>
        <v>0.23540742224124148</v>
      </c>
      <c r="BA26" s="2">
        <f t="shared" si="2"/>
        <v>0.23767935389981687</v>
      </c>
    </row>
    <row r="27" spans="2:53" ht="27" x14ac:dyDescent="0.2">
      <c r="B27" s="32"/>
      <c r="C27" s="36"/>
      <c r="D27" s="36" t="s">
        <v>22</v>
      </c>
      <c r="E27" s="36"/>
      <c r="F27" s="36"/>
      <c r="G27" s="75" t="s">
        <v>74</v>
      </c>
      <c r="H27" s="100">
        <f>H31 *H10/360</f>
        <v>4.8562307869729707E-3</v>
      </c>
      <c r="I27" s="90" t="s">
        <v>13</v>
      </c>
      <c r="J27" s="33"/>
      <c r="K27" s="38"/>
      <c r="L27" s="60"/>
      <c r="M27" s="38"/>
      <c r="N27" s="92">
        <f>H47</f>
        <v>49.999981766853892</v>
      </c>
      <c r="O27" s="93" t="s">
        <v>66</v>
      </c>
      <c r="P27" s="94">
        <f>H48</f>
        <v>3.5779569874417455E-5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F27" s="23" t="s">
        <v>21</v>
      </c>
      <c r="AG27" s="2">
        <f>AG47/AG33</f>
        <v>-0.6912777234584766</v>
      </c>
      <c r="AH27" s="2">
        <f t="shared" ref="AH27:BA27" si="3">AH47/AH33</f>
        <v>-0.63880950691606431</v>
      </c>
      <c r="AI27" s="2">
        <f t="shared" si="3"/>
        <v>-0.58849114081521647</v>
      </c>
      <c r="AJ27" s="2">
        <f t="shared" si="3"/>
        <v>-0.54009708311927562</v>
      </c>
      <c r="AK27" s="2">
        <f t="shared" si="3"/>
        <v>-0.49342095754366816</v>
      </c>
      <c r="AL27" s="2">
        <f t="shared" si="3"/>
        <v>-0.44827370354947488</v>
      </c>
      <c r="AM27" s="2">
        <f t="shared" si="3"/>
        <v>-0.40448171360770929</v>
      </c>
      <c r="AN27" s="2">
        <f t="shared" si="3"/>
        <v>-0.36188503420758777</v>
      </c>
      <c r="AO27" s="2">
        <f t="shared" si="3"/>
        <v>-0.3203356693087856</v>
      </c>
      <c r="AP27" s="2">
        <f t="shared" si="3"/>
        <v>-0.27969600187970012</v>
      </c>
      <c r="AQ27" s="2">
        <f t="shared" si="3"/>
        <v>-0.23983733532629067</v>
      </c>
      <c r="AR27" s="2">
        <f t="shared" si="3"/>
        <v>-0.20063854853373106</v>
      </c>
      <c r="AS27" s="2">
        <f t="shared" si="3"/>
        <v>-0.16198485372259536</v>
      </c>
      <c r="AT27" s="2">
        <f t="shared" si="3"/>
        <v>-0.12376664397146837</v>
      </c>
      <c r="AU27" s="2">
        <f t="shared" si="3"/>
        <v>-8.5878416195237783E-2</v>
      </c>
      <c r="AV27" s="2">
        <f t="shared" si="3"/>
        <v>-4.8217755032531104E-2</v>
      </c>
      <c r="AW27" s="2">
        <f t="shared" si="3"/>
        <v>-1.068436313253792E-2</v>
      </c>
      <c r="AX27" s="2">
        <f t="shared" si="3"/>
        <v>2.6820876481116869E-2</v>
      </c>
      <c r="AY27" s="2">
        <f t="shared" si="3"/>
        <v>6.439682008989743E-2</v>
      </c>
      <c r="AZ27" s="2">
        <f t="shared" si="3"/>
        <v>0.10214297898674503</v>
      </c>
      <c r="BA27" s="2">
        <f t="shared" si="3"/>
        <v>0.14016044516026535</v>
      </c>
    </row>
    <row r="28" spans="2:53" x14ac:dyDescent="0.2">
      <c r="B28" s="32"/>
      <c r="C28" s="36"/>
      <c r="D28" s="36"/>
      <c r="E28" s="36"/>
      <c r="F28" s="36"/>
      <c r="G28" s="75"/>
      <c r="H28" s="59"/>
      <c r="I28" s="90"/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</row>
    <row r="29" spans="2:53" x14ac:dyDescent="0.2">
      <c r="B29" s="32"/>
      <c r="C29" s="49" t="s">
        <v>49</v>
      </c>
      <c r="D29" s="33"/>
      <c r="E29" s="33"/>
      <c r="F29" s="33"/>
      <c r="G29" s="46"/>
      <c r="H29" s="57"/>
      <c r="I29" s="89"/>
      <c r="J29" s="33"/>
      <c r="K29" s="33"/>
      <c r="L29" s="58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5"/>
      <c r="AQ29" s="2" t="s">
        <v>30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Q30" s="2">
        <f>H21</f>
        <v>3</v>
      </c>
    </row>
    <row r="31" spans="2:53" x14ac:dyDescent="0.2">
      <c r="B31" s="32"/>
      <c r="C31" s="36"/>
      <c r="D31" s="36" t="s">
        <v>9</v>
      </c>
      <c r="E31" s="36"/>
      <c r="F31" s="36"/>
      <c r="G31" s="75" t="s">
        <v>15</v>
      </c>
      <c r="H31" s="61">
        <f>300/H22</f>
        <v>0.12244897959183673</v>
      </c>
      <c r="I31" s="90" t="s">
        <v>13</v>
      </c>
      <c r="J31" s="33"/>
      <c r="K31" s="38"/>
      <c r="L31" s="62" t="s">
        <v>16</v>
      </c>
      <c r="M31" s="62">
        <f>TAN(2 * PI() * H36)</f>
        <v>3.9296550985852234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F31" s="23" t="s">
        <v>33</v>
      </c>
      <c r="AG31" s="2">
        <f t="shared" ref="AG31:AO31" si="4">AH31-$AQ30</f>
        <v>-30</v>
      </c>
      <c r="AH31" s="2">
        <f t="shared" si="4"/>
        <v>-27</v>
      </c>
      <c r="AI31" s="2">
        <f t="shared" si="4"/>
        <v>-24</v>
      </c>
      <c r="AJ31" s="2">
        <f t="shared" si="4"/>
        <v>-21</v>
      </c>
      <c r="AK31" s="2">
        <f t="shared" si="4"/>
        <v>-18</v>
      </c>
      <c r="AL31" s="2">
        <f t="shared" si="4"/>
        <v>-15</v>
      </c>
      <c r="AM31" s="2">
        <f t="shared" si="4"/>
        <v>-12</v>
      </c>
      <c r="AN31" s="2">
        <f t="shared" si="4"/>
        <v>-9</v>
      </c>
      <c r="AO31" s="2">
        <f t="shared" si="4"/>
        <v>-6</v>
      </c>
      <c r="AP31" s="2">
        <f>-1*$AQ30</f>
        <v>-3</v>
      </c>
      <c r="AQ31" s="2">
        <v>0</v>
      </c>
      <c r="AR31" s="2">
        <f>AQ30</f>
        <v>3</v>
      </c>
      <c r="AS31" s="2">
        <f t="shared" ref="AS31:BA31" si="5">AR31+$AQ30</f>
        <v>6</v>
      </c>
      <c r="AT31" s="2">
        <f t="shared" si="5"/>
        <v>9</v>
      </c>
      <c r="AU31" s="2">
        <f t="shared" si="5"/>
        <v>12</v>
      </c>
      <c r="AV31" s="2">
        <f t="shared" si="5"/>
        <v>15</v>
      </c>
      <c r="AW31" s="2">
        <f t="shared" si="5"/>
        <v>18</v>
      </c>
      <c r="AX31" s="2">
        <f t="shared" si="5"/>
        <v>21</v>
      </c>
      <c r="AY31" s="2">
        <f t="shared" si="5"/>
        <v>24</v>
      </c>
      <c r="AZ31" s="2">
        <f t="shared" si="5"/>
        <v>27</v>
      </c>
      <c r="BA31" s="2">
        <f t="shared" si="5"/>
        <v>30</v>
      </c>
    </row>
    <row r="32" spans="2:53" x14ac:dyDescent="0.2">
      <c r="B32" s="32"/>
      <c r="C32" s="36"/>
      <c r="D32" s="36" t="s">
        <v>25</v>
      </c>
      <c r="E32" s="36"/>
      <c r="F32" s="36"/>
      <c r="G32" s="75" t="s">
        <v>15</v>
      </c>
      <c r="H32" s="61">
        <f>H42+H36</f>
        <v>0.25</v>
      </c>
      <c r="I32" s="90"/>
      <c r="J32" s="33"/>
      <c r="K32" s="38"/>
      <c r="L32" s="62" t="s">
        <v>17</v>
      </c>
      <c r="M32" s="62">
        <f>TAN(2 * PI() * H42)</f>
        <v>0.25447525925621961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AP32" si="6">$AQ32 + AG31*$AQ32/100</f>
        <v>1715</v>
      </c>
      <c r="AH32" s="2">
        <f t="shared" si="6"/>
        <v>1788.5</v>
      </c>
      <c r="AI32" s="2">
        <f t="shared" si="6"/>
        <v>1862</v>
      </c>
      <c r="AJ32" s="2">
        <f t="shared" si="6"/>
        <v>1935.5</v>
      </c>
      <c r="AK32" s="2">
        <f t="shared" si="6"/>
        <v>2009</v>
      </c>
      <c r="AL32" s="2">
        <f t="shared" si="6"/>
        <v>2082.5</v>
      </c>
      <c r="AM32" s="2">
        <f t="shared" si="6"/>
        <v>2156</v>
      </c>
      <c r="AN32" s="2">
        <f t="shared" si="6"/>
        <v>2229.5</v>
      </c>
      <c r="AO32" s="2">
        <f t="shared" si="6"/>
        <v>2303</v>
      </c>
      <c r="AP32" s="2">
        <f t="shared" si="6"/>
        <v>2376.5</v>
      </c>
      <c r="AQ32" s="2">
        <f t="shared" ref="AQ32:BA37" si="7">$H22</f>
        <v>2450</v>
      </c>
      <c r="AR32" s="2">
        <f t="shared" ref="AR32:BA32" si="8">$AQ32 + AR31*$AQ32/100</f>
        <v>2523.5</v>
      </c>
      <c r="AS32" s="2">
        <f t="shared" si="8"/>
        <v>2597</v>
      </c>
      <c r="AT32" s="2">
        <f t="shared" si="8"/>
        <v>2670.5</v>
      </c>
      <c r="AU32" s="2">
        <f t="shared" si="8"/>
        <v>2744</v>
      </c>
      <c r="AV32" s="2">
        <f t="shared" si="8"/>
        <v>2817.5</v>
      </c>
      <c r="AW32" s="2">
        <f t="shared" si="8"/>
        <v>2891</v>
      </c>
      <c r="AX32" s="2">
        <f t="shared" si="8"/>
        <v>2964.5</v>
      </c>
      <c r="AY32" s="2">
        <f t="shared" si="8"/>
        <v>3038</v>
      </c>
      <c r="AZ32" s="2">
        <f t="shared" si="8"/>
        <v>3111.5</v>
      </c>
      <c r="BA32" s="2">
        <f t="shared" si="8"/>
        <v>3185</v>
      </c>
    </row>
    <row r="33" spans="2:53" x14ac:dyDescent="0.2">
      <c r="B33" s="32"/>
      <c r="C33" s="36"/>
      <c r="D33" s="36"/>
      <c r="E33" s="36"/>
      <c r="F33" s="36"/>
      <c r="G33" s="75"/>
      <c r="H33" s="59"/>
      <c r="I33" s="90"/>
      <c r="J33" s="33"/>
      <c r="K33" s="38"/>
      <c r="L33" s="62" t="s">
        <v>20</v>
      </c>
      <c r="M33" s="62">
        <f>H37/H23</f>
        <v>0.24704799751062778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G33" s="2">
        <f t="shared" ref="AG33:AP37" si="9">$H23</f>
        <v>191.41768938601609</v>
      </c>
      <c r="AH33" s="2">
        <f t="shared" si="9"/>
        <v>191.41768938601609</v>
      </c>
      <c r="AI33" s="2">
        <f t="shared" si="9"/>
        <v>191.41768938601609</v>
      </c>
      <c r="AJ33" s="2">
        <f t="shared" si="9"/>
        <v>191.41768938601609</v>
      </c>
      <c r="AK33" s="2">
        <f t="shared" si="9"/>
        <v>191.41768938601609</v>
      </c>
      <c r="AL33" s="2">
        <f t="shared" si="9"/>
        <v>191.41768938601609</v>
      </c>
      <c r="AM33" s="2">
        <f t="shared" si="9"/>
        <v>191.41768938601609</v>
      </c>
      <c r="AN33" s="2">
        <f t="shared" si="9"/>
        <v>191.41768938601609</v>
      </c>
      <c r="AO33" s="2">
        <f t="shared" si="9"/>
        <v>191.41768938601609</v>
      </c>
      <c r="AP33" s="2">
        <f t="shared" si="9"/>
        <v>191.41768938601609</v>
      </c>
      <c r="AQ33" s="2">
        <f t="shared" si="7"/>
        <v>191.41768938601609</v>
      </c>
      <c r="AR33" s="2">
        <f t="shared" si="7"/>
        <v>191.41768938601609</v>
      </c>
      <c r="AS33" s="2">
        <f t="shared" si="7"/>
        <v>191.41768938601609</v>
      </c>
      <c r="AT33" s="2">
        <f t="shared" si="7"/>
        <v>191.41768938601609</v>
      </c>
      <c r="AU33" s="2">
        <f t="shared" si="7"/>
        <v>191.41768938601609</v>
      </c>
      <c r="AV33" s="2">
        <f t="shared" si="7"/>
        <v>191.41768938601609</v>
      </c>
      <c r="AW33" s="2">
        <f t="shared" si="7"/>
        <v>191.41768938601609</v>
      </c>
      <c r="AX33" s="2">
        <f t="shared" si="7"/>
        <v>191.41768938601609</v>
      </c>
      <c r="AY33" s="2">
        <f t="shared" si="7"/>
        <v>191.41768938601609</v>
      </c>
      <c r="AZ33" s="2">
        <f t="shared" si="7"/>
        <v>191.41768938601609</v>
      </c>
      <c r="BA33" s="2">
        <f t="shared" si="7"/>
        <v>191.41768938601609</v>
      </c>
    </row>
    <row r="34" spans="2:53" x14ac:dyDescent="0.2">
      <c r="B34" s="32"/>
      <c r="C34" s="36" t="s">
        <v>50</v>
      </c>
      <c r="D34" s="36"/>
      <c r="E34" s="36"/>
      <c r="F34" s="36"/>
      <c r="G34" s="75"/>
      <c r="H34" s="59"/>
      <c r="I34" s="90"/>
      <c r="J34" s="33"/>
      <c r="K34" s="38"/>
      <c r="L34" s="62" t="s">
        <v>21</v>
      </c>
      <c r="M34" s="62">
        <f>H38/H23</f>
        <v>-0.23983733532629067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">
        <f t="shared" si="9"/>
        <v>822.10915989900434</v>
      </c>
      <c r="AH34" s="2">
        <f t="shared" si="9"/>
        <v>822.10915989900434</v>
      </c>
      <c r="AI34" s="2">
        <f t="shared" si="9"/>
        <v>822.10915989900434</v>
      </c>
      <c r="AJ34" s="2">
        <f t="shared" si="9"/>
        <v>822.10915989900434</v>
      </c>
      <c r="AK34" s="2">
        <f t="shared" si="9"/>
        <v>822.10915989900434</v>
      </c>
      <c r="AL34" s="2">
        <f t="shared" si="9"/>
        <v>822.10915989900434</v>
      </c>
      <c r="AM34" s="2">
        <f t="shared" si="9"/>
        <v>822.10915989900434</v>
      </c>
      <c r="AN34" s="2">
        <f t="shared" si="9"/>
        <v>822.10915989900434</v>
      </c>
      <c r="AO34" s="2">
        <f t="shared" si="9"/>
        <v>822.10915989900434</v>
      </c>
      <c r="AP34" s="2">
        <f t="shared" si="9"/>
        <v>822.10915989900434</v>
      </c>
      <c r="AQ34" s="2">
        <f t="shared" si="7"/>
        <v>822.10915989900434</v>
      </c>
      <c r="AR34" s="2">
        <f t="shared" si="7"/>
        <v>822.10915989900434</v>
      </c>
      <c r="AS34" s="2">
        <f t="shared" si="7"/>
        <v>822.10915989900434</v>
      </c>
      <c r="AT34" s="2">
        <f t="shared" si="7"/>
        <v>822.10915989900434</v>
      </c>
      <c r="AU34" s="2">
        <f t="shared" si="7"/>
        <v>822.10915989900434</v>
      </c>
      <c r="AV34" s="2">
        <f t="shared" si="7"/>
        <v>822.10915989900434</v>
      </c>
      <c r="AW34" s="2">
        <f t="shared" si="7"/>
        <v>822.10915989900434</v>
      </c>
      <c r="AX34" s="2">
        <f t="shared" si="7"/>
        <v>822.10915989900434</v>
      </c>
      <c r="AY34" s="2">
        <f t="shared" si="7"/>
        <v>822.10915989900434</v>
      </c>
      <c r="AZ34" s="2">
        <f t="shared" si="7"/>
        <v>822.10915989900434</v>
      </c>
      <c r="BA34" s="2">
        <f t="shared" si="7"/>
        <v>822.10915989900434</v>
      </c>
    </row>
    <row r="35" spans="2:53" ht="27" x14ac:dyDescent="0.2">
      <c r="B35" s="32"/>
      <c r="C35" s="36"/>
      <c r="D35" s="36" t="s">
        <v>7</v>
      </c>
      <c r="E35" s="36"/>
      <c r="F35" s="36"/>
      <c r="G35" s="75" t="s">
        <v>65</v>
      </c>
      <c r="H35" s="61">
        <f>H26-H27</f>
        <v>2.5756014110986214E-2</v>
      </c>
      <c r="I35" s="90" t="s">
        <v>13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">
        <f t="shared" si="9"/>
        <v>0</v>
      </c>
      <c r="AH35" s="2">
        <f t="shared" si="9"/>
        <v>0</v>
      </c>
      <c r="AI35" s="2">
        <f t="shared" si="9"/>
        <v>0</v>
      </c>
      <c r="AJ35" s="2">
        <f t="shared" si="9"/>
        <v>0</v>
      </c>
      <c r="AK35" s="2">
        <f t="shared" si="9"/>
        <v>0</v>
      </c>
      <c r="AL35" s="2">
        <f t="shared" si="9"/>
        <v>0</v>
      </c>
      <c r="AM35" s="2">
        <f t="shared" si="9"/>
        <v>0</v>
      </c>
      <c r="AN35" s="2">
        <f t="shared" si="9"/>
        <v>0</v>
      </c>
      <c r="AO35" s="2">
        <f t="shared" si="9"/>
        <v>0</v>
      </c>
      <c r="AP35" s="2">
        <f t="shared" si="9"/>
        <v>0</v>
      </c>
      <c r="AQ35" s="2">
        <f t="shared" si="7"/>
        <v>0</v>
      </c>
      <c r="AR35" s="2">
        <f t="shared" si="7"/>
        <v>0</v>
      </c>
      <c r="AS35" s="2">
        <f t="shared" si="7"/>
        <v>0</v>
      </c>
      <c r="AT35" s="2">
        <f t="shared" si="7"/>
        <v>0</v>
      </c>
      <c r="AU35" s="2">
        <f t="shared" si="7"/>
        <v>0</v>
      </c>
      <c r="AV35" s="2">
        <f t="shared" si="7"/>
        <v>0</v>
      </c>
      <c r="AW35" s="2">
        <f t="shared" si="7"/>
        <v>0</v>
      </c>
      <c r="AX35" s="2">
        <f t="shared" si="7"/>
        <v>0</v>
      </c>
      <c r="AY35" s="2">
        <f t="shared" si="7"/>
        <v>0</v>
      </c>
      <c r="AZ35" s="2">
        <f t="shared" si="7"/>
        <v>0</v>
      </c>
      <c r="BA35" s="2">
        <f t="shared" si="7"/>
        <v>0</v>
      </c>
    </row>
    <row r="36" spans="2:53" x14ac:dyDescent="0.2">
      <c r="B36" s="32"/>
      <c r="C36" s="36"/>
      <c r="D36" s="36" t="s">
        <v>19</v>
      </c>
      <c r="E36" s="36"/>
      <c r="F36" s="36"/>
      <c r="G36" s="75"/>
      <c r="H36" s="61">
        <f>H35/H31</f>
        <v>0.21034078190638741</v>
      </c>
      <c r="I36" s="90" t="s">
        <v>18</v>
      </c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">
        <f t="shared" si="9"/>
        <v>3.0612244897959183E-2</v>
      </c>
      <c r="AH36" s="2">
        <f t="shared" si="9"/>
        <v>3.0612244897959183E-2</v>
      </c>
      <c r="AI36" s="2">
        <f t="shared" si="9"/>
        <v>3.0612244897959183E-2</v>
      </c>
      <c r="AJ36" s="2">
        <f t="shared" si="9"/>
        <v>3.0612244897959183E-2</v>
      </c>
      <c r="AK36" s="2">
        <f t="shared" si="9"/>
        <v>3.0612244897959183E-2</v>
      </c>
      <c r="AL36" s="2">
        <f t="shared" si="9"/>
        <v>3.0612244897959183E-2</v>
      </c>
      <c r="AM36" s="2">
        <f t="shared" si="9"/>
        <v>3.0612244897959183E-2</v>
      </c>
      <c r="AN36" s="2">
        <f t="shared" si="9"/>
        <v>3.0612244897959183E-2</v>
      </c>
      <c r="AO36" s="2">
        <f t="shared" si="9"/>
        <v>3.0612244897959183E-2</v>
      </c>
      <c r="AP36" s="2">
        <f t="shared" si="9"/>
        <v>3.0612244897959183E-2</v>
      </c>
      <c r="AQ36" s="2">
        <f t="shared" si="7"/>
        <v>3.0612244897959183E-2</v>
      </c>
      <c r="AR36" s="2">
        <f t="shared" si="7"/>
        <v>3.0612244897959183E-2</v>
      </c>
      <c r="AS36" s="2">
        <f t="shared" si="7"/>
        <v>3.0612244897959183E-2</v>
      </c>
      <c r="AT36" s="2">
        <f t="shared" si="7"/>
        <v>3.0612244897959183E-2</v>
      </c>
      <c r="AU36" s="2">
        <f t="shared" si="7"/>
        <v>3.0612244897959183E-2</v>
      </c>
      <c r="AV36" s="2">
        <f t="shared" si="7"/>
        <v>3.0612244897959183E-2</v>
      </c>
      <c r="AW36" s="2">
        <f t="shared" si="7"/>
        <v>3.0612244897959183E-2</v>
      </c>
      <c r="AX36" s="2">
        <f t="shared" si="7"/>
        <v>3.0612244897959183E-2</v>
      </c>
      <c r="AY36" s="2">
        <f t="shared" si="7"/>
        <v>3.0612244897959183E-2</v>
      </c>
      <c r="AZ36" s="2">
        <f t="shared" si="7"/>
        <v>3.0612244897959183E-2</v>
      </c>
      <c r="BA36" s="2">
        <f t="shared" si="7"/>
        <v>3.0612244897959183E-2</v>
      </c>
    </row>
    <row r="37" spans="2:53" ht="27" x14ac:dyDescent="0.2">
      <c r="B37" s="32"/>
      <c r="C37" s="36"/>
      <c r="D37" s="36" t="s">
        <v>10</v>
      </c>
      <c r="E37" s="36"/>
      <c r="F37" s="36"/>
      <c r="G37" s="75" t="s">
        <v>70</v>
      </c>
      <c r="H37" s="59">
        <f>H23*(H24*H23 + H24*H23*M31*M31)/(H23*H23 + H24*H24*M31*M31)</f>
        <v>47.289356850926623</v>
      </c>
      <c r="I37" s="90" t="s">
        <v>14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  <c r="AF37" s="23" t="s">
        <v>56</v>
      </c>
      <c r="AG37" s="2">
        <f t="shared" si="9"/>
        <v>4.8562307869729707E-3</v>
      </c>
      <c r="AH37" s="2">
        <f t="shared" si="9"/>
        <v>4.8562307869729707E-3</v>
      </c>
      <c r="AI37" s="2">
        <f t="shared" si="9"/>
        <v>4.8562307869729707E-3</v>
      </c>
      <c r="AJ37" s="2">
        <f t="shared" si="9"/>
        <v>4.8562307869729707E-3</v>
      </c>
      <c r="AK37" s="2">
        <f t="shared" si="9"/>
        <v>4.8562307869729707E-3</v>
      </c>
      <c r="AL37" s="2">
        <f t="shared" si="9"/>
        <v>4.8562307869729707E-3</v>
      </c>
      <c r="AM37" s="2">
        <f t="shared" si="9"/>
        <v>4.8562307869729707E-3</v>
      </c>
      <c r="AN37" s="2">
        <f t="shared" si="9"/>
        <v>4.8562307869729707E-3</v>
      </c>
      <c r="AO37" s="2">
        <f t="shared" si="9"/>
        <v>4.8562307869729707E-3</v>
      </c>
      <c r="AP37" s="2">
        <f t="shared" si="9"/>
        <v>4.8562307869729707E-3</v>
      </c>
      <c r="AQ37" s="2">
        <f t="shared" si="7"/>
        <v>4.8562307869729707E-3</v>
      </c>
      <c r="AR37" s="2">
        <f t="shared" si="7"/>
        <v>4.8562307869729707E-3</v>
      </c>
      <c r="AS37" s="2">
        <f t="shared" si="7"/>
        <v>4.8562307869729707E-3</v>
      </c>
      <c r="AT37" s="2">
        <f t="shared" si="7"/>
        <v>4.8562307869729707E-3</v>
      </c>
      <c r="AU37" s="2">
        <f t="shared" si="7"/>
        <v>4.8562307869729707E-3</v>
      </c>
      <c r="AV37" s="2">
        <f t="shared" si="7"/>
        <v>4.8562307869729707E-3</v>
      </c>
      <c r="AW37" s="2">
        <f t="shared" si="7"/>
        <v>4.8562307869729707E-3</v>
      </c>
      <c r="AX37" s="2">
        <f t="shared" si="7"/>
        <v>4.8562307869729707E-3</v>
      </c>
      <c r="AY37" s="2">
        <f t="shared" si="7"/>
        <v>4.8562307869729707E-3</v>
      </c>
      <c r="AZ37" s="2">
        <f t="shared" si="7"/>
        <v>4.8562307869729707E-3</v>
      </c>
      <c r="BA37" s="2">
        <f t="shared" si="7"/>
        <v>4.8562307869729707E-3</v>
      </c>
    </row>
    <row r="38" spans="2:53" ht="27" x14ac:dyDescent="0.2">
      <c r="B38" s="32"/>
      <c r="C38" s="36"/>
      <c r="D38" s="36"/>
      <c r="E38" s="36"/>
      <c r="F38" s="36"/>
      <c r="G38" s="75" t="s">
        <v>76</v>
      </c>
      <c r="H38" s="59">
        <f>H23*(H23*H23*M31 - H24*H24*M31)/(H23*H23 + H24*H24*M31*M31)</f>
        <v>-45.909108556657692</v>
      </c>
      <c r="I38" s="90" t="s">
        <v>14</v>
      </c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</row>
    <row r="39" spans="2:53" x14ac:dyDescent="0.2">
      <c r="B39" s="32"/>
      <c r="C39" s="36"/>
      <c r="D39" s="36"/>
      <c r="E39" s="36"/>
      <c r="F39" s="36"/>
      <c r="G39" s="75"/>
      <c r="H39" s="59"/>
      <c r="I39" s="90"/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</row>
    <row r="40" spans="2:53" x14ac:dyDescent="0.2">
      <c r="B40" s="32"/>
      <c r="C40" s="36" t="s">
        <v>51</v>
      </c>
      <c r="D40" s="36"/>
      <c r="E40" s="36"/>
      <c r="F40" s="36"/>
      <c r="G40" s="75"/>
      <c r="H40" s="59"/>
      <c r="I40" s="90"/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  <c r="AG40" s="2">
        <f>300/AG32</f>
        <v>0.1749271137026239</v>
      </c>
      <c r="AH40" s="2">
        <f t="shared" ref="AH40:BA40" si="10">300/AH32</f>
        <v>0.16773832820799553</v>
      </c>
      <c r="AI40" s="2">
        <f t="shared" si="10"/>
        <v>0.1611170784103115</v>
      </c>
      <c r="AJ40" s="2">
        <f t="shared" si="10"/>
        <v>0.15499870834409712</v>
      </c>
      <c r="AK40" s="2">
        <f t="shared" si="10"/>
        <v>0.14932802389248381</v>
      </c>
      <c r="AL40" s="2">
        <f t="shared" si="10"/>
        <v>0.14405762304921968</v>
      </c>
      <c r="AM40" s="2">
        <f t="shared" si="10"/>
        <v>0.1391465677179963</v>
      </c>
      <c r="AN40" s="2">
        <f t="shared" si="10"/>
        <v>0.13455931823278763</v>
      </c>
      <c r="AO40" s="2">
        <f t="shared" si="10"/>
        <v>0.13026487190620928</v>
      </c>
      <c r="AP40" s="2">
        <f t="shared" si="10"/>
        <v>0.12623606143488322</v>
      </c>
      <c r="AQ40" s="2">
        <f t="shared" si="10"/>
        <v>0.12244897959183673</v>
      </c>
      <c r="AR40" s="2">
        <f t="shared" si="10"/>
        <v>0.11888250445809392</v>
      </c>
      <c r="AS40" s="2">
        <f t="shared" si="10"/>
        <v>0.11551790527531768</v>
      </c>
      <c r="AT40" s="2">
        <f t="shared" si="10"/>
        <v>0.11233851338700618</v>
      </c>
      <c r="AU40" s="2">
        <f t="shared" si="10"/>
        <v>0.10932944606413994</v>
      </c>
      <c r="AV40" s="2">
        <f t="shared" si="10"/>
        <v>0.1064773735581189</v>
      </c>
      <c r="AW40" s="2">
        <f t="shared" si="10"/>
        <v>0.10377032168799723</v>
      </c>
      <c r="AX40" s="2">
        <f t="shared" si="10"/>
        <v>0.1011975037949064</v>
      </c>
      <c r="AY40" s="2">
        <f t="shared" si="10"/>
        <v>9.8749177090190918E-2</v>
      </c>
      <c r="AZ40" s="2">
        <f t="shared" si="10"/>
        <v>9.6416519363650977E-2</v>
      </c>
      <c r="BA40" s="2">
        <f t="shared" si="10"/>
        <v>9.4191522762951341E-2</v>
      </c>
    </row>
    <row r="41" spans="2:53" ht="27" x14ac:dyDescent="0.2">
      <c r="B41" s="32"/>
      <c r="C41" s="36"/>
      <c r="D41" s="36" t="s">
        <v>7</v>
      </c>
      <c r="E41" s="36"/>
      <c r="F41" s="36"/>
      <c r="G41" s="75" t="s">
        <v>64</v>
      </c>
      <c r="H41" s="61">
        <f>H27</f>
        <v>4.8562307869729707E-3</v>
      </c>
      <c r="I41" s="90" t="s">
        <v>13</v>
      </c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  <c r="AG41" s="2">
        <f>AG52+AG45</f>
        <v>0.17500000000000002</v>
      </c>
      <c r="AH41" s="2">
        <f t="shared" ref="AH41:BA41" si="11">AH52+AH45</f>
        <v>0.18250000000000002</v>
      </c>
      <c r="AI41" s="2">
        <f t="shared" si="11"/>
        <v>0.18999999999999997</v>
      </c>
      <c r="AJ41" s="2">
        <f t="shared" si="11"/>
        <v>0.19750000000000001</v>
      </c>
      <c r="AK41" s="2">
        <f t="shared" si="11"/>
        <v>0.20500000000000002</v>
      </c>
      <c r="AL41" s="2">
        <f t="shared" si="11"/>
        <v>0.21250000000000002</v>
      </c>
      <c r="AM41" s="2">
        <f t="shared" si="11"/>
        <v>0.21999999999999997</v>
      </c>
      <c r="AN41" s="2">
        <f t="shared" si="11"/>
        <v>0.22749999999999998</v>
      </c>
      <c r="AO41" s="2">
        <f t="shared" si="11"/>
        <v>0.23500000000000004</v>
      </c>
      <c r="AP41" s="2">
        <f t="shared" si="11"/>
        <v>0.24250000000000002</v>
      </c>
      <c r="AQ41" s="2">
        <f t="shared" si="11"/>
        <v>0.25</v>
      </c>
      <c r="AR41" s="2">
        <f t="shared" si="11"/>
        <v>0.25750000000000001</v>
      </c>
      <c r="AS41" s="2">
        <f t="shared" si="11"/>
        <v>0.26500000000000001</v>
      </c>
      <c r="AT41" s="2">
        <f t="shared" si="11"/>
        <v>0.27250000000000002</v>
      </c>
      <c r="AU41" s="2">
        <f t="shared" si="11"/>
        <v>0.28000000000000003</v>
      </c>
      <c r="AV41" s="2">
        <f t="shared" si="11"/>
        <v>0.28749999999999998</v>
      </c>
      <c r="AW41" s="2">
        <f t="shared" si="11"/>
        <v>0.29500000000000004</v>
      </c>
      <c r="AX41" s="2">
        <f t="shared" si="11"/>
        <v>0.30249999999999999</v>
      </c>
      <c r="AY41" s="2">
        <f t="shared" si="11"/>
        <v>0.31</v>
      </c>
      <c r="AZ41" s="2">
        <f t="shared" si="11"/>
        <v>0.31749999999999995</v>
      </c>
      <c r="BA41" s="2">
        <f t="shared" si="11"/>
        <v>0.32499999999999996</v>
      </c>
    </row>
    <row r="42" spans="2:53" x14ac:dyDescent="0.2">
      <c r="B42" s="32"/>
      <c r="C42" s="36"/>
      <c r="D42" s="36" t="s">
        <v>19</v>
      </c>
      <c r="E42" s="36"/>
      <c r="F42" s="36"/>
      <c r="G42" s="75"/>
      <c r="H42" s="61">
        <f>H41/H31</f>
        <v>3.9659218093612593E-2</v>
      </c>
      <c r="I42" s="90" t="s">
        <v>18</v>
      </c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</row>
    <row r="43" spans="2:53" ht="27" x14ac:dyDescent="0.2">
      <c r="B43" s="32"/>
      <c r="C43" s="36"/>
      <c r="D43" s="36" t="s">
        <v>10</v>
      </c>
      <c r="E43" s="36"/>
      <c r="F43" s="36"/>
      <c r="G43" s="75" t="s">
        <v>77</v>
      </c>
      <c r="H43" s="59">
        <v>0</v>
      </c>
      <c r="I43" s="90" t="s">
        <v>14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</row>
    <row r="44" spans="2:53" ht="27" x14ac:dyDescent="0.2">
      <c r="B44" s="32"/>
      <c r="C44" s="36"/>
      <c r="D44" s="36"/>
      <c r="E44" s="36"/>
      <c r="F44" s="36"/>
      <c r="G44" s="75" t="s">
        <v>78</v>
      </c>
      <c r="H44" s="59">
        <f>H23*(H23*H23*M32 - H25*H25*M32)/(H23*H23 + H25*H25*M32*M32)</f>
        <v>48.711066132732952</v>
      </c>
      <c r="I44" s="90" t="s">
        <v>14</v>
      </c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  <c r="AG44" s="2">
        <f>AG36-AG37</f>
        <v>2.5756014110986214E-2</v>
      </c>
      <c r="AH44" s="2">
        <f t="shared" ref="AH44:BA44" si="12">AH36-AH37</f>
        <v>2.5756014110986214E-2</v>
      </c>
      <c r="AI44" s="2">
        <f t="shared" si="12"/>
        <v>2.5756014110986214E-2</v>
      </c>
      <c r="AJ44" s="2">
        <f t="shared" si="12"/>
        <v>2.5756014110986214E-2</v>
      </c>
      <c r="AK44" s="2">
        <f t="shared" si="12"/>
        <v>2.5756014110986214E-2</v>
      </c>
      <c r="AL44" s="2">
        <f t="shared" si="12"/>
        <v>2.5756014110986214E-2</v>
      </c>
      <c r="AM44" s="2">
        <f t="shared" si="12"/>
        <v>2.5756014110986214E-2</v>
      </c>
      <c r="AN44" s="2">
        <f t="shared" si="12"/>
        <v>2.5756014110986214E-2</v>
      </c>
      <c r="AO44" s="2">
        <f t="shared" si="12"/>
        <v>2.5756014110986214E-2</v>
      </c>
      <c r="AP44" s="2">
        <f t="shared" si="12"/>
        <v>2.5756014110986214E-2</v>
      </c>
      <c r="AQ44" s="2">
        <f t="shared" si="12"/>
        <v>2.5756014110986214E-2</v>
      </c>
      <c r="AR44" s="2">
        <f t="shared" si="12"/>
        <v>2.5756014110986214E-2</v>
      </c>
      <c r="AS44" s="2">
        <f t="shared" si="12"/>
        <v>2.5756014110986214E-2</v>
      </c>
      <c r="AT44" s="2">
        <f t="shared" si="12"/>
        <v>2.5756014110986214E-2</v>
      </c>
      <c r="AU44" s="2">
        <f t="shared" si="12"/>
        <v>2.5756014110986214E-2</v>
      </c>
      <c r="AV44" s="2">
        <f t="shared" si="12"/>
        <v>2.5756014110986214E-2</v>
      </c>
      <c r="AW44" s="2">
        <f t="shared" si="12"/>
        <v>2.5756014110986214E-2</v>
      </c>
      <c r="AX44" s="2">
        <f t="shared" si="12"/>
        <v>2.5756014110986214E-2</v>
      </c>
      <c r="AY44" s="2">
        <f t="shared" si="12"/>
        <v>2.5756014110986214E-2</v>
      </c>
      <c r="AZ44" s="2">
        <f t="shared" si="12"/>
        <v>2.5756014110986214E-2</v>
      </c>
      <c r="BA44" s="2">
        <f t="shared" si="12"/>
        <v>2.5756014110986214E-2</v>
      </c>
    </row>
    <row r="45" spans="2:53" x14ac:dyDescent="0.2">
      <c r="B45" s="32"/>
      <c r="C45" s="36"/>
      <c r="D45" s="36"/>
      <c r="E45" s="36"/>
      <c r="F45" s="36"/>
      <c r="G45" s="75"/>
      <c r="H45" s="59"/>
      <c r="I45" s="90"/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  <c r="AG45" s="2">
        <f>AG44/AG40</f>
        <v>0.1472385473344712</v>
      </c>
      <c r="AH45" s="2">
        <f t="shared" ref="AH45:BA45" si="13">AH44/AH40</f>
        <v>0.15354877079166282</v>
      </c>
      <c r="AI45" s="2">
        <f t="shared" si="13"/>
        <v>0.15985899424885441</v>
      </c>
      <c r="AJ45" s="2">
        <f t="shared" si="13"/>
        <v>0.16616921770604606</v>
      </c>
      <c r="AK45" s="2">
        <f t="shared" si="13"/>
        <v>0.17247944116323768</v>
      </c>
      <c r="AL45" s="2">
        <f t="shared" si="13"/>
        <v>0.17878966462042931</v>
      </c>
      <c r="AM45" s="2">
        <f t="shared" si="13"/>
        <v>0.1850998880776209</v>
      </c>
      <c r="AN45" s="2">
        <f t="shared" si="13"/>
        <v>0.19141011153481252</v>
      </c>
      <c r="AO45" s="2">
        <f t="shared" si="13"/>
        <v>0.1977203349920042</v>
      </c>
      <c r="AP45" s="2">
        <f t="shared" si="13"/>
        <v>0.20403055844919579</v>
      </c>
      <c r="AQ45" s="2">
        <f t="shared" si="13"/>
        <v>0.21034078190638741</v>
      </c>
      <c r="AR45" s="2">
        <f t="shared" si="13"/>
        <v>0.21665100536357904</v>
      </c>
      <c r="AS45" s="2">
        <f t="shared" si="13"/>
        <v>0.22296122882077066</v>
      </c>
      <c r="AT45" s="2">
        <f t="shared" si="13"/>
        <v>0.22927145227796228</v>
      </c>
      <c r="AU45" s="2">
        <f t="shared" si="13"/>
        <v>0.2355816757351539</v>
      </c>
      <c r="AV45" s="2">
        <f t="shared" si="13"/>
        <v>0.24189189919234552</v>
      </c>
      <c r="AW45" s="2">
        <f t="shared" si="13"/>
        <v>0.24820212264953717</v>
      </c>
      <c r="AX45" s="2">
        <f t="shared" si="13"/>
        <v>0.25451234610672874</v>
      </c>
      <c r="AY45" s="2">
        <f t="shared" si="13"/>
        <v>0.26082256956392036</v>
      </c>
      <c r="AZ45" s="2">
        <f t="shared" si="13"/>
        <v>0.26713279302111198</v>
      </c>
      <c r="BA45" s="2">
        <f t="shared" si="13"/>
        <v>0.2734430164783036</v>
      </c>
    </row>
    <row r="46" spans="2:53" x14ac:dyDescent="0.2">
      <c r="B46" s="32"/>
      <c r="C46" s="36"/>
      <c r="D46" s="36"/>
      <c r="E46" s="36"/>
      <c r="F46" s="36"/>
      <c r="G46" s="75"/>
      <c r="H46" s="59"/>
      <c r="I46" s="90"/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">
        <f t="shared" ref="AG46:BA46" si="14">AG33*(AG34*AG33 + AG34*AG33*AG24*AG24)/(AG33*AG33 + AG34*AG34*AG24*AG24)</f>
        <v>67.780986963162789</v>
      </c>
      <c r="AH46" s="2">
        <f t="shared" si="14"/>
        <v>64.30008927489537</v>
      </c>
      <c r="AI46" s="2">
        <f t="shared" si="14"/>
        <v>61.246950971841564</v>
      </c>
      <c r="AJ46" s="2">
        <f t="shared" si="14"/>
        <v>58.567472861911327</v>
      </c>
      <c r="AK46" s="2">
        <f t="shared" si="14"/>
        <v>56.216648112143567</v>
      </c>
      <c r="AL46" s="2">
        <f t="shared" si="14"/>
        <v>54.156925439251992</v>
      </c>
      <c r="AM46" s="2">
        <f t="shared" si="14"/>
        <v>52.356912112434514</v>
      </c>
      <c r="AN46" s="2">
        <f t="shared" si="14"/>
        <v>50.790342084201782</v>
      </c>
      <c r="AO46" s="2">
        <f t="shared" si="14"/>
        <v>49.435252400238511</v>
      </c>
      <c r="AP46" s="2">
        <f t="shared" si="14"/>
        <v>48.273324460317525</v>
      </c>
      <c r="AQ46" s="2">
        <f t="shared" si="14"/>
        <v>47.289356850926623</v>
      </c>
      <c r="AR46" s="2">
        <f t="shared" si="14"/>
        <v>46.470844191808034</v>
      </c>
      <c r="AS46" s="2">
        <f t="shared" si="14"/>
        <v>45.807642358313274</v>
      </c>
      <c r="AT46" s="2">
        <f t="shared" si="14"/>
        <v>45.291705022960997</v>
      </c>
      <c r="AU46" s="2">
        <f t="shared" si="14"/>
        <v>44.916880048422691</v>
      </c>
      <c r="AV46" s="2">
        <f t="shared" si="14"/>
        <v>44.678757120138208</v>
      </c>
      <c r="AW46" s="2">
        <f t="shared" si="14"/>
        <v>44.57456032773657</v>
      </c>
      <c r="AX46" s="2">
        <f t="shared" si="14"/>
        <v>44.603081344040234</v>
      </c>
      <c r="AY46" s="2">
        <f t="shared" si="14"/>
        <v>44.76465053141262</v>
      </c>
      <c r="AZ46" s="2">
        <f t="shared" si="14"/>
        <v>45.061144829736698</v>
      </c>
      <c r="BA46" s="2">
        <f t="shared" si="14"/>
        <v>45.496032738264141</v>
      </c>
    </row>
    <row r="47" spans="2:53" x14ac:dyDescent="0.2">
      <c r="B47" s="32"/>
      <c r="C47" s="36"/>
      <c r="D47" s="36" t="s">
        <v>55</v>
      </c>
      <c r="E47" s="36"/>
      <c r="F47" s="36"/>
      <c r="G47" s="75" t="s">
        <v>79</v>
      </c>
      <c r="H47" s="67">
        <f>H23*(M32*M32*M33)/((M32+M34)*(M32+M34) + M33*M33)</f>
        <v>49.999981766853892</v>
      </c>
      <c r="I47" s="90" t="s">
        <v>14</v>
      </c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G47" s="2">
        <f t="shared" ref="AG47:BA47" si="15">AG33*(AG33*AG33*AG24 - AG34*AG34*AG24)/(AG33*AG33 + AG34*AG34*AG24*AG24)</f>
        <v>-132.322784548447</v>
      </c>
      <c r="AH47" s="2">
        <f t="shared" si="15"/>
        <v>-122.2794397716933</v>
      </c>
      <c r="AI47" s="2">
        <f t="shared" si="15"/>
        <v>-112.64761439898936</v>
      </c>
      <c r="AJ47" s="2">
        <f t="shared" si="15"/>
        <v>-103.38413569481881</v>
      </c>
      <c r="AK47" s="2">
        <f t="shared" si="15"/>
        <v>-94.44949958764451</v>
      </c>
      <c r="AL47" s="2">
        <f t="shared" si="15"/>
        <v>-85.807516545952438</v>
      </c>
      <c r="AM47" s="2">
        <f t="shared" si="15"/>
        <v>-77.424955017684013</v>
      </c>
      <c r="AN47" s="2">
        <f t="shared" si="15"/>
        <v>-69.271197071395846</v>
      </c>
      <c r="AO47" s="2">
        <f t="shared" si="15"/>
        <v>-61.317913647010691</v>
      </c>
      <c r="AP47" s="2">
        <f t="shared" si="15"/>
        <v>-53.538762410319009</v>
      </c>
      <c r="AQ47" s="2">
        <f t="shared" si="15"/>
        <v>-45.909108556657692</v>
      </c>
      <c r="AR47" s="2">
        <f t="shared" si="15"/>
        <v>-38.405767362090849</v>
      </c>
      <c r="AS47" s="2">
        <f t="shared" si="15"/>
        <v>-31.006766415111013</v>
      </c>
      <c r="AT47" s="2">
        <f t="shared" si="15"/>
        <v>-23.691125012080175</v>
      </c>
      <c r="AU47" s="2">
        <f t="shared" si="15"/>
        <v>-16.43864799622304</v>
      </c>
      <c r="AV47" s="2">
        <f t="shared" si="15"/>
        <v>-9.2297312557080531</v>
      </c>
      <c r="AW47" s="2">
        <f t="shared" si="15"/>
        <v>-2.0451761033915457</v>
      </c>
      <c r="AX47" s="2">
        <f t="shared" si="15"/>
        <v>5.1339902033231333</v>
      </c>
      <c r="AY47" s="2">
        <f t="shared" si="15"/>
        <v>12.326690505415147</v>
      </c>
      <c r="AZ47" s="2">
        <f t="shared" si="15"/>
        <v>19.551973024647129</v>
      </c>
      <c r="BA47" s="2">
        <f t="shared" si="15"/>
        <v>26.829188555893417</v>
      </c>
    </row>
    <row r="48" spans="2:53" x14ac:dyDescent="0.2">
      <c r="B48" s="32"/>
      <c r="C48" s="36"/>
      <c r="D48" s="36"/>
      <c r="E48" s="36"/>
      <c r="F48" s="36"/>
      <c r="G48" s="75" t="s">
        <v>80</v>
      </c>
      <c r="H48" s="68">
        <f>H23*(M32*M33*M33+M32*M32*M34)/((M32+M34)*(M32+M34)+M33*M33)</f>
        <v>3.5779569874417455E-5</v>
      </c>
      <c r="I48" s="90" t="s">
        <v>14</v>
      </c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</row>
    <row r="49" spans="2:53" x14ac:dyDescent="0.2">
      <c r="B49" s="32"/>
      <c r="C49" s="36"/>
      <c r="D49" s="36"/>
      <c r="E49" s="36"/>
      <c r="F49" s="36"/>
      <c r="G49" s="75"/>
      <c r="H49" s="59"/>
      <c r="I49" s="90"/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</row>
    <row r="50" spans="2:53" x14ac:dyDescent="0.2">
      <c r="B50" s="32"/>
      <c r="C50" s="36"/>
      <c r="D50" s="36"/>
      <c r="E50" s="36"/>
      <c r="F50" s="36"/>
      <c r="G50" s="75" t="s">
        <v>32</v>
      </c>
      <c r="H50" s="59">
        <f>SQRT(H47*H47 + H48*H48)</f>
        <v>49.999981766866696</v>
      </c>
      <c r="I50" s="90" t="s">
        <v>14</v>
      </c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</row>
    <row r="51" spans="2:53" x14ac:dyDescent="0.2">
      <c r="B51" s="32"/>
      <c r="C51" s="36"/>
      <c r="D51" s="36"/>
      <c r="E51" s="36"/>
      <c r="F51" s="36"/>
      <c r="G51" s="75"/>
      <c r="H51" s="59"/>
      <c r="I51" s="90"/>
      <c r="J51" s="33"/>
      <c r="K51" s="38"/>
      <c r="L51" s="6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5"/>
      <c r="AG51" s="2">
        <f>AG37</f>
        <v>4.8562307869729707E-3</v>
      </c>
      <c r="AH51" s="2">
        <f t="shared" ref="AH51:BA51" si="16">AH37</f>
        <v>4.8562307869729707E-3</v>
      </c>
      <c r="AI51" s="2">
        <f t="shared" si="16"/>
        <v>4.8562307869729707E-3</v>
      </c>
      <c r="AJ51" s="2">
        <f t="shared" si="16"/>
        <v>4.8562307869729707E-3</v>
      </c>
      <c r="AK51" s="2">
        <f t="shared" si="16"/>
        <v>4.8562307869729707E-3</v>
      </c>
      <c r="AL51" s="2">
        <f t="shared" si="16"/>
        <v>4.8562307869729707E-3</v>
      </c>
      <c r="AM51" s="2">
        <f t="shared" si="16"/>
        <v>4.8562307869729707E-3</v>
      </c>
      <c r="AN51" s="2">
        <f t="shared" si="16"/>
        <v>4.8562307869729707E-3</v>
      </c>
      <c r="AO51" s="2">
        <f t="shared" si="16"/>
        <v>4.8562307869729707E-3</v>
      </c>
      <c r="AP51" s="2">
        <f t="shared" si="16"/>
        <v>4.8562307869729707E-3</v>
      </c>
      <c r="AQ51" s="2">
        <f t="shared" si="16"/>
        <v>4.8562307869729707E-3</v>
      </c>
      <c r="AR51" s="2">
        <f t="shared" si="16"/>
        <v>4.8562307869729707E-3</v>
      </c>
      <c r="AS51" s="2">
        <f t="shared" si="16"/>
        <v>4.8562307869729707E-3</v>
      </c>
      <c r="AT51" s="2">
        <f t="shared" si="16"/>
        <v>4.8562307869729707E-3</v>
      </c>
      <c r="AU51" s="2">
        <f t="shared" si="16"/>
        <v>4.8562307869729707E-3</v>
      </c>
      <c r="AV51" s="2">
        <f t="shared" si="16"/>
        <v>4.8562307869729707E-3</v>
      </c>
      <c r="AW51" s="2">
        <f t="shared" si="16"/>
        <v>4.8562307869729707E-3</v>
      </c>
      <c r="AX51" s="2">
        <f t="shared" si="16"/>
        <v>4.8562307869729707E-3</v>
      </c>
      <c r="AY51" s="2">
        <f t="shared" si="16"/>
        <v>4.8562307869729707E-3</v>
      </c>
      <c r="AZ51" s="2">
        <f t="shared" si="16"/>
        <v>4.8562307869729707E-3</v>
      </c>
      <c r="BA51" s="2">
        <f t="shared" si="16"/>
        <v>4.8562307869729707E-3</v>
      </c>
    </row>
    <row r="52" spans="2:53" x14ac:dyDescent="0.2">
      <c r="B52" s="32"/>
      <c r="C52" s="33"/>
      <c r="D52" s="33"/>
      <c r="E52" s="33"/>
      <c r="F52" s="33"/>
      <c r="G52" s="46"/>
      <c r="H52" s="57"/>
      <c r="I52" s="89"/>
      <c r="J52" s="33"/>
      <c r="K52" s="33"/>
      <c r="L52" s="58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5"/>
      <c r="AG52" s="2">
        <f>AG51/AG40</f>
        <v>2.7761452665528819E-2</v>
      </c>
      <c r="AH52" s="2">
        <f t="shared" ref="AH52:BA52" si="17">AH51/AH40</f>
        <v>2.8951229208337193E-2</v>
      </c>
      <c r="AI52" s="2">
        <f t="shared" si="17"/>
        <v>3.0141005751145571E-2</v>
      </c>
      <c r="AJ52" s="2">
        <f t="shared" si="17"/>
        <v>3.1330782293953953E-2</v>
      </c>
      <c r="AK52" s="2">
        <f t="shared" si="17"/>
        <v>3.2520558836762331E-2</v>
      </c>
      <c r="AL52" s="2">
        <f t="shared" si="17"/>
        <v>3.3710335379570709E-2</v>
      </c>
      <c r="AM52" s="2">
        <f t="shared" si="17"/>
        <v>3.490011192237908E-2</v>
      </c>
      <c r="AN52" s="2">
        <f t="shared" si="17"/>
        <v>3.6089888465187459E-2</v>
      </c>
      <c r="AO52" s="2">
        <f t="shared" si="17"/>
        <v>3.7279665007995844E-2</v>
      </c>
      <c r="AP52" s="2">
        <f t="shared" si="17"/>
        <v>3.8469441550804222E-2</v>
      </c>
      <c r="AQ52" s="2">
        <f t="shared" si="17"/>
        <v>3.9659218093612593E-2</v>
      </c>
      <c r="AR52" s="2">
        <f t="shared" si="17"/>
        <v>4.0848994636420971E-2</v>
      </c>
      <c r="AS52" s="2">
        <f t="shared" si="17"/>
        <v>4.2038771179229349E-2</v>
      </c>
      <c r="AT52" s="2">
        <f t="shared" si="17"/>
        <v>4.3228547722037727E-2</v>
      </c>
      <c r="AU52" s="2">
        <f t="shared" si="17"/>
        <v>4.4418324264846105E-2</v>
      </c>
      <c r="AV52" s="2">
        <f t="shared" si="17"/>
        <v>4.5608100807654484E-2</v>
      </c>
      <c r="AW52" s="2">
        <f t="shared" si="17"/>
        <v>4.6797877350462862E-2</v>
      </c>
      <c r="AX52" s="2">
        <f t="shared" si="17"/>
        <v>4.7987653893271233E-2</v>
      </c>
      <c r="AY52" s="2">
        <f t="shared" si="17"/>
        <v>4.9177430436079618E-2</v>
      </c>
      <c r="AZ52" s="2">
        <f t="shared" si="17"/>
        <v>5.0367206978887989E-2</v>
      </c>
      <c r="BA52" s="2">
        <f t="shared" si="17"/>
        <v>5.1556983521696367E-2</v>
      </c>
    </row>
    <row r="53" spans="2:53" s="4" customFormat="1" ht="28" x14ac:dyDescent="0.2">
      <c r="B53" s="28"/>
      <c r="C53" s="4" t="s">
        <v>52</v>
      </c>
      <c r="G53" s="76"/>
      <c r="H53" s="55"/>
      <c r="I53" s="88"/>
      <c r="J53" s="30"/>
      <c r="K53" s="30"/>
      <c r="L53" s="56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1"/>
      <c r="AF53" s="5"/>
      <c r="AG53" s="4">
        <f>AG33*(AG35*AG33 + AG35*AG33*AK45*AK45)/(AG33*AG33 + AG35*AG35*AK45*AK45)</f>
        <v>0</v>
      </c>
      <c r="AH53" s="4">
        <f t="shared" ref="AH53:AW53" si="18">AH33*(AH35*AH33 + AH35*AH33*AL45*AL45)/(AH33*AH33 + AH35*AH35*AL45*AL45)</f>
        <v>0</v>
      </c>
      <c r="AI53" s="4">
        <f t="shared" si="18"/>
        <v>0</v>
      </c>
      <c r="AJ53" s="4">
        <f t="shared" si="18"/>
        <v>0</v>
      </c>
      <c r="AK53" s="4">
        <f t="shared" si="18"/>
        <v>0</v>
      </c>
      <c r="AL53" s="4">
        <f t="shared" si="18"/>
        <v>0</v>
      </c>
      <c r="AM53" s="4">
        <f t="shared" si="18"/>
        <v>0</v>
      </c>
      <c r="AN53" s="4">
        <f t="shared" si="18"/>
        <v>0</v>
      </c>
      <c r="AO53" s="4">
        <f t="shared" si="18"/>
        <v>0</v>
      </c>
      <c r="AP53" s="4">
        <f t="shared" si="18"/>
        <v>0</v>
      </c>
      <c r="AQ53" s="4">
        <f t="shared" si="18"/>
        <v>0</v>
      </c>
      <c r="AR53" s="4">
        <f t="shared" si="18"/>
        <v>0</v>
      </c>
      <c r="AS53" s="4">
        <f t="shared" si="18"/>
        <v>0</v>
      </c>
      <c r="AT53" s="4">
        <f t="shared" si="18"/>
        <v>0</v>
      </c>
      <c r="AU53" s="4">
        <f t="shared" si="18"/>
        <v>0</v>
      </c>
      <c r="AV53" s="4">
        <f t="shared" si="18"/>
        <v>0</v>
      </c>
      <c r="AW53" s="4">
        <f t="shared" si="18"/>
        <v>0</v>
      </c>
      <c r="AX53" s="4">
        <f>AX33*(AX35*AX33 + AX35*AX33*BB38*BB38)/(AX33*AX33 + AX35*AX35*BB38*BB38)</f>
        <v>0</v>
      </c>
      <c r="AY53" s="4">
        <f>AY33*(AY35*AY33 + AY35*AY33*BC38*BC38)/(AY33*AY33 + AY35*AY35*BC38*BC38)</f>
        <v>0</v>
      </c>
      <c r="AZ53" s="4">
        <f>AZ33*(AZ35*AZ33 + AZ35*AZ33*BD38*BD38)/(AZ33*AZ33 + AZ35*AZ35*BD38*BD38)</f>
        <v>0</v>
      </c>
      <c r="BA53" s="4">
        <f>BA33*(BA35*BA33 + BA35*BA33*BE38*BE38)/(BA33*BA33 + BA35*BA35*BE38*BE38)</f>
        <v>0</v>
      </c>
    </row>
    <row r="54" spans="2:53" x14ac:dyDescent="0.2">
      <c r="B54" s="32"/>
      <c r="C54" s="49" t="s">
        <v>48</v>
      </c>
      <c r="D54" s="33"/>
      <c r="E54" s="49" t="s">
        <v>49</v>
      </c>
      <c r="F54" s="33"/>
      <c r="G54" s="46"/>
      <c r="H54" s="57"/>
      <c r="I54" s="89"/>
      <c r="J54" s="33"/>
      <c r="K54" s="33"/>
      <c r="L54" s="58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5"/>
      <c r="AG54" s="2">
        <f>AG33*(AG33*AG33*AG25 - AG35*AG35*AG25)/(AG33*AG33 + AG35*AG35*AG25*AG25)</f>
        <v>33.731858710212784</v>
      </c>
      <c r="AH54" s="2">
        <f t="shared" ref="AH54:BA54" si="19">AH33*(AH33*AH33*AH25 - AH35*AH35*AH25)/(AH33*AH33 + AH35*AH35*AH25*AH25)</f>
        <v>35.209228847218348</v>
      </c>
      <c r="AI54" s="2">
        <f t="shared" si="19"/>
        <v>36.690667581619358</v>
      </c>
      <c r="AJ54" s="2">
        <f t="shared" si="19"/>
        <v>38.176358023323758</v>
      </c>
      <c r="AK54" s="2">
        <f t="shared" si="19"/>
        <v>39.666485288091195</v>
      </c>
      <c r="AL54" s="2">
        <f t="shared" si="19"/>
        <v>41.161236593901315</v>
      </c>
      <c r="AM54" s="2">
        <f t="shared" si="19"/>
        <v>42.660801359479848</v>
      </c>
      <c r="AN54" s="2">
        <f t="shared" si="19"/>
        <v>44.165371305096848</v>
      </c>
      <c r="AO54" s="2">
        <f t="shared" si="19"/>
        <v>45.675140555755576</v>
      </c>
      <c r="AP54" s="2">
        <f t="shared" si="19"/>
        <v>47.190305746894971</v>
      </c>
      <c r="AQ54" s="2">
        <f t="shared" si="19"/>
        <v>48.711066132732952</v>
      </c>
      <c r="AR54" s="2">
        <f t="shared" si="19"/>
        <v>50.237623697383164</v>
      </c>
      <c r="AS54" s="2">
        <f t="shared" si="19"/>
        <v>51.770183268882128</v>
      </c>
      <c r="AT54" s="2">
        <f t="shared" si="19"/>
        <v>53.308952636270519</v>
      </c>
      <c r="AU54" s="2">
        <f t="shared" si="19"/>
        <v>54.854142669876509</v>
      </c>
      <c r="AV54" s="2">
        <f t="shared" si="19"/>
        <v>56.405967444956623</v>
      </c>
      <c r="AW54" s="2">
        <f t="shared" si="19"/>
        <v>57.964644368855076</v>
      </c>
      <c r="AX54" s="2">
        <f t="shared" si="19"/>
        <v>59.530394311849825</v>
      </c>
      <c r="AY54" s="2">
        <f t="shared" si="19"/>
        <v>61.103441741861026</v>
      </c>
      <c r="AZ54" s="2">
        <f t="shared" si="19"/>
        <v>62.684014863204155</v>
      </c>
      <c r="BA54" s="2">
        <f t="shared" si="19"/>
        <v>64.272345759579935</v>
      </c>
    </row>
    <row r="55" spans="2:53" x14ac:dyDescent="0.2">
      <c r="B55" s="32"/>
      <c r="C55" s="36"/>
      <c r="D55" s="36"/>
      <c r="E55" s="36"/>
      <c r="F55" s="36"/>
      <c r="G55" s="75"/>
      <c r="H55" s="59"/>
      <c r="I55" s="90"/>
      <c r="J55" s="33"/>
      <c r="K55" s="66"/>
      <c r="L55" s="98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35"/>
    </row>
    <row r="56" spans="2:53" x14ac:dyDescent="0.2">
      <c r="B56" s="32"/>
      <c r="C56" s="36"/>
      <c r="D56" s="36" t="s">
        <v>34</v>
      </c>
      <c r="E56" s="36"/>
      <c r="F56" s="36"/>
      <c r="G56" s="75"/>
      <c r="H56" s="74">
        <v>50</v>
      </c>
      <c r="I56" s="90" t="s">
        <v>14</v>
      </c>
      <c r="J56" s="33"/>
      <c r="K56" s="66"/>
      <c r="L56" s="98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35"/>
    </row>
    <row r="57" spans="2:53" x14ac:dyDescent="0.2">
      <c r="B57" s="32"/>
      <c r="C57" s="36"/>
      <c r="D57" s="36" t="s">
        <v>35</v>
      </c>
      <c r="E57" s="36"/>
      <c r="F57" s="36"/>
      <c r="G57" s="75"/>
      <c r="H57" s="74">
        <v>0</v>
      </c>
      <c r="I57" s="90" t="s">
        <v>14</v>
      </c>
      <c r="J57" s="33"/>
      <c r="K57" s="66"/>
      <c r="L57" s="97" t="s">
        <v>58</v>
      </c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</row>
    <row r="58" spans="2:53" x14ac:dyDescent="0.2">
      <c r="B58" s="32"/>
      <c r="C58" s="36"/>
      <c r="D58" s="36"/>
      <c r="E58" s="36"/>
      <c r="F58" s="36"/>
      <c r="G58" s="75"/>
      <c r="H58" s="59"/>
      <c r="I58" s="90"/>
      <c r="J58" s="33"/>
      <c r="K58" s="66"/>
      <c r="L58" s="97" t="s">
        <v>81</v>
      </c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  <c r="AF58" s="23" t="s">
        <v>36</v>
      </c>
      <c r="AG58" s="2">
        <f t="shared" ref="AG58:BA58" si="20">AG33*(AG25*AG25*AG26)/((AG25+AG27)*(AG25+AG27) + AG26*AG26)</f>
        <v>5.3878350082251254</v>
      </c>
      <c r="AH58" s="2">
        <f t="shared" si="20"/>
        <v>6.8038621091038722</v>
      </c>
      <c r="AI58" s="2">
        <f t="shared" si="20"/>
        <v>8.6602264490855863</v>
      </c>
      <c r="AJ58" s="2">
        <f t="shared" si="20"/>
        <v>11.111167315713876</v>
      </c>
      <c r="AK58" s="2">
        <f t="shared" si="20"/>
        <v>14.355774519309884</v>
      </c>
      <c r="AL58" s="2">
        <f t="shared" si="20"/>
        <v>18.625727477032076</v>
      </c>
      <c r="AM58" s="2">
        <f t="shared" si="20"/>
        <v>24.124468208541924</v>
      </c>
      <c r="AN58" s="2">
        <f t="shared" si="20"/>
        <v>30.863495295612438</v>
      </c>
      <c r="AO58" s="2">
        <f t="shared" si="20"/>
        <v>38.360119634950422</v>
      </c>
      <c r="AP58" s="2">
        <f t="shared" si="20"/>
        <v>45.347300731054773</v>
      </c>
      <c r="AQ58" s="2">
        <f t="shared" si="20"/>
        <v>49.999981766853892</v>
      </c>
      <c r="AR58" s="2">
        <f t="shared" si="20"/>
        <v>51.00341393017996</v>
      </c>
      <c r="AS58" s="2">
        <f t="shared" si="20"/>
        <v>48.536628006165131</v>
      </c>
      <c r="AT58" s="2">
        <f t="shared" si="20"/>
        <v>43.9506897943048</v>
      </c>
      <c r="AU58" s="2">
        <f t="shared" si="20"/>
        <v>38.689712528052546</v>
      </c>
      <c r="AV58" s="2">
        <f t="shared" si="20"/>
        <v>33.670898489311959</v>
      </c>
      <c r="AW58" s="2">
        <f t="shared" si="20"/>
        <v>29.286200135081458</v>
      </c>
      <c r="AX58" s="2">
        <f t="shared" si="20"/>
        <v>25.614898611469986</v>
      </c>
      <c r="AY58" s="2">
        <f t="shared" si="20"/>
        <v>22.598414253151926</v>
      </c>
      <c r="AZ58" s="2">
        <f t="shared" si="20"/>
        <v>20.135651934034765</v>
      </c>
      <c r="BA58" s="2">
        <f t="shared" si="20"/>
        <v>18.124627926661255</v>
      </c>
    </row>
    <row r="59" spans="2:53" x14ac:dyDescent="0.2">
      <c r="B59" s="32"/>
      <c r="C59" s="36"/>
      <c r="D59" s="36" t="s">
        <v>54</v>
      </c>
      <c r="E59" s="36"/>
      <c r="F59" s="36"/>
      <c r="G59" s="75"/>
      <c r="H59" s="95">
        <f>(H47-H56)*(H47-H56)</f>
        <v>3.3244761698125768E-10</v>
      </c>
      <c r="I59" s="90"/>
      <c r="J59" s="33"/>
      <c r="K59" s="66"/>
      <c r="L59" s="98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  <c r="AF59" s="23" t="s">
        <v>37</v>
      </c>
      <c r="AG59" s="2">
        <f t="shared" ref="AG59:BA59" si="21">AG33*(AG25*AG26*AG26+AG25*AG25*AG27)/((AG25+AG27)*(AG25+AG27)+AG26*AG26)</f>
        <v>0.30815555684546242</v>
      </c>
      <c r="AH59" s="2">
        <f t="shared" si="21"/>
        <v>-0.51349497467415439</v>
      </c>
      <c r="AI59" s="2">
        <f t="shared" si="21"/>
        <v>-1.4718708911755061</v>
      </c>
      <c r="AJ59" s="2">
        <f t="shared" si="21"/>
        <v>-2.5676221621108839</v>
      </c>
      <c r="AK59" s="2">
        <f t="shared" si="21"/>
        <v>-3.7736375533528252</v>
      </c>
      <c r="AL59" s="2">
        <f t="shared" si="21"/>
        <v>-5.0046829000316286</v>
      </c>
      <c r="AM59" s="2">
        <f t="shared" si="21"/>
        <v>-6.0674878182494387</v>
      </c>
      <c r="AN59" s="2">
        <f t="shared" si="21"/>
        <v>-6.6005225654585677</v>
      </c>
      <c r="AO59" s="2">
        <f t="shared" si="21"/>
        <v>-6.0626340125706015</v>
      </c>
      <c r="AP59" s="2">
        <f t="shared" si="21"/>
        <v>-3.9055586896900145</v>
      </c>
      <c r="AQ59" s="2">
        <f t="shared" si="21"/>
        <v>3.5779569874417455E-5</v>
      </c>
      <c r="AR59" s="2">
        <f t="shared" si="21"/>
        <v>5.0275124521848022</v>
      </c>
      <c r="AS59" s="2">
        <f t="shared" si="21"/>
        <v>10.09251482518394</v>
      </c>
      <c r="AT59" s="2">
        <f t="shared" si="21"/>
        <v>14.351182837668464</v>
      </c>
      <c r="AU59" s="2">
        <f t="shared" si="21"/>
        <v>17.521130886653413</v>
      </c>
      <c r="AV59" s="2">
        <f t="shared" si="21"/>
        <v>19.714744737667782</v>
      </c>
      <c r="AW59" s="2">
        <f t="shared" si="21"/>
        <v>21.177247531291599</v>
      </c>
      <c r="AX59" s="2">
        <f t="shared" si="21"/>
        <v>22.140309770947759</v>
      </c>
      <c r="AY59" s="2">
        <f t="shared" si="21"/>
        <v>22.778546756394043</v>
      </c>
      <c r="AZ59" s="2">
        <f t="shared" si="21"/>
        <v>23.211584921697451</v>
      </c>
      <c r="BA59" s="2">
        <f t="shared" si="21"/>
        <v>23.517922382672701</v>
      </c>
    </row>
    <row r="60" spans="2:53" x14ac:dyDescent="0.2">
      <c r="B60" s="32"/>
      <c r="C60" s="36"/>
      <c r="D60" s="36" t="s">
        <v>54</v>
      </c>
      <c r="E60" s="36"/>
      <c r="F60" s="36"/>
      <c r="G60" s="75"/>
      <c r="H60" s="95">
        <f>(H48-H57)*(H48-H57)</f>
        <v>1.2801776203983211E-9</v>
      </c>
      <c r="I60" s="90"/>
      <c r="J60" s="33"/>
      <c r="K60" s="66"/>
      <c r="L60" s="98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</row>
    <row r="61" spans="2:53" x14ac:dyDescent="0.2">
      <c r="B61" s="32"/>
      <c r="C61" s="36"/>
      <c r="D61" s="36"/>
      <c r="E61" s="36"/>
      <c r="F61" s="36"/>
      <c r="G61" s="75"/>
      <c r="H61" s="95"/>
      <c r="I61" s="90"/>
      <c r="J61" s="33"/>
      <c r="K61" s="66"/>
      <c r="L61" s="98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</row>
    <row r="62" spans="2:53" x14ac:dyDescent="0.2">
      <c r="B62" s="32"/>
      <c r="C62" s="36"/>
      <c r="D62" s="36" t="s">
        <v>53</v>
      </c>
      <c r="E62" s="36"/>
      <c r="F62" s="36"/>
      <c r="G62" s="75"/>
      <c r="H62" s="96">
        <f>SUM(H59:H61)</f>
        <v>1.6126252373795788E-9</v>
      </c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53" x14ac:dyDescent="0.2">
      <c r="B63" s="32"/>
      <c r="C63" s="36"/>
      <c r="D63" s="36"/>
      <c r="E63" s="36"/>
      <c r="F63" s="36"/>
      <c r="G63" s="75"/>
      <c r="H63" s="59"/>
      <c r="I63" s="90"/>
      <c r="J63" s="33"/>
      <c r="K63" s="66"/>
      <c r="L63" s="98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35"/>
    </row>
    <row r="64" spans="2:53" ht="24" thickBot="1" x14ac:dyDescent="0.25">
      <c r="B64" s="40"/>
      <c r="C64" s="41"/>
      <c r="D64" s="41"/>
      <c r="E64" s="41"/>
      <c r="F64" s="41"/>
      <c r="G64" s="85"/>
      <c r="H64" s="63"/>
      <c r="I64" s="91"/>
      <c r="J64" s="41"/>
      <c r="K64" s="41"/>
      <c r="L64" s="64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3"/>
    </row>
    <row r="65" ht="24" thickTop="1" x14ac:dyDescent="0.2"/>
  </sheetData>
  <conditionalFormatting sqref="L17:M17">
    <cfRule type="expression" dxfId="1" priority="1">
      <formula>$M$17&gt;0.3</formula>
    </cfRule>
  </conditionalFormatting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5332-77A4-D744-85AF-19B2B5F641F4}">
  <dimension ref="B1:BA66"/>
  <sheetViews>
    <sheetView zoomScale="140" zoomScaleNormal="140" workbookViewId="0">
      <pane xSplit="30" topLeftCell="AE1" activePane="topRight" state="frozen"/>
      <selection pane="topRight" activeCell="H18" sqref="H18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4" t="s">
        <v>180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32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32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32" x14ac:dyDescent="0.2">
      <c r="B6" s="32"/>
      <c r="C6" s="36"/>
      <c r="D6" s="36" t="s">
        <v>8</v>
      </c>
      <c r="E6" s="36"/>
      <c r="F6" s="36"/>
      <c r="G6" s="75" t="s">
        <v>75</v>
      </c>
      <c r="H6" s="70">
        <v>145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32" x14ac:dyDescent="0.2">
      <c r="B7" s="32"/>
      <c r="C7" s="36"/>
      <c r="D7" s="36" t="s">
        <v>108</v>
      </c>
      <c r="E7" s="36"/>
      <c r="F7" s="36"/>
      <c r="G7" s="75" t="s">
        <v>84</v>
      </c>
      <c r="H7" s="71">
        <v>10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32" x14ac:dyDescent="0.2">
      <c r="B8" s="32"/>
      <c r="C8" s="36"/>
      <c r="D8" s="36" t="s">
        <v>181</v>
      </c>
      <c r="E8" s="36"/>
      <c r="F8" s="36"/>
      <c r="G8" s="75" t="s">
        <v>182</v>
      </c>
      <c r="H8" s="71">
        <v>50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32" x14ac:dyDescent="0.2">
      <c r="B9" s="32"/>
      <c r="C9" s="36"/>
      <c r="D9" s="36" t="s">
        <v>183</v>
      </c>
      <c r="E9" s="36"/>
      <c r="F9" s="36"/>
      <c r="G9" s="75" t="s">
        <v>99</v>
      </c>
      <c r="H9" s="72">
        <v>67.945376957203521</v>
      </c>
      <c r="I9" s="90" t="s">
        <v>29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32" x14ac:dyDescent="0.2">
      <c r="B10" s="32"/>
      <c r="C10" s="36"/>
      <c r="D10" s="36" t="s">
        <v>103</v>
      </c>
      <c r="E10" s="36"/>
      <c r="F10" s="36"/>
      <c r="G10" s="84" t="s">
        <v>104</v>
      </c>
      <c r="H10" s="72">
        <v>14.096412399276312</v>
      </c>
      <c r="I10" s="90" t="s">
        <v>105</v>
      </c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32" ht="27" x14ac:dyDescent="0.2">
      <c r="B11" s="32"/>
      <c r="C11" s="36"/>
      <c r="D11" s="36" t="s">
        <v>42</v>
      </c>
      <c r="E11" s="36"/>
      <c r="F11" s="36"/>
      <c r="G11" s="84" t="s">
        <v>63</v>
      </c>
      <c r="H11" s="72">
        <v>1</v>
      </c>
      <c r="I11" s="90"/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32" x14ac:dyDescent="0.2">
      <c r="B12" s="32"/>
      <c r="C12" s="36"/>
      <c r="D12" s="36"/>
      <c r="E12" s="36"/>
      <c r="F12" s="36"/>
      <c r="G12" s="75"/>
      <c r="H12" s="59"/>
      <c r="I12" s="90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32" x14ac:dyDescent="0.2">
      <c r="B13" s="32"/>
      <c r="C13" s="49" t="s">
        <v>49</v>
      </c>
      <c r="D13" s="33"/>
      <c r="E13" s="33"/>
      <c r="F13" s="33"/>
      <c r="G13" s="46"/>
      <c r="H13" s="57"/>
      <c r="I13" s="89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32" x14ac:dyDescent="0.2">
      <c r="B14" s="32"/>
      <c r="C14" s="36"/>
      <c r="D14" s="36"/>
      <c r="E14" s="36"/>
      <c r="F14" s="36"/>
      <c r="G14" s="75"/>
      <c r="H14" s="59"/>
      <c r="I14" s="90"/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32" x14ac:dyDescent="0.2">
      <c r="B15" s="32"/>
      <c r="C15" s="36"/>
      <c r="D15" s="36" t="s">
        <v>107</v>
      </c>
      <c r="E15" s="36"/>
      <c r="F15" s="36"/>
      <c r="G15" s="75" t="s">
        <v>106</v>
      </c>
      <c r="H15" s="59">
        <f>H32*1000 / SQRT(H11)  +H7*PI() + PI()*H9*0.442</f>
        <v>2194.7293038928874</v>
      </c>
      <c r="I15" s="90" t="s">
        <v>29</v>
      </c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32" x14ac:dyDescent="0.2">
      <c r="B16" s="32"/>
      <c r="C16" s="36"/>
      <c r="D16" s="36" t="s">
        <v>96</v>
      </c>
      <c r="E16" s="36"/>
      <c r="F16" s="36"/>
      <c r="G16" s="75" t="s">
        <v>94</v>
      </c>
      <c r="H16" s="59">
        <f>H15/PI()</f>
        <v>698.60403492637511</v>
      </c>
      <c r="I16" s="90" t="s">
        <v>29</v>
      </c>
      <c r="J16" s="33"/>
      <c r="K16" s="38"/>
      <c r="L16" s="62" t="s">
        <v>100</v>
      </c>
      <c r="M16" s="62">
        <v>541.93345087277214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ht="27" x14ac:dyDescent="0.2">
      <c r="B17" s="32"/>
      <c r="C17" s="36"/>
      <c r="D17" s="36" t="s">
        <v>98</v>
      </c>
      <c r="E17" s="36"/>
      <c r="F17" s="36"/>
      <c r="G17" s="75" t="s">
        <v>71</v>
      </c>
      <c r="H17" s="59">
        <f>M$16 *  POWER(M18, -M$17)</f>
        <v>842.90456149776639</v>
      </c>
      <c r="I17" s="90" t="s">
        <v>14</v>
      </c>
      <c r="J17" s="33"/>
      <c r="K17" s="38"/>
      <c r="L17" s="62" t="s">
        <v>101</v>
      </c>
      <c r="M17" s="62">
        <v>0.17994191272575752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ht="27" x14ac:dyDescent="0.2">
      <c r="B18" s="32"/>
      <c r="C18" s="36"/>
      <c r="D18" s="36" t="s">
        <v>97</v>
      </c>
      <c r="E18" s="36"/>
      <c r="F18" s="36"/>
      <c r="G18" s="75" t="s">
        <v>59</v>
      </c>
      <c r="H18" s="59">
        <f>((120/ SQRT(H11)* ACOSH(H9/H7) ) * 377 * H9/H8 ) / (((120/ SQRT(H11)* ACOSH(H9/H7) ) + 377 * H9/H8 ) )</f>
        <v>194.08457384868396</v>
      </c>
      <c r="I18" s="90" t="s">
        <v>14</v>
      </c>
      <c r="J18" s="33"/>
      <c r="K18" s="38"/>
      <c r="L18" s="62" t="s">
        <v>102</v>
      </c>
      <c r="M18" s="62">
        <f>( H8 + H7)/H16</f>
        <v>8.5885561777958114E-2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53" x14ac:dyDescent="0.2">
      <c r="B19" s="32"/>
      <c r="C19" s="36"/>
      <c r="D19" s="36"/>
      <c r="E19" s="36"/>
      <c r="F19" s="36"/>
      <c r="G19" s="75"/>
      <c r="H19" s="59"/>
      <c r="I19" s="90"/>
      <c r="J19" s="33"/>
      <c r="K19" s="38"/>
      <c r="L19" s="60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53" x14ac:dyDescent="0.2">
      <c r="B20" s="32"/>
      <c r="C20" s="49" t="s">
        <v>49</v>
      </c>
      <c r="D20" s="33"/>
      <c r="E20" s="33"/>
      <c r="F20" s="33"/>
      <c r="G20" s="46"/>
      <c r="H20" s="57"/>
      <c r="I20" s="89"/>
      <c r="J20" s="33"/>
      <c r="K20" s="33"/>
      <c r="L20" s="5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5"/>
    </row>
    <row r="21" spans="2:53" x14ac:dyDescent="0.2">
      <c r="B21" s="32"/>
      <c r="C21" s="36"/>
      <c r="D21" s="36"/>
      <c r="E21" s="36"/>
      <c r="F21" s="36"/>
      <c r="G21" s="75"/>
      <c r="H21" s="59"/>
      <c r="I21" s="90"/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53" x14ac:dyDescent="0.2">
      <c r="B22" s="32"/>
      <c r="C22" s="36"/>
      <c r="D22" s="36" t="s">
        <v>57</v>
      </c>
      <c r="E22" s="36"/>
      <c r="F22" s="36"/>
      <c r="G22" s="75"/>
      <c r="H22" s="72">
        <v>3</v>
      </c>
      <c r="I22" s="90" t="s">
        <v>31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x14ac:dyDescent="0.2">
      <c r="B23" s="32"/>
      <c r="C23" s="36"/>
      <c r="D23" s="36" t="s">
        <v>8</v>
      </c>
      <c r="E23" s="36"/>
      <c r="F23" s="36"/>
      <c r="G23" s="75" t="s">
        <v>75</v>
      </c>
      <c r="H23" s="65">
        <f>H6</f>
        <v>145</v>
      </c>
      <c r="I23" s="90" t="s">
        <v>12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53" ht="27" x14ac:dyDescent="0.2">
      <c r="B24" s="32"/>
      <c r="C24" s="36"/>
      <c r="D24" s="36" t="s">
        <v>5</v>
      </c>
      <c r="E24" s="36"/>
      <c r="F24" s="36"/>
      <c r="G24" s="75" t="s">
        <v>59</v>
      </c>
      <c r="H24" s="65">
        <f>H18</f>
        <v>194.08457384868396</v>
      </c>
      <c r="I24" s="90" t="s">
        <v>14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53" ht="27" x14ac:dyDescent="0.2">
      <c r="B25" s="32"/>
      <c r="C25" s="36"/>
      <c r="D25" s="36" t="s">
        <v>6</v>
      </c>
      <c r="E25" s="36"/>
      <c r="F25" s="36"/>
      <c r="G25" s="75" t="s">
        <v>71</v>
      </c>
      <c r="H25" s="65">
        <f>H17</f>
        <v>842.90456149776639</v>
      </c>
      <c r="I25" s="90" t="s">
        <v>14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F25" s="23" t="s">
        <v>16</v>
      </c>
      <c r="AG25" s="2">
        <f>TAN(2 * PI() * AG46)</f>
        <v>1.3334501298653318</v>
      </c>
      <c r="AH25" s="2">
        <f t="shared" ref="AH25:BA25" si="0">TAN(2 * PI() * AH46)</f>
        <v>1.4501033012658149</v>
      </c>
      <c r="AI25" s="2">
        <f t="shared" si="0"/>
        <v>1.5810325332736381</v>
      </c>
      <c r="AJ25" s="2">
        <f t="shared" si="0"/>
        <v>1.7295287157884038</v>
      </c>
      <c r="AK25" s="2">
        <f t="shared" si="0"/>
        <v>1.8999583574928611</v>
      </c>
      <c r="AL25" s="2">
        <f t="shared" si="0"/>
        <v>2.098244424898664</v>
      </c>
      <c r="AM25" s="2">
        <f t="shared" si="0"/>
        <v>2.3326302628248965</v>
      </c>
      <c r="AN25" s="2">
        <f t="shared" si="0"/>
        <v>2.6149422099335919</v>
      </c>
      <c r="AO25" s="2">
        <f t="shared" si="0"/>
        <v>2.9627771215482346</v>
      </c>
      <c r="AP25" s="2">
        <f t="shared" si="0"/>
        <v>3.4035152070455705</v>
      </c>
      <c r="AQ25" s="2">
        <f t="shared" si="0"/>
        <v>3.9822221893381373</v>
      </c>
      <c r="AR25" s="2">
        <f t="shared" si="0"/>
        <v>4.7786860075477255</v>
      </c>
      <c r="AS25" s="2">
        <f t="shared" si="0"/>
        <v>5.9488468539759687</v>
      </c>
      <c r="AT25" s="2">
        <f t="shared" si="0"/>
        <v>7.8441400175188791</v>
      </c>
      <c r="AU25" s="2">
        <f t="shared" si="0"/>
        <v>11.45773217699902</v>
      </c>
      <c r="AV25" s="2">
        <f t="shared" si="0"/>
        <v>21.119762056047986</v>
      </c>
      <c r="AW25" s="2">
        <f t="shared" si="0"/>
        <v>132.08642795985895</v>
      </c>
      <c r="AX25" s="2">
        <f t="shared" si="0"/>
        <v>-31.07184727620621</v>
      </c>
      <c r="AY25" s="2">
        <f t="shared" si="0"/>
        <v>-13.881248398700457</v>
      </c>
      <c r="AZ25" s="2">
        <f t="shared" si="0"/>
        <v>-8.9186347774798804</v>
      </c>
      <c r="BA25" s="2">
        <f t="shared" si="0"/>
        <v>-6.5544122828176183</v>
      </c>
    </row>
    <row r="26" spans="2:53" ht="27" x14ac:dyDescent="0.2">
      <c r="B26" s="32"/>
      <c r="C26" s="36"/>
      <c r="D26" s="36" t="s">
        <v>26</v>
      </c>
      <c r="E26" s="36"/>
      <c r="F26" s="36"/>
      <c r="G26" s="75" t="s">
        <v>72</v>
      </c>
      <c r="H26" s="65">
        <v>0</v>
      </c>
      <c r="I26" s="90" t="s">
        <v>14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17</v>
      </c>
      <c r="AG26" s="2">
        <f>TAN(2 * PI() *AG53)</f>
        <v>0.17394328323836372</v>
      </c>
      <c r="AH26" s="2">
        <f t="shared" ref="AH26:BA26" si="1">TAN(2 * PI() *AH53)</f>
        <v>0.18155737853704274</v>
      </c>
      <c r="AI26" s="2">
        <f t="shared" si="1"/>
        <v>0.18919190813220127</v>
      </c>
      <c r="AJ26" s="2">
        <f t="shared" si="1"/>
        <v>0.19684778964203026</v>
      </c>
      <c r="AK26" s="2">
        <f t="shared" si="1"/>
        <v>0.20452595049111874</v>
      </c>
      <c r="AL26" s="2">
        <f t="shared" si="1"/>
        <v>0.21222732837945482</v>
      </c>
      <c r="AM26" s="2">
        <f t="shared" si="1"/>
        <v>0.21995287176168923</v>
      </c>
      <c r="AN26" s="2">
        <f t="shared" si="1"/>
        <v>0.22770354033720014</v>
      </c>
      <c r="AO26" s="2">
        <f t="shared" si="1"/>
        <v>0.23548030555151955</v>
      </c>
      <c r="AP26" s="2">
        <f t="shared" si="1"/>
        <v>0.24328415110969923</v>
      </c>
      <c r="AQ26" s="2">
        <f t="shared" si="1"/>
        <v>0.25111607350221815</v>
      </c>
      <c r="AR26" s="2">
        <f t="shared" si="1"/>
        <v>0.25897708254405255</v>
      </c>
      <c r="AS26" s="2">
        <f t="shared" si="1"/>
        <v>0.26686820192755695</v>
      </c>
      <c r="AT26" s="2">
        <f t="shared" si="1"/>
        <v>0.27479046978982696</v>
      </c>
      <c r="AU26" s="2">
        <f t="shared" si="1"/>
        <v>0.28274493929524391</v>
      </c>
      <c r="AV26" s="2">
        <f t="shared" si="1"/>
        <v>0.29073267923392593</v>
      </c>
      <c r="AW26" s="2">
        <f t="shared" si="1"/>
        <v>0.29875477463684413</v>
      </c>
      <c r="AX26" s="2">
        <f t="shared" si="1"/>
        <v>0.30681232740839109</v>
      </c>
      <c r="AY26" s="2">
        <f t="shared" si="1"/>
        <v>0.31490645697722175</v>
      </c>
      <c r="AZ26" s="2">
        <f t="shared" si="1"/>
        <v>0.32303830096622488</v>
      </c>
      <c r="BA26" s="2">
        <f t="shared" si="1"/>
        <v>0.33120901588251733</v>
      </c>
    </row>
    <row r="27" spans="2:53" x14ac:dyDescent="0.2">
      <c r="B27" s="32"/>
      <c r="C27" s="36"/>
      <c r="D27" s="36" t="s">
        <v>23</v>
      </c>
      <c r="E27" s="36"/>
      <c r="F27" s="36"/>
      <c r="G27" s="75" t="s">
        <v>73</v>
      </c>
      <c r="H27" s="61">
        <f>H32/4</f>
        <v>0.51724137931034486</v>
      </c>
      <c r="I27" s="90" t="s">
        <v>13</v>
      </c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F27" s="23" t="s">
        <v>20</v>
      </c>
      <c r="AG27" s="2">
        <f>AG47/AG34</f>
        <v>0.34933730979360711</v>
      </c>
      <c r="AH27" s="2">
        <f t="shared" ref="AH27:BA27" si="2">AH47/AH34</f>
        <v>0.33140135700407014</v>
      </c>
      <c r="AI27" s="2">
        <f t="shared" si="2"/>
        <v>0.31567647257464065</v>
      </c>
      <c r="AJ27" s="2">
        <f t="shared" si="2"/>
        <v>0.30188252067763488</v>
      </c>
      <c r="AK27" s="2">
        <f t="shared" si="2"/>
        <v>0.2897866094577502</v>
      </c>
      <c r="AL27" s="2">
        <f t="shared" si="2"/>
        <v>0.2791945583668568</v>
      </c>
      <c r="AM27" s="2">
        <f t="shared" si="2"/>
        <v>0.26994414482918194</v>
      </c>
      <c r="AN27" s="2">
        <f t="shared" si="2"/>
        <v>0.26189973721992887</v>
      </c>
      <c r="AO27" s="2">
        <f t="shared" si="2"/>
        <v>0.25494801559804553</v>
      </c>
      <c r="AP27" s="2">
        <f t="shared" si="2"/>
        <v>0.24899455252758582</v>
      </c>
      <c r="AQ27" s="2">
        <f t="shared" si="2"/>
        <v>0.2439610798121952</v>
      </c>
      <c r="AR27" s="2">
        <f t="shared" si="2"/>
        <v>0.23978330758985428</v>
      </c>
      <c r="AS27" s="2">
        <f t="shared" si="2"/>
        <v>0.23640919333143706</v>
      </c>
      <c r="AT27" s="2">
        <f t="shared" si="2"/>
        <v>0.23379758232587156</v>
      </c>
      <c r="AU27" s="2">
        <f t="shared" si="2"/>
        <v>0.23191716005192189</v>
      </c>
      <c r="AV27" s="2">
        <f t="shared" si="2"/>
        <v>0.23074567180858643</v>
      </c>
      <c r="AW27" s="2">
        <f t="shared" si="2"/>
        <v>0.23026937714989901</v>
      </c>
      <c r="AX27" s="2">
        <f t="shared" si="2"/>
        <v>0.23048271685820571</v>
      </c>
      <c r="AY27" s="2">
        <f t="shared" si="2"/>
        <v>0.23138817904264766</v>
      </c>
      <c r="AZ27" s="2">
        <f t="shared" si="2"/>
        <v>0.23299635900884932</v>
      </c>
      <c r="BA27" s="2">
        <f t="shared" si="2"/>
        <v>0.23532621529087519</v>
      </c>
    </row>
    <row r="28" spans="2:53" ht="27" x14ac:dyDescent="0.2">
      <c r="B28" s="32"/>
      <c r="C28" s="36"/>
      <c r="D28" s="36" t="s">
        <v>22</v>
      </c>
      <c r="E28" s="36"/>
      <c r="F28" s="36"/>
      <c r="G28" s="75" t="s">
        <v>74</v>
      </c>
      <c r="H28" s="61">
        <f>H32 *H10/360</f>
        <v>8.1013864363656971E-2</v>
      </c>
      <c r="I28" s="90" t="s">
        <v>13</v>
      </c>
      <c r="J28" s="33"/>
      <c r="K28" s="38"/>
      <c r="L28" s="60"/>
      <c r="M28" s="38"/>
      <c r="N28" s="92">
        <f>H48</f>
        <v>49.999993073648298</v>
      </c>
      <c r="O28" s="93" t="s">
        <v>66</v>
      </c>
      <c r="P28" s="94">
        <f>H49</f>
        <v>3.0016315801735161E-7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  <c r="AF28" s="23" t="s">
        <v>21</v>
      </c>
      <c r="AG28" s="2">
        <f>AG48/AG34</f>
        <v>-0.68961160274435795</v>
      </c>
      <c r="AH28" s="2">
        <f t="shared" ref="AH28:BA28" si="3">AH48/AH34</f>
        <v>-0.63698397000114582</v>
      </c>
      <c r="AI28" s="2">
        <f t="shared" si="3"/>
        <v>-0.58652387035168874</v>
      </c>
      <c r="AJ28" s="2">
        <f t="shared" si="3"/>
        <v>-0.5380017483317483</v>
      </c>
      <c r="AK28" s="2">
        <f t="shared" si="3"/>
        <v>-0.49120794462306444</v>
      </c>
      <c r="AL28" s="2">
        <f t="shared" si="3"/>
        <v>-0.44595068199829802</v>
      </c>
      <c r="AM28" s="2">
        <f t="shared" si="3"/>
        <v>-0.40205407542814792</v>
      </c>
      <c r="AN28" s="2">
        <f t="shared" si="3"/>
        <v>-0.35935623367037522</v>
      </c>
      <c r="AO28" s="2">
        <f t="shared" si="3"/>
        <v>-0.317707484207152</v>
      </c>
      <c r="AP28" s="2">
        <f t="shared" si="3"/>
        <v>-0.27696873204198347</v>
      </c>
      <c r="AQ28" s="2">
        <f t="shared" si="3"/>
        <v>-0.23700995028034832</v>
      </c>
      <c r="AR28" s="2">
        <f t="shared" si="3"/>
        <v>-0.19770879325452143</v>
      </c>
      <c r="AS28" s="2">
        <f t="shared" si="3"/>
        <v>-0.15894931910744634</v>
      </c>
      <c r="AT28" s="2">
        <f t="shared" si="3"/>
        <v>-0.1206208068954415</v>
      </c>
      <c r="AU28" s="2">
        <f t="shared" si="3"/>
        <v>-8.2616652567487459E-2</v>
      </c>
      <c r="AV28" s="2">
        <f t="shared" si="3"/>
        <v>-4.4833328102496517E-2</v>
      </c>
      <c r="AW28" s="2">
        <f t="shared" si="3"/>
        <v>-7.1693883047163828E-3</v>
      </c>
      <c r="AX28" s="2">
        <f t="shared" si="3"/>
        <v>3.0475489933836187E-2</v>
      </c>
      <c r="AY28" s="2">
        <f t="shared" si="3"/>
        <v>6.8201450820768159E-2</v>
      </c>
      <c r="AZ28" s="2">
        <f t="shared" si="3"/>
        <v>0.10610940004899831</v>
      </c>
      <c r="BA28" s="2">
        <f t="shared" si="3"/>
        <v>0.14430195710107185</v>
      </c>
    </row>
    <row r="29" spans="2:53" x14ac:dyDescent="0.2">
      <c r="B29" s="32"/>
      <c r="C29" s="36"/>
      <c r="D29" s="36"/>
      <c r="E29" s="36"/>
      <c r="F29" s="36"/>
      <c r="G29" s="75"/>
      <c r="H29" s="59"/>
      <c r="I29" s="90"/>
      <c r="J29" s="33"/>
      <c r="K29" s="38"/>
      <c r="L29" s="6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</row>
    <row r="30" spans="2:53" x14ac:dyDescent="0.2">
      <c r="B30" s="32"/>
      <c r="C30" s="49" t="s">
        <v>49</v>
      </c>
      <c r="D30" s="33"/>
      <c r="E30" s="33"/>
      <c r="F30" s="33"/>
      <c r="G30" s="46"/>
      <c r="H30" s="57"/>
      <c r="I30" s="89"/>
      <c r="J30" s="33"/>
      <c r="K30" s="33"/>
      <c r="L30" s="58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5"/>
      <c r="AQ30" s="2" t="s">
        <v>30</v>
      </c>
    </row>
    <row r="31" spans="2:53" x14ac:dyDescent="0.2">
      <c r="B31" s="32"/>
      <c r="C31" s="36"/>
      <c r="D31" s="36"/>
      <c r="E31" s="36"/>
      <c r="F31" s="36"/>
      <c r="G31" s="75"/>
      <c r="H31" s="59"/>
      <c r="I31" s="90"/>
      <c r="J31" s="33"/>
      <c r="K31" s="38"/>
      <c r="L31" s="6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Q31" s="2">
        <f>H22</f>
        <v>3</v>
      </c>
    </row>
    <row r="32" spans="2:53" x14ac:dyDescent="0.2">
      <c r="B32" s="32"/>
      <c r="C32" s="36"/>
      <c r="D32" s="36" t="s">
        <v>9</v>
      </c>
      <c r="E32" s="36"/>
      <c r="F32" s="36"/>
      <c r="G32" s="75" t="s">
        <v>15</v>
      </c>
      <c r="H32" s="61">
        <f>300/H23</f>
        <v>2.0689655172413794</v>
      </c>
      <c r="I32" s="90" t="s">
        <v>13</v>
      </c>
      <c r="J32" s="33"/>
      <c r="K32" s="38"/>
      <c r="L32" s="62" t="s">
        <v>16</v>
      </c>
      <c r="M32" s="62">
        <f>TAN(2 * PI() * H37)</f>
        <v>3.9822221893381373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F32" s="23" t="s">
        <v>33</v>
      </c>
      <c r="AG32" s="2">
        <f t="shared" ref="AG32:AO32" si="4">AH32-$AQ31</f>
        <v>-30</v>
      </c>
      <c r="AH32" s="2">
        <f t="shared" si="4"/>
        <v>-27</v>
      </c>
      <c r="AI32" s="2">
        <f t="shared" si="4"/>
        <v>-24</v>
      </c>
      <c r="AJ32" s="2">
        <f t="shared" si="4"/>
        <v>-21</v>
      </c>
      <c r="AK32" s="2">
        <f t="shared" si="4"/>
        <v>-18</v>
      </c>
      <c r="AL32" s="2">
        <f t="shared" si="4"/>
        <v>-15</v>
      </c>
      <c r="AM32" s="2">
        <f t="shared" si="4"/>
        <v>-12</v>
      </c>
      <c r="AN32" s="2">
        <f t="shared" si="4"/>
        <v>-9</v>
      </c>
      <c r="AO32" s="2">
        <f t="shared" si="4"/>
        <v>-6</v>
      </c>
      <c r="AP32" s="2">
        <f>-1*$AQ31</f>
        <v>-3</v>
      </c>
      <c r="AQ32" s="2">
        <v>0</v>
      </c>
      <c r="AR32" s="2">
        <f>AQ31</f>
        <v>3</v>
      </c>
      <c r="AS32" s="2">
        <f t="shared" ref="AS32:BA32" si="5">AR32+$AQ31</f>
        <v>6</v>
      </c>
      <c r="AT32" s="2">
        <f t="shared" si="5"/>
        <v>9</v>
      </c>
      <c r="AU32" s="2">
        <f t="shared" si="5"/>
        <v>12</v>
      </c>
      <c r="AV32" s="2">
        <f t="shared" si="5"/>
        <v>15</v>
      </c>
      <c r="AW32" s="2">
        <f t="shared" si="5"/>
        <v>18</v>
      </c>
      <c r="AX32" s="2">
        <f t="shared" si="5"/>
        <v>21</v>
      </c>
      <c r="AY32" s="2">
        <f t="shared" si="5"/>
        <v>24</v>
      </c>
      <c r="AZ32" s="2">
        <f t="shared" si="5"/>
        <v>27</v>
      </c>
      <c r="BA32" s="2">
        <f t="shared" si="5"/>
        <v>30</v>
      </c>
    </row>
    <row r="33" spans="2:53" x14ac:dyDescent="0.2">
      <c r="B33" s="32"/>
      <c r="C33" s="36"/>
      <c r="D33" s="36" t="s">
        <v>25</v>
      </c>
      <c r="E33" s="36"/>
      <c r="F33" s="36"/>
      <c r="G33" s="75" t="s">
        <v>15</v>
      </c>
      <c r="H33" s="61">
        <f>H43+H37</f>
        <v>0.25</v>
      </c>
      <c r="I33" s="90"/>
      <c r="J33" s="33"/>
      <c r="K33" s="38"/>
      <c r="L33" s="62" t="s">
        <v>17</v>
      </c>
      <c r="M33" s="62">
        <f>TAN(2 * PI() * H43)</f>
        <v>0.25111607350221815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G33" s="2">
        <f t="shared" ref="AG33:AP33" si="6">$AQ33 + AG32*$AQ33/100</f>
        <v>101.5</v>
      </c>
      <c r="AH33" s="2">
        <f t="shared" si="6"/>
        <v>105.85</v>
      </c>
      <c r="AI33" s="2">
        <f t="shared" si="6"/>
        <v>110.2</v>
      </c>
      <c r="AJ33" s="2">
        <f t="shared" si="6"/>
        <v>114.55</v>
      </c>
      <c r="AK33" s="2">
        <f t="shared" si="6"/>
        <v>118.9</v>
      </c>
      <c r="AL33" s="2">
        <f t="shared" si="6"/>
        <v>123.25</v>
      </c>
      <c r="AM33" s="2">
        <f t="shared" si="6"/>
        <v>127.6</v>
      </c>
      <c r="AN33" s="2">
        <f t="shared" si="6"/>
        <v>131.94999999999999</v>
      </c>
      <c r="AO33" s="2">
        <f t="shared" si="6"/>
        <v>136.30000000000001</v>
      </c>
      <c r="AP33" s="2">
        <f t="shared" si="6"/>
        <v>140.65</v>
      </c>
      <c r="AQ33" s="2">
        <f t="shared" ref="AQ33:BA38" si="7">$H23</f>
        <v>145</v>
      </c>
      <c r="AR33" s="2">
        <f t="shared" ref="AR33:BA33" si="8">$AQ33 + AR32*$AQ33/100</f>
        <v>149.35</v>
      </c>
      <c r="AS33" s="2">
        <f t="shared" si="8"/>
        <v>153.69999999999999</v>
      </c>
      <c r="AT33" s="2">
        <f t="shared" si="8"/>
        <v>158.05000000000001</v>
      </c>
      <c r="AU33" s="2">
        <f t="shared" si="8"/>
        <v>162.4</v>
      </c>
      <c r="AV33" s="2">
        <f t="shared" si="8"/>
        <v>166.75</v>
      </c>
      <c r="AW33" s="2">
        <f t="shared" si="8"/>
        <v>171.1</v>
      </c>
      <c r="AX33" s="2">
        <f t="shared" si="8"/>
        <v>175.45</v>
      </c>
      <c r="AY33" s="2">
        <f t="shared" si="8"/>
        <v>179.8</v>
      </c>
      <c r="AZ33" s="2">
        <f t="shared" si="8"/>
        <v>184.15</v>
      </c>
      <c r="BA33" s="2">
        <f t="shared" si="8"/>
        <v>188.5</v>
      </c>
    </row>
    <row r="34" spans="2:53" x14ac:dyDescent="0.2">
      <c r="B34" s="32"/>
      <c r="C34" s="36"/>
      <c r="D34" s="36"/>
      <c r="E34" s="36"/>
      <c r="F34" s="36"/>
      <c r="G34" s="75"/>
      <c r="H34" s="59"/>
      <c r="I34" s="90"/>
      <c r="J34" s="33"/>
      <c r="K34" s="38"/>
      <c r="L34" s="62" t="s">
        <v>20</v>
      </c>
      <c r="M34" s="62">
        <f>H38/H24</f>
        <v>0.2439610798121952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">
        <f t="shared" ref="AG34:AP38" si="9">$H24</f>
        <v>194.08457384868396</v>
      </c>
      <c r="AH34" s="2">
        <f t="shared" si="9"/>
        <v>194.08457384868396</v>
      </c>
      <c r="AI34" s="2">
        <f t="shared" si="9"/>
        <v>194.08457384868396</v>
      </c>
      <c r="AJ34" s="2">
        <f t="shared" si="9"/>
        <v>194.08457384868396</v>
      </c>
      <c r="AK34" s="2">
        <f t="shared" si="9"/>
        <v>194.08457384868396</v>
      </c>
      <c r="AL34" s="2">
        <f t="shared" si="9"/>
        <v>194.08457384868396</v>
      </c>
      <c r="AM34" s="2">
        <f t="shared" si="9"/>
        <v>194.08457384868396</v>
      </c>
      <c r="AN34" s="2">
        <f t="shared" si="9"/>
        <v>194.08457384868396</v>
      </c>
      <c r="AO34" s="2">
        <f t="shared" si="9"/>
        <v>194.08457384868396</v>
      </c>
      <c r="AP34" s="2">
        <f t="shared" si="9"/>
        <v>194.08457384868396</v>
      </c>
      <c r="AQ34" s="2">
        <f t="shared" si="7"/>
        <v>194.08457384868396</v>
      </c>
      <c r="AR34" s="2">
        <f t="shared" si="7"/>
        <v>194.08457384868396</v>
      </c>
      <c r="AS34" s="2">
        <f t="shared" si="7"/>
        <v>194.08457384868396</v>
      </c>
      <c r="AT34" s="2">
        <f t="shared" si="7"/>
        <v>194.08457384868396</v>
      </c>
      <c r="AU34" s="2">
        <f t="shared" si="7"/>
        <v>194.08457384868396</v>
      </c>
      <c r="AV34" s="2">
        <f t="shared" si="7"/>
        <v>194.08457384868396</v>
      </c>
      <c r="AW34" s="2">
        <f t="shared" si="7"/>
        <v>194.08457384868396</v>
      </c>
      <c r="AX34" s="2">
        <f t="shared" si="7"/>
        <v>194.08457384868396</v>
      </c>
      <c r="AY34" s="2">
        <f t="shared" si="7"/>
        <v>194.08457384868396</v>
      </c>
      <c r="AZ34" s="2">
        <f t="shared" si="7"/>
        <v>194.08457384868396</v>
      </c>
      <c r="BA34" s="2">
        <f t="shared" si="7"/>
        <v>194.08457384868396</v>
      </c>
    </row>
    <row r="35" spans="2:53" x14ac:dyDescent="0.2">
      <c r="B35" s="32"/>
      <c r="C35" s="36" t="s">
        <v>50</v>
      </c>
      <c r="D35" s="36"/>
      <c r="E35" s="36"/>
      <c r="F35" s="36"/>
      <c r="G35" s="75"/>
      <c r="H35" s="59"/>
      <c r="I35" s="90"/>
      <c r="J35" s="33"/>
      <c r="K35" s="38"/>
      <c r="L35" s="62" t="s">
        <v>21</v>
      </c>
      <c r="M35" s="62">
        <f>H39/H24</f>
        <v>-0.23700995028034832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">
        <f t="shared" si="9"/>
        <v>842.90456149776639</v>
      </c>
      <c r="AH35" s="2">
        <f t="shared" si="9"/>
        <v>842.90456149776639</v>
      </c>
      <c r="AI35" s="2">
        <f t="shared" si="9"/>
        <v>842.90456149776639</v>
      </c>
      <c r="AJ35" s="2">
        <f t="shared" si="9"/>
        <v>842.90456149776639</v>
      </c>
      <c r="AK35" s="2">
        <f t="shared" si="9"/>
        <v>842.90456149776639</v>
      </c>
      <c r="AL35" s="2">
        <f t="shared" si="9"/>
        <v>842.90456149776639</v>
      </c>
      <c r="AM35" s="2">
        <f t="shared" si="9"/>
        <v>842.90456149776639</v>
      </c>
      <c r="AN35" s="2">
        <f t="shared" si="9"/>
        <v>842.90456149776639</v>
      </c>
      <c r="AO35" s="2">
        <f t="shared" si="9"/>
        <v>842.90456149776639</v>
      </c>
      <c r="AP35" s="2">
        <f t="shared" si="9"/>
        <v>842.90456149776639</v>
      </c>
      <c r="AQ35" s="2">
        <f t="shared" si="7"/>
        <v>842.90456149776639</v>
      </c>
      <c r="AR35" s="2">
        <f t="shared" si="7"/>
        <v>842.90456149776639</v>
      </c>
      <c r="AS35" s="2">
        <f t="shared" si="7"/>
        <v>842.90456149776639</v>
      </c>
      <c r="AT35" s="2">
        <f t="shared" si="7"/>
        <v>842.90456149776639</v>
      </c>
      <c r="AU35" s="2">
        <f t="shared" si="7"/>
        <v>842.90456149776639</v>
      </c>
      <c r="AV35" s="2">
        <f t="shared" si="7"/>
        <v>842.90456149776639</v>
      </c>
      <c r="AW35" s="2">
        <f t="shared" si="7"/>
        <v>842.90456149776639</v>
      </c>
      <c r="AX35" s="2">
        <f t="shared" si="7"/>
        <v>842.90456149776639</v>
      </c>
      <c r="AY35" s="2">
        <f t="shared" si="7"/>
        <v>842.90456149776639</v>
      </c>
      <c r="AZ35" s="2">
        <f t="shared" si="7"/>
        <v>842.90456149776639</v>
      </c>
      <c r="BA35" s="2">
        <f t="shared" si="7"/>
        <v>842.90456149776639</v>
      </c>
    </row>
    <row r="36" spans="2:53" ht="27" x14ac:dyDescent="0.2">
      <c r="B36" s="32"/>
      <c r="C36" s="36"/>
      <c r="D36" s="36" t="s">
        <v>7</v>
      </c>
      <c r="E36" s="36"/>
      <c r="F36" s="36"/>
      <c r="G36" s="75" t="s">
        <v>65</v>
      </c>
      <c r="H36" s="61">
        <f>H27-H28</f>
        <v>0.43622751494668788</v>
      </c>
      <c r="I36" s="90" t="s">
        <v>13</v>
      </c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">
        <f t="shared" si="9"/>
        <v>0</v>
      </c>
      <c r="AH36" s="2">
        <f t="shared" si="9"/>
        <v>0</v>
      </c>
      <c r="AI36" s="2">
        <f t="shared" si="9"/>
        <v>0</v>
      </c>
      <c r="AJ36" s="2">
        <f t="shared" si="9"/>
        <v>0</v>
      </c>
      <c r="AK36" s="2">
        <f t="shared" si="9"/>
        <v>0</v>
      </c>
      <c r="AL36" s="2">
        <f t="shared" si="9"/>
        <v>0</v>
      </c>
      <c r="AM36" s="2">
        <f t="shared" si="9"/>
        <v>0</v>
      </c>
      <c r="AN36" s="2">
        <f t="shared" si="9"/>
        <v>0</v>
      </c>
      <c r="AO36" s="2">
        <f t="shared" si="9"/>
        <v>0</v>
      </c>
      <c r="AP36" s="2">
        <f t="shared" si="9"/>
        <v>0</v>
      </c>
      <c r="AQ36" s="2">
        <f t="shared" si="7"/>
        <v>0</v>
      </c>
      <c r="AR36" s="2">
        <f t="shared" si="7"/>
        <v>0</v>
      </c>
      <c r="AS36" s="2">
        <f t="shared" si="7"/>
        <v>0</v>
      </c>
      <c r="AT36" s="2">
        <f t="shared" si="7"/>
        <v>0</v>
      </c>
      <c r="AU36" s="2">
        <f t="shared" si="7"/>
        <v>0</v>
      </c>
      <c r="AV36" s="2">
        <f t="shared" si="7"/>
        <v>0</v>
      </c>
      <c r="AW36" s="2">
        <f t="shared" si="7"/>
        <v>0</v>
      </c>
      <c r="AX36" s="2">
        <f t="shared" si="7"/>
        <v>0</v>
      </c>
      <c r="AY36" s="2">
        <f t="shared" si="7"/>
        <v>0</v>
      </c>
      <c r="AZ36" s="2">
        <f t="shared" si="7"/>
        <v>0</v>
      </c>
      <c r="BA36" s="2">
        <f t="shared" si="7"/>
        <v>0</v>
      </c>
    </row>
    <row r="37" spans="2:53" x14ac:dyDescent="0.2">
      <c r="B37" s="32"/>
      <c r="C37" s="36"/>
      <c r="D37" s="36" t="s">
        <v>19</v>
      </c>
      <c r="E37" s="36"/>
      <c r="F37" s="36"/>
      <c r="G37" s="75"/>
      <c r="H37" s="61">
        <f>H36/H32</f>
        <v>0.21084329889089912</v>
      </c>
      <c r="I37" s="90" t="s">
        <v>18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  <c r="AG37" s="2">
        <f t="shared" si="9"/>
        <v>0.51724137931034486</v>
      </c>
      <c r="AH37" s="2">
        <f t="shared" si="9"/>
        <v>0.51724137931034486</v>
      </c>
      <c r="AI37" s="2">
        <f t="shared" si="9"/>
        <v>0.51724137931034486</v>
      </c>
      <c r="AJ37" s="2">
        <f t="shared" si="9"/>
        <v>0.51724137931034486</v>
      </c>
      <c r="AK37" s="2">
        <f t="shared" si="9"/>
        <v>0.51724137931034486</v>
      </c>
      <c r="AL37" s="2">
        <f t="shared" si="9"/>
        <v>0.51724137931034486</v>
      </c>
      <c r="AM37" s="2">
        <f t="shared" si="9"/>
        <v>0.51724137931034486</v>
      </c>
      <c r="AN37" s="2">
        <f t="shared" si="9"/>
        <v>0.51724137931034486</v>
      </c>
      <c r="AO37" s="2">
        <f t="shared" si="9"/>
        <v>0.51724137931034486</v>
      </c>
      <c r="AP37" s="2">
        <f t="shared" si="9"/>
        <v>0.51724137931034486</v>
      </c>
      <c r="AQ37" s="2">
        <f t="shared" si="7"/>
        <v>0.51724137931034486</v>
      </c>
      <c r="AR37" s="2">
        <f t="shared" si="7"/>
        <v>0.51724137931034486</v>
      </c>
      <c r="AS37" s="2">
        <f t="shared" si="7"/>
        <v>0.51724137931034486</v>
      </c>
      <c r="AT37" s="2">
        <f t="shared" si="7"/>
        <v>0.51724137931034486</v>
      </c>
      <c r="AU37" s="2">
        <f t="shared" si="7"/>
        <v>0.51724137931034486</v>
      </c>
      <c r="AV37" s="2">
        <f t="shared" si="7"/>
        <v>0.51724137931034486</v>
      </c>
      <c r="AW37" s="2">
        <f t="shared" si="7"/>
        <v>0.51724137931034486</v>
      </c>
      <c r="AX37" s="2">
        <f t="shared" si="7"/>
        <v>0.51724137931034486</v>
      </c>
      <c r="AY37" s="2">
        <f t="shared" si="7"/>
        <v>0.51724137931034486</v>
      </c>
      <c r="AZ37" s="2">
        <f t="shared" si="7"/>
        <v>0.51724137931034486</v>
      </c>
      <c r="BA37" s="2">
        <f t="shared" si="7"/>
        <v>0.51724137931034486</v>
      </c>
    </row>
    <row r="38" spans="2:53" ht="27" x14ac:dyDescent="0.2">
      <c r="B38" s="32"/>
      <c r="C38" s="36"/>
      <c r="D38" s="36" t="s">
        <v>10</v>
      </c>
      <c r="E38" s="36"/>
      <c r="F38" s="36"/>
      <c r="G38" s="75" t="s">
        <v>70</v>
      </c>
      <c r="H38" s="59">
        <f>H24*(H25*H24 + H25*H24*M32*M32)/(H24*H24 + H25*H25*M32*M32)</f>
        <v>47.349082211014682</v>
      </c>
      <c r="I38" s="90" t="s">
        <v>14</v>
      </c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  <c r="AF38" s="23" t="s">
        <v>56</v>
      </c>
      <c r="AG38" s="2">
        <f t="shared" si="9"/>
        <v>8.1013864363656971E-2</v>
      </c>
      <c r="AH38" s="2">
        <f t="shared" si="9"/>
        <v>8.1013864363656971E-2</v>
      </c>
      <c r="AI38" s="2">
        <f t="shared" si="9"/>
        <v>8.1013864363656971E-2</v>
      </c>
      <c r="AJ38" s="2">
        <f t="shared" si="9"/>
        <v>8.1013864363656971E-2</v>
      </c>
      <c r="AK38" s="2">
        <f t="shared" si="9"/>
        <v>8.1013864363656971E-2</v>
      </c>
      <c r="AL38" s="2">
        <f t="shared" si="9"/>
        <v>8.1013864363656971E-2</v>
      </c>
      <c r="AM38" s="2">
        <f t="shared" si="9"/>
        <v>8.1013864363656971E-2</v>
      </c>
      <c r="AN38" s="2">
        <f t="shared" si="9"/>
        <v>8.1013864363656971E-2</v>
      </c>
      <c r="AO38" s="2">
        <f t="shared" si="9"/>
        <v>8.1013864363656971E-2</v>
      </c>
      <c r="AP38" s="2">
        <f t="shared" si="9"/>
        <v>8.1013864363656971E-2</v>
      </c>
      <c r="AQ38" s="2">
        <f t="shared" si="7"/>
        <v>8.1013864363656971E-2</v>
      </c>
      <c r="AR38" s="2">
        <f t="shared" si="7"/>
        <v>8.1013864363656971E-2</v>
      </c>
      <c r="AS38" s="2">
        <f t="shared" si="7"/>
        <v>8.1013864363656971E-2</v>
      </c>
      <c r="AT38" s="2">
        <f t="shared" si="7"/>
        <v>8.1013864363656971E-2</v>
      </c>
      <c r="AU38" s="2">
        <f t="shared" si="7"/>
        <v>8.1013864363656971E-2</v>
      </c>
      <c r="AV38" s="2">
        <f t="shared" si="7"/>
        <v>8.1013864363656971E-2</v>
      </c>
      <c r="AW38" s="2">
        <f t="shared" si="7"/>
        <v>8.1013864363656971E-2</v>
      </c>
      <c r="AX38" s="2">
        <f t="shared" si="7"/>
        <v>8.1013864363656971E-2</v>
      </c>
      <c r="AY38" s="2">
        <f t="shared" si="7"/>
        <v>8.1013864363656971E-2</v>
      </c>
      <c r="AZ38" s="2">
        <f t="shared" si="7"/>
        <v>8.1013864363656971E-2</v>
      </c>
      <c r="BA38" s="2">
        <f t="shared" si="7"/>
        <v>8.1013864363656971E-2</v>
      </c>
    </row>
    <row r="39" spans="2:53" ht="27" x14ac:dyDescent="0.2">
      <c r="B39" s="32"/>
      <c r="C39" s="36"/>
      <c r="D39" s="36"/>
      <c r="E39" s="36"/>
      <c r="F39" s="36"/>
      <c r="G39" s="75" t="s">
        <v>76</v>
      </c>
      <c r="H39" s="59">
        <f>H24*(H24*H24*M32 - H25*H25*M32)/(H24*H24 + H25*H25*M32*M32)</f>
        <v>-45.999975198059175</v>
      </c>
      <c r="I39" s="90" t="s">
        <v>14</v>
      </c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</row>
    <row r="40" spans="2:53" x14ac:dyDescent="0.2">
      <c r="B40" s="32"/>
      <c r="C40" s="36"/>
      <c r="D40" s="36"/>
      <c r="E40" s="36"/>
      <c r="F40" s="36"/>
      <c r="G40" s="75"/>
      <c r="H40" s="59"/>
      <c r="I40" s="90"/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</row>
    <row r="41" spans="2:53" x14ac:dyDescent="0.2">
      <c r="B41" s="32"/>
      <c r="C41" s="36" t="s">
        <v>51</v>
      </c>
      <c r="D41" s="36"/>
      <c r="E41" s="36"/>
      <c r="F41" s="36"/>
      <c r="G41" s="75"/>
      <c r="H41" s="59"/>
      <c r="I41" s="90"/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  <c r="AG41" s="2">
        <f>300/AG33</f>
        <v>2.9556650246305418</v>
      </c>
      <c r="AH41" s="2">
        <f t="shared" ref="AH41:BA41" si="10">300/AH33</f>
        <v>2.8341993386868212</v>
      </c>
      <c r="AI41" s="2">
        <f t="shared" si="10"/>
        <v>2.7223230490018149</v>
      </c>
      <c r="AJ41" s="2">
        <f t="shared" si="10"/>
        <v>2.6189436927106069</v>
      </c>
      <c r="AK41" s="2">
        <f t="shared" si="10"/>
        <v>2.5231286795626575</v>
      </c>
      <c r="AL41" s="2">
        <f t="shared" si="10"/>
        <v>2.4340770791075053</v>
      </c>
      <c r="AM41" s="2">
        <f t="shared" si="10"/>
        <v>2.3510971786833856</v>
      </c>
      <c r="AN41" s="2">
        <f t="shared" si="10"/>
        <v>2.2735884804850324</v>
      </c>
      <c r="AO41" s="2">
        <f t="shared" si="10"/>
        <v>2.2010271460014672</v>
      </c>
      <c r="AP41" s="2">
        <f t="shared" si="10"/>
        <v>2.1329541414859579</v>
      </c>
      <c r="AQ41" s="2">
        <f t="shared" si="10"/>
        <v>2.0689655172413794</v>
      </c>
      <c r="AR41" s="2">
        <f t="shared" si="10"/>
        <v>2.0087043856712423</v>
      </c>
      <c r="AS41" s="2">
        <f t="shared" si="10"/>
        <v>1.9518542615484711</v>
      </c>
      <c r="AT41" s="2">
        <f t="shared" si="10"/>
        <v>1.8981335020563113</v>
      </c>
      <c r="AU41" s="2">
        <f t="shared" si="10"/>
        <v>1.8472906403940885</v>
      </c>
      <c r="AV41" s="2">
        <f t="shared" si="10"/>
        <v>1.7991004497751124</v>
      </c>
      <c r="AW41" s="2">
        <f t="shared" si="10"/>
        <v>1.7533606078316775</v>
      </c>
      <c r="AX41" s="2">
        <f t="shared" si="10"/>
        <v>1.7098888572242805</v>
      </c>
      <c r="AY41" s="2">
        <f t="shared" si="10"/>
        <v>1.6685205784204671</v>
      </c>
      <c r="AZ41" s="2">
        <f t="shared" si="10"/>
        <v>1.629106706489275</v>
      </c>
      <c r="BA41" s="2">
        <f t="shared" si="10"/>
        <v>1.5915119363395225</v>
      </c>
    </row>
    <row r="42" spans="2:53" ht="27" x14ac:dyDescent="0.2">
      <c r="B42" s="32"/>
      <c r="C42" s="36"/>
      <c r="D42" s="36" t="s">
        <v>7</v>
      </c>
      <c r="E42" s="36"/>
      <c r="F42" s="36"/>
      <c r="G42" s="75" t="s">
        <v>64</v>
      </c>
      <c r="H42" s="61">
        <f>H28</f>
        <v>8.1013864363656971E-2</v>
      </c>
      <c r="I42" s="90" t="s">
        <v>13</v>
      </c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  <c r="AG42" s="2">
        <f>AG53+AG46</f>
        <v>0.17500000000000002</v>
      </c>
      <c r="AH42" s="2">
        <f t="shared" ref="AH42:BA42" si="11">AH53+AH46</f>
        <v>0.1825</v>
      </c>
      <c r="AI42" s="2">
        <f t="shared" si="11"/>
        <v>0.19</v>
      </c>
      <c r="AJ42" s="2">
        <f t="shared" si="11"/>
        <v>0.19750000000000001</v>
      </c>
      <c r="AK42" s="2">
        <f t="shared" si="11"/>
        <v>0.20500000000000002</v>
      </c>
      <c r="AL42" s="2">
        <f t="shared" si="11"/>
        <v>0.21249999999999999</v>
      </c>
      <c r="AM42" s="2">
        <f t="shared" si="11"/>
        <v>0.22</v>
      </c>
      <c r="AN42" s="2">
        <f t="shared" si="11"/>
        <v>0.22749999999999998</v>
      </c>
      <c r="AO42" s="2">
        <f t="shared" si="11"/>
        <v>0.23500000000000004</v>
      </c>
      <c r="AP42" s="2">
        <f t="shared" si="11"/>
        <v>0.24250000000000005</v>
      </c>
      <c r="AQ42" s="2">
        <f t="shared" si="11"/>
        <v>0.25</v>
      </c>
      <c r="AR42" s="2">
        <f t="shared" si="11"/>
        <v>0.25749999999999995</v>
      </c>
      <c r="AS42" s="2">
        <f t="shared" si="11"/>
        <v>0.26500000000000001</v>
      </c>
      <c r="AT42" s="2">
        <f t="shared" si="11"/>
        <v>0.27250000000000002</v>
      </c>
      <c r="AU42" s="2">
        <f t="shared" si="11"/>
        <v>0.28000000000000003</v>
      </c>
      <c r="AV42" s="2">
        <f t="shared" si="11"/>
        <v>0.28749999999999998</v>
      </c>
      <c r="AW42" s="2">
        <f t="shared" si="11"/>
        <v>0.29499999999999998</v>
      </c>
      <c r="AX42" s="2">
        <f t="shared" si="11"/>
        <v>0.30249999999999999</v>
      </c>
      <c r="AY42" s="2">
        <f t="shared" si="11"/>
        <v>0.31000000000000005</v>
      </c>
      <c r="AZ42" s="2">
        <f t="shared" si="11"/>
        <v>0.3175</v>
      </c>
      <c r="BA42" s="2">
        <f t="shared" si="11"/>
        <v>0.32500000000000007</v>
      </c>
    </row>
    <row r="43" spans="2:53" x14ac:dyDescent="0.2">
      <c r="B43" s="32"/>
      <c r="C43" s="36"/>
      <c r="D43" s="36" t="s">
        <v>19</v>
      </c>
      <c r="E43" s="36"/>
      <c r="F43" s="36"/>
      <c r="G43" s="75"/>
      <c r="H43" s="61">
        <f>H42/H32</f>
        <v>3.9156701109100869E-2</v>
      </c>
      <c r="I43" s="90" t="s">
        <v>18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</row>
    <row r="44" spans="2:53" ht="27" x14ac:dyDescent="0.2">
      <c r="B44" s="32"/>
      <c r="C44" s="36"/>
      <c r="D44" s="36" t="s">
        <v>10</v>
      </c>
      <c r="E44" s="36"/>
      <c r="F44" s="36"/>
      <c r="G44" s="75" t="s">
        <v>77</v>
      </c>
      <c r="H44" s="59">
        <v>0</v>
      </c>
      <c r="I44" s="90" t="s">
        <v>14</v>
      </c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</row>
    <row r="45" spans="2:53" ht="27" x14ac:dyDescent="0.2">
      <c r="B45" s="32"/>
      <c r="C45" s="36"/>
      <c r="D45" s="36"/>
      <c r="E45" s="36"/>
      <c r="F45" s="36"/>
      <c r="G45" s="75" t="s">
        <v>78</v>
      </c>
      <c r="H45" s="59">
        <f>H24*(H24*H24*M33 - H26*H26*M33)/(H24*H24 + H26*H26*M33*M33)</f>
        <v>48.737756112232802</v>
      </c>
      <c r="I45" s="90" t="s">
        <v>14</v>
      </c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  <c r="AG45" s="2">
        <f>AG37-AG38</f>
        <v>0.43622751494668788</v>
      </c>
      <c r="AH45" s="2">
        <f t="shared" ref="AH45:BA45" si="12">AH37-AH38</f>
        <v>0.43622751494668788</v>
      </c>
      <c r="AI45" s="2">
        <f t="shared" si="12"/>
        <v>0.43622751494668788</v>
      </c>
      <c r="AJ45" s="2">
        <f t="shared" si="12"/>
        <v>0.43622751494668788</v>
      </c>
      <c r="AK45" s="2">
        <f t="shared" si="12"/>
        <v>0.43622751494668788</v>
      </c>
      <c r="AL45" s="2">
        <f t="shared" si="12"/>
        <v>0.43622751494668788</v>
      </c>
      <c r="AM45" s="2">
        <f t="shared" si="12"/>
        <v>0.43622751494668788</v>
      </c>
      <c r="AN45" s="2">
        <f t="shared" si="12"/>
        <v>0.43622751494668788</v>
      </c>
      <c r="AO45" s="2">
        <f t="shared" si="12"/>
        <v>0.43622751494668788</v>
      </c>
      <c r="AP45" s="2">
        <f t="shared" si="12"/>
        <v>0.43622751494668788</v>
      </c>
      <c r="AQ45" s="2">
        <f t="shared" si="12"/>
        <v>0.43622751494668788</v>
      </c>
      <c r="AR45" s="2">
        <f t="shared" si="12"/>
        <v>0.43622751494668788</v>
      </c>
      <c r="AS45" s="2">
        <f t="shared" si="12"/>
        <v>0.43622751494668788</v>
      </c>
      <c r="AT45" s="2">
        <f t="shared" si="12"/>
        <v>0.43622751494668788</v>
      </c>
      <c r="AU45" s="2">
        <f t="shared" si="12"/>
        <v>0.43622751494668788</v>
      </c>
      <c r="AV45" s="2">
        <f t="shared" si="12"/>
        <v>0.43622751494668788</v>
      </c>
      <c r="AW45" s="2">
        <f t="shared" si="12"/>
        <v>0.43622751494668788</v>
      </c>
      <c r="AX45" s="2">
        <f t="shared" si="12"/>
        <v>0.43622751494668788</v>
      </c>
      <c r="AY45" s="2">
        <f t="shared" si="12"/>
        <v>0.43622751494668788</v>
      </c>
      <c r="AZ45" s="2">
        <f t="shared" si="12"/>
        <v>0.43622751494668788</v>
      </c>
      <c r="BA45" s="2">
        <f t="shared" si="12"/>
        <v>0.43622751494668788</v>
      </c>
    </row>
    <row r="46" spans="2:53" x14ac:dyDescent="0.2">
      <c r="B46" s="32"/>
      <c r="C46" s="36"/>
      <c r="D46" s="36"/>
      <c r="E46" s="36"/>
      <c r="F46" s="36"/>
      <c r="G46" s="75"/>
      <c r="H46" s="59"/>
      <c r="I46" s="90"/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">
        <f>AG45/AG41</f>
        <v>0.1475903092236294</v>
      </c>
      <c r="AH46" s="2">
        <f t="shared" ref="AH46:BA46" si="13">AH45/AH41</f>
        <v>0.15391560819035635</v>
      </c>
      <c r="AI46" s="2">
        <f t="shared" si="13"/>
        <v>0.16024090715708333</v>
      </c>
      <c r="AJ46" s="2">
        <f t="shared" si="13"/>
        <v>0.16656620612381032</v>
      </c>
      <c r="AK46" s="2">
        <f t="shared" si="13"/>
        <v>0.1728915050905373</v>
      </c>
      <c r="AL46" s="2">
        <f t="shared" si="13"/>
        <v>0.17921680405726426</v>
      </c>
      <c r="AM46" s="2">
        <f t="shared" si="13"/>
        <v>0.18554210302399124</v>
      </c>
      <c r="AN46" s="2">
        <f t="shared" si="13"/>
        <v>0.19186740199071819</v>
      </c>
      <c r="AO46" s="2">
        <f t="shared" si="13"/>
        <v>0.19819270095744521</v>
      </c>
      <c r="AP46" s="2">
        <f t="shared" si="13"/>
        <v>0.20451799992417219</v>
      </c>
      <c r="AQ46" s="2">
        <f t="shared" si="13"/>
        <v>0.21084329889089912</v>
      </c>
      <c r="AR46" s="2">
        <f t="shared" si="13"/>
        <v>0.21716859785762607</v>
      </c>
      <c r="AS46" s="2">
        <f t="shared" si="13"/>
        <v>0.22349389682435308</v>
      </c>
      <c r="AT46" s="2">
        <f t="shared" si="13"/>
        <v>0.22981919579108007</v>
      </c>
      <c r="AU46" s="2">
        <f t="shared" si="13"/>
        <v>0.23614449475780705</v>
      </c>
      <c r="AV46" s="2">
        <f t="shared" si="13"/>
        <v>0.24246979372453401</v>
      </c>
      <c r="AW46" s="2">
        <f t="shared" si="13"/>
        <v>0.24879509269126096</v>
      </c>
      <c r="AX46" s="2">
        <f t="shared" si="13"/>
        <v>0.25512039165798794</v>
      </c>
      <c r="AY46" s="2">
        <f t="shared" si="13"/>
        <v>0.26144569062471495</v>
      </c>
      <c r="AZ46" s="2">
        <f t="shared" si="13"/>
        <v>0.26777098959144191</v>
      </c>
      <c r="BA46" s="2">
        <f t="shared" si="13"/>
        <v>0.27409628855816892</v>
      </c>
    </row>
    <row r="47" spans="2:53" x14ac:dyDescent="0.2">
      <c r="B47" s="32"/>
      <c r="C47" s="36"/>
      <c r="D47" s="36"/>
      <c r="E47" s="36"/>
      <c r="F47" s="36"/>
      <c r="G47" s="75"/>
      <c r="H47" s="59"/>
      <c r="I47" s="90"/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G47" s="2">
        <f t="shared" ref="AG47:BA47" si="14">AG34*(AG35*AG34 + AG35*AG34*AG25*AG25)/(AG34*AG34 + AG35*AG35*AG25*AG25)</f>
        <v>67.800982900737921</v>
      </c>
      <c r="AH47" s="2">
        <f t="shared" si="14"/>
        <v>64.319891147010523</v>
      </c>
      <c r="AI47" s="2">
        <f t="shared" si="14"/>
        <v>61.267933653704901</v>
      </c>
      <c r="AJ47" s="2">
        <f t="shared" si="14"/>
        <v>58.590740378085286</v>
      </c>
      <c r="AK47" s="2">
        <f t="shared" si="14"/>
        <v>56.243110603662458</v>
      </c>
      <c r="AL47" s="2">
        <f t="shared" si="14"/>
        <v>54.187356881502929</v>
      </c>
      <c r="AM47" s="2">
        <f t="shared" si="14"/>
        <v>52.391994312119202</v>
      </c>
      <c r="AN47" s="2">
        <f t="shared" si="14"/>
        <v>50.830698889412204</v>
      </c>
      <c r="AO47" s="2">
        <f t="shared" si="14"/>
        <v>49.481476960914293</v>
      </c>
      <c r="AP47" s="2">
        <f t="shared" si="14"/>
        <v>48.326001617960245</v>
      </c>
      <c r="AQ47" s="2">
        <f t="shared" si="14"/>
        <v>47.349082211014682</v>
      </c>
      <c r="AR47" s="2">
        <f t="shared" si="14"/>
        <v>46.538241069604773</v>
      </c>
      <c r="AS47" s="2">
        <f t="shared" si="14"/>
        <v>45.8833775416431</v>
      </c>
      <c r="AT47" s="2">
        <f t="shared" si="14"/>
        <v>45.376504132569387</v>
      </c>
      <c r="AU47" s="2">
        <f t="shared" si="14"/>
        <v>45.011543176874291</v>
      </c>
      <c r="AV47" s="2">
        <f t="shared" si="14"/>
        <v>44.784175380397784</v>
      </c>
      <c r="AW47" s="2">
        <f t="shared" si="14"/>
        <v>44.691733934540032</v>
      </c>
      <c r="AX47" s="2">
        <f t="shared" si="14"/>
        <v>44.733139880911743</v>
      </c>
      <c r="AY47" s="2">
        <f t="shared" si="14"/>
        <v>44.908876123115256</v>
      </c>
      <c r="AZ47" s="2">
        <f t="shared" si="14"/>
        <v>45.220999046527496</v>
      </c>
      <c r="BA47" s="2">
        <f t="shared" si="14"/>
        <v>45.673188210153164</v>
      </c>
    </row>
    <row r="48" spans="2:53" x14ac:dyDescent="0.2">
      <c r="B48" s="32"/>
      <c r="C48" s="36"/>
      <c r="D48" s="36" t="s">
        <v>55</v>
      </c>
      <c r="E48" s="36"/>
      <c r="F48" s="36"/>
      <c r="G48" s="75" t="s">
        <v>79</v>
      </c>
      <c r="H48" s="67">
        <f>H24*(M33*M33*M34)/((M33+M35)*(M33+M35) + M34*M34)</f>
        <v>49.999993073648298</v>
      </c>
      <c r="I48" s="90" t="s">
        <v>14</v>
      </c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G48" s="2">
        <f t="shared" ref="AG48:BA48" si="15">AG34*(AG34*AG34*AG25 - AG35*AG35*AG25)/(AG34*AG34 + AG35*AG35*AG25*AG25)</f>
        <v>-133.84297403974665</v>
      </c>
      <c r="AH48" s="2">
        <f t="shared" si="15"/>
        <v>-123.62876236611528</v>
      </c>
      <c r="AI48" s="2">
        <f t="shared" si="15"/>
        <v>-113.83523542928828</v>
      </c>
      <c r="AJ48" s="2">
        <f t="shared" si="15"/>
        <v>-104.41784005481429</v>
      </c>
      <c r="AK48" s="2">
        <f t="shared" si="15"/>
        <v>-95.335884603255408</v>
      </c>
      <c r="AL48" s="2">
        <f t="shared" si="15"/>
        <v>-86.552148073169647</v>
      </c>
      <c r="AM48" s="2">
        <f t="shared" si="15"/>
        <v>-78.032493893598726</v>
      </c>
      <c r="AN48" s="2">
        <f t="shared" si="15"/>
        <v>-69.745501471782873</v>
      </c>
      <c r="AO48" s="2">
        <f t="shared" si="15"/>
        <v>-61.662121680882585</v>
      </c>
      <c r="AP48" s="2">
        <f t="shared" si="15"/>
        <v>-53.755358327778694</v>
      </c>
      <c r="AQ48" s="2">
        <f t="shared" si="15"/>
        <v>-45.999975198059175</v>
      </c>
      <c r="AR48" s="2">
        <f t="shared" si="15"/>
        <v>-38.372226884941355</v>
      </c>
      <c r="AS48" s="2">
        <f t="shared" si="15"/>
        <v>-30.849610862507198</v>
      </c>
      <c r="AT48" s="2">
        <f t="shared" si="15"/>
        <v>-23.410637903586164</v>
      </c>
      <c r="AU48" s="2">
        <f t="shared" si="15"/>
        <v>-16.034617806365585</v>
      </c>
      <c r="AV48" s="2">
        <f t="shared" si="15"/>
        <v>-8.7014573789912628</v>
      </c>
      <c r="AW48" s="2">
        <f t="shared" si="15"/>
        <v>-1.3914676738766178</v>
      </c>
      <c r="AX48" s="2">
        <f t="shared" si="15"/>
        <v>5.9148224766384541</v>
      </c>
      <c r="AY48" s="2">
        <f t="shared" si="15"/>
        <v>13.236849518410764</v>
      </c>
      <c r="AZ48" s="2">
        <f t="shared" si="15"/>
        <v>20.594197689849363</v>
      </c>
      <c r="BA48" s="2">
        <f t="shared" si="15"/>
        <v>28.006783849492606</v>
      </c>
    </row>
    <row r="49" spans="2:53" x14ac:dyDescent="0.2">
      <c r="B49" s="32"/>
      <c r="C49" s="36"/>
      <c r="D49" s="36"/>
      <c r="E49" s="36"/>
      <c r="F49" s="36"/>
      <c r="G49" s="75" t="s">
        <v>80</v>
      </c>
      <c r="H49" s="68">
        <f>H24*(M33*M34*M34+M33*M33*M35)/((M33+M35)*(M33+M35)+M34*M34)</f>
        <v>3.0016315801735161E-7</v>
      </c>
      <c r="I49" s="90" t="s">
        <v>14</v>
      </c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</row>
    <row r="50" spans="2:53" x14ac:dyDescent="0.2">
      <c r="B50" s="32"/>
      <c r="C50" s="36"/>
      <c r="D50" s="36"/>
      <c r="E50" s="36"/>
      <c r="F50" s="36"/>
      <c r="G50" s="75"/>
      <c r="H50" s="59"/>
      <c r="I50" s="90"/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</row>
    <row r="51" spans="2:53" x14ac:dyDescent="0.2">
      <c r="B51" s="32"/>
      <c r="C51" s="36"/>
      <c r="D51" s="36"/>
      <c r="E51" s="36"/>
      <c r="F51" s="36"/>
      <c r="G51" s="75" t="s">
        <v>32</v>
      </c>
      <c r="H51" s="59">
        <f>SQRT(H48*H48 + H49*H49)</f>
        <v>49.999993073648298</v>
      </c>
      <c r="I51" s="90" t="s">
        <v>14</v>
      </c>
      <c r="J51" s="33"/>
      <c r="K51" s="38"/>
      <c r="L51" s="6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5"/>
    </row>
    <row r="52" spans="2:53" x14ac:dyDescent="0.2">
      <c r="B52" s="32"/>
      <c r="C52" s="36"/>
      <c r="D52" s="36"/>
      <c r="E52" s="36"/>
      <c r="F52" s="36"/>
      <c r="G52" s="75"/>
      <c r="H52" s="59"/>
      <c r="I52" s="90"/>
      <c r="J52" s="33"/>
      <c r="K52" s="38"/>
      <c r="L52" s="6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5"/>
      <c r="AG52" s="2">
        <f>AG38</f>
        <v>8.1013864363656971E-2</v>
      </c>
      <c r="AH52" s="2">
        <f t="shared" ref="AH52:BA52" si="16">AH38</f>
        <v>8.1013864363656971E-2</v>
      </c>
      <c r="AI52" s="2">
        <f t="shared" si="16"/>
        <v>8.1013864363656971E-2</v>
      </c>
      <c r="AJ52" s="2">
        <f t="shared" si="16"/>
        <v>8.1013864363656971E-2</v>
      </c>
      <c r="AK52" s="2">
        <f t="shared" si="16"/>
        <v>8.1013864363656971E-2</v>
      </c>
      <c r="AL52" s="2">
        <f t="shared" si="16"/>
        <v>8.1013864363656971E-2</v>
      </c>
      <c r="AM52" s="2">
        <f t="shared" si="16"/>
        <v>8.1013864363656971E-2</v>
      </c>
      <c r="AN52" s="2">
        <f t="shared" si="16"/>
        <v>8.1013864363656971E-2</v>
      </c>
      <c r="AO52" s="2">
        <f t="shared" si="16"/>
        <v>8.1013864363656971E-2</v>
      </c>
      <c r="AP52" s="2">
        <f t="shared" si="16"/>
        <v>8.1013864363656971E-2</v>
      </c>
      <c r="AQ52" s="2">
        <f t="shared" si="16"/>
        <v>8.1013864363656971E-2</v>
      </c>
      <c r="AR52" s="2">
        <f t="shared" si="16"/>
        <v>8.1013864363656971E-2</v>
      </c>
      <c r="AS52" s="2">
        <f t="shared" si="16"/>
        <v>8.1013864363656971E-2</v>
      </c>
      <c r="AT52" s="2">
        <f t="shared" si="16"/>
        <v>8.1013864363656971E-2</v>
      </c>
      <c r="AU52" s="2">
        <f t="shared" si="16"/>
        <v>8.1013864363656971E-2</v>
      </c>
      <c r="AV52" s="2">
        <f t="shared" si="16"/>
        <v>8.1013864363656971E-2</v>
      </c>
      <c r="AW52" s="2">
        <f t="shared" si="16"/>
        <v>8.1013864363656971E-2</v>
      </c>
      <c r="AX52" s="2">
        <f t="shared" si="16"/>
        <v>8.1013864363656971E-2</v>
      </c>
      <c r="AY52" s="2">
        <f t="shared" si="16"/>
        <v>8.1013864363656971E-2</v>
      </c>
      <c r="AZ52" s="2">
        <f t="shared" si="16"/>
        <v>8.1013864363656971E-2</v>
      </c>
      <c r="BA52" s="2">
        <f t="shared" si="16"/>
        <v>8.1013864363656971E-2</v>
      </c>
    </row>
    <row r="53" spans="2:53" x14ac:dyDescent="0.2">
      <c r="B53" s="32"/>
      <c r="C53" s="33"/>
      <c r="D53" s="33"/>
      <c r="E53" s="33"/>
      <c r="F53" s="33"/>
      <c r="G53" s="46"/>
      <c r="H53" s="57"/>
      <c r="I53" s="89"/>
      <c r="J53" s="33"/>
      <c r="K53" s="33"/>
      <c r="L53" s="58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5"/>
      <c r="AG53" s="2">
        <f>AG52/AG41</f>
        <v>2.7409690776370611E-2</v>
      </c>
      <c r="AH53" s="2">
        <f t="shared" ref="AH53:BA53" si="17">AH52/AH41</f>
        <v>2.8584391809643634E-2</v>
      </c>
      <c r="AI53" s="2">
        <f t="shared" si="17"/>
        <v>2.9759092842916661E-2</v>
      </c>
      <c r="AJ53" s="2">
        <f t="shared" si="17"/>
        <v>3.0933793876189684E-2</v>
      </c>
      <c r="AK53" s="2">
        <f t="shared" si="17"/>
        <v>3.2108494909462715E-2</v>
      </c>
      <c r="AL53" s="2">
        <f t="shared" si="17"/>
        <v>3.3283195942735738E-2</v>
      </c>
      <c r="AM53" s="2">
        <f t="shared" si="17"/>
        <v>3.4457896976008762E-2</v>
      </c>
      <c r="AN53" s="2">
        <f t="shared" si="17"/>
        <v>3.5632598009281785E-2</v>
      </c>
      <c r="AO53" s="2">
        <f t="shared" si="17"/>
        <v>3.6807299042554822E-2</v>
      </c>
      <c r="AP53" s="2">
        <f t="shared" si="17"/>
        <v>3.7982000075827846E-2</v>
      </c>
      <c r="AQ53" s="2">
        <f t="shared" si="17"/>
        <v>3.9156701109100869E-2</v>
      </c>
      <c r="AR53" s="2">
        <f t="shared" si="17"/>
        <v>4.0331402142373893E-2</v>
      </c>
      <c r="AS53" s="2">
        <f t="shared" si="17"/>
        <v>4.1506103175646923E-2</v>
      </c>
      <c r="AT53" s="2">
        <f t="shared" si="17"/>
        <v>4.2680804208919947E-2</v>
      </c>
      <c r="AU53" s="2">
        <f t="shared" si="17"/>
        <v>4.3855505242192977E-2</v>
      </c>
      <c r="AV53" s="2">
        <f t="shared" si="17"/>
        <v>4.5030206275466E-2</v>
      </c>
      <c r="AW53" s="2">
        <f t="shared" si="17"/>
        <v>4.6204907308739024E-2</v>
      </c>
      <c r="AX53" s="2">
        <f t="shared" si="17"/>
        <v>4.7379608342012047E-2</v>
      </c>
      <c r="AY53" s="2">
        <f t="shared" si="17"/>
        <v>4.8554309375285078E-2</v>
      </c>
      <c r="AZ53" s="2">
        <f t="shared" si="17"/>
        <v>4.9729010408558101E-2</v>
      </c>
      <c r="BA53" s="2">
        <f t="shared" si="17"/>
        <v>5.0903711441831132E-2</v>
      </c>
    </row>
    <row r="54" spans="2:53" s="4" customFormat="1" ht="28" x14ac:dyDescent="0.2">
      <c r="B54" s="28"/>
      <c r="C54" s="4" t="s">
        <v>52</v>
      </c>
      <c r="G54" s="76"/>
      <c r="H54" s="55"/>
      <c r="I54" s="88"/>
      <c r="J54" s="30"/>
      <c r="K54" s="30"/>
      <c r="L54" s="56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1"/>
      <c r="AF54" s="5"/>
      <c r="AG54" s="4">
        <f>AG34*(AG36*AG34 + AG36*AG34*AK46*AK46)/(AG34*AG34 + AG36*AG36*AK46*AK46)</f>
        <v>0</v>
      </c>
      <c r="AH54" s="4">
        <f t="shared" ref="AH54:AW54" si="18">AH34*(AH36*AH34 + AH36*AH34*AL46*AL46)/(AH34*AH34 + AH36*AH36*AL46*AL46)</f>
        <v>0</v>
      </c>
      <c r="AI54" s="4">
        <f t="shared" si="18"/>
        <v>0</v>
      </c>
      <c r="AJ54" s="4">
        <f t="shared" si="18"/>
        <v>0</v>
      </c>
      <c r="AK54" s="4">
        <f t="shared" si="18"/>
        <v>0</v>
      </c>
      <c r="AL54" s="4">
        <f t="shared" si="18"/>
        <v>0</v>
      </c>
      <c r="AM54" s="4">
        <f t="shared" si="18"/>
        <v>0</v>
      </c>
      <c r="AN54" s="4">
        <f t="shared" si="18"/>
        <v>0</v>
      </c>
      <c r="AO54" s="4">
        <f t="shared" si="18"/>
        <v>0</v>
      </c>
      <c r="AP54" s="4">
        <f t="shared" si="18"/>
        <v>0</v>
      </c>
      <c r="AQ54" s="4">
        <f t="shared" si="18"/>
        <v>0</v>
      </c>
      <c r="AR54" s="4">
        <f t="shared" si="18"/>
        <v>0</v>
      </c>
      <c r="AS54" s="4">
        <f t="shared" si="18"/>
        <v>0</v>
      </c>
      <c r="AT54" s="4">
        <f t="shared" si="18"/>
        <v>0</v>
      </c>
      <c r="AU54" s="4">
        <f t="shared" si="18"/>
        <v>0</v>
      </c>
      <c r="AV54" s="4">
        <f t="shared" si="18"/>
        <v>0</v>
      </c>
      <c r="AW54" s="4">
        <f t="shared" si="18"/>
        <v>0</v>
      </c>
      <c r="AX54" s="4">
        <f>AX34*(AX36*AX34 + AX36*AX34*BB39*BB39)/(AX34*AX34 + AX36*AX36*BB39*BB39)</f>
        <v>0</v>
      </c>
      <c r="AY54" s="4">
        <f>AY34*(AY36*AY34 + AY36*AY34*BC39*BC39)/(AY34*AY34 + AY36*AY36*BC39*BC39)</f>
        <v>0</v>
      </c>
      <c r="AZ54" s="4">
        <f>AZ34*(AZ36*AZ34 + AZ36*AZ34*BD39*BD39)/(AZ34*AZ34 + AZ36*AZ36*BD39*BD39)</f>
        <v>0</v>
      </c>
      <c r="BA54" s="4">
        <f>BA34*(BA36*BA34 + BA36*BA34*BE39*BE39)/(BA34*BA34 + BA36*BA36*BE39*BE39)</f>
        <v>0</v>
      </c>
    </row>
    <row r="55" spans="2:53" x14ac:dyDescent="0.2">
      <c r="B55" s="32"/>
      <c r="C55" s="49" t="s">
        <v>48</v>
      </c>
      <c r="D55" s="33"/>
      <c r="E55" s="49" t="s">
        <v>49</v>
      </c>
      <c r="F55" s="33"/>
      <c r="G55" s="46"/>
      <c r="H55" s="57"/>
      <c r="I55" s="89"/>
      <c r="J55" s="33"/>
      <c r="K55" s="33"/>
      <c r="L55" s="58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5"/>
      <c r="AG55" s="2">
        <f>AG34*(AG34*AG34*AG26 - AG36*AG36*AG26)/(AG34*AG34 + AG36*AG36*AG26*AG26)</f>
        <v>33.759708001158756</v>
      </c>
      <c r="AH55" s="2">
        <f t="shared" ref="AH55:BA55" si="19">AH34*(AH34*AH34*AH26 - AH36*AH36*AH26)/(AH34*AH34 + AH36*AH36*AH26*AH26)</f>
        <v>35.237486442446134</v>
      </c>
      <c r="AI55" s="2">
        <f t="shared" si="19"/>
        <v>36.719230865457646</v>
      </c>
      <c r="AJ55" s="2">
        <f t="shared" si="19"/>
        <v>38.205119365728827</v>
      </c>
      <c r="AK55" s="2">
        <f t="shared" si="19"/>
        <v>39.695331942065813</v>
      </c>
      <c r="AL55" s="2">
        <f t="shared" si="19"/>
        <v>41.1900505875712</v>
      </c>
      <c r="AM55" s="2">
        <f t="shared" si="19"/>
        <v>42.689459382661688</v>
      </c>
      <c r="AN55" s="2">
        <f t="shared" si="19"/>
        <v>44.193744590182106</v>
      </c>
      <c r="AO55" s="2">
        <f t="shared" si="19"/>
        <v>45.70309475272456</v>
      </c>
      <c r="AP55" s="2">
        <f t="shared" si="19"/>
        <v>47.217700792264807</v>
      </c>
      <c r="AQ55" s="2">
        <f t="shared" si="19"/>
        <v>48.737756112232802</v>
      </c>
      <c r="AR55" s="2">
        <f t="shared" si="19"/>
        <v>50.263456702137894</v>
      </c>
      <c r="AS55" s="2">
        <f t="shared" si="19"/>
        <v>51.795001244874427</v>
      </c>
      <c r="AT55" s="2">
        <f t="shared" si="19"/>
        <v>53.332591226838233</v>
      </c>
      <c r="AU55" s="2">
        <f t="shared" si="19"/>
        <v>54.876431050989432</v>
      </c>
      <c r="AV55" s="2">
        <f t="shared" si="19"/>
        <v>56.426728153002642</v>
      </c>
      <c r="AW55" s="2">
        <f t="shared" si="19"/>
        <v>57.983693120651502</v>
      </c>
      <c r="AX55" s="2">
        <f t="shared" si="19"/>
        <v>59.547539816580489</v>
      </c>
      <c r="AY55" s="2">
        <f t="shared" si="19"/>
        <v>61.118485504623017</v>
      </c>
      <c r="AZ55" s="2">
        <f t="shared" si="19"/>
        <v>62.696750979832665</v>
      </c>
      <c r="BA55" s="2">
        <f t="shared" si="19"/>
        <v>64.282560702400374</v>
      </c>
    </row>
    <row r="56" spans="2:53" x14ac:dyDescent="0.2">
      <c r="B56" s="32"/>
      <c r="C56" s="36"/>
      <c r="D56" s="36"/>
      <c r="E56" s="36"/>
      <c r="F56" s="36"/>
      <c r="G56" s="75"/>
      <c r="H56" s="59"/>
      <c r="I56" s="90"/>
      <c r="J56" s="33"/>
      <c r="K56" s="66"/>
      <c r="L56" s="98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35"/>
    </row>
    <row r="57" spans="2:53" x14ac:dyDescent="0.2">
      <c r="B57" s="32"/>
      <c r="C57" s="36"/>
      <c r="D57" s="36" t="s">
        <v>34</v>
      </c>
      <c r="E57" s="36"/>
      <c r="F57" s="36"/>
      <c r="G57" s="75"/>
      <c r="H57" s="74">
        <v>50</v>
      </c>
      <c r="I57" s="90" t="s">
        <v>14</v>
      </c>
      <c r="J57" s="33"/>
      <c r="K57" s="66"/>
      <c r="L57" s="97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</row>
    <row r="58" spans="2:53" x14ac:dyDescent="0.2">
      <c r="B58" s="32"/>
      <c r="C58" s="36"/>
      <c r="D58" s="36" t="s">
        <v>35</v>
      </c>
      <c r="E58" s="36"/>
      <c r="F58" s="36"/>
      <c r="G58" s="75"/>
      <c r="H58" s="74">
        <v>0</v>
      </c>
      <c r="I58" s="90" t="s">
        <v>14</v>
      </c>
      <c r="J58" s="33"/>
      <c r="K58" s="66"/>
      <c r="L58" s="97" t="s">
        <v>58</v>
      </c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</row>
    <row r="59" spans="2:53" x14ac:dyDescent="0.2">
      <c r="B59" s="32"/>
      <c r="C59" s="36"/>
      <c r="D59" s="36"/>
      <c r="E59" s="36"/>
      <c r="F59" s="36"/>
      <c r="G59" s="75"/>
      <c r="H59" s="59"/>
      <c r="I59" s="90"/>
      <c r="J59" s="33"/>
      <c r="K59" s="66"/>
      <c r="L59" s="97" t="s">
        <v>81</v>
      </c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  <c r="AF59" s="23" t="s">
        <v>36</v>
      </c>
      <c r="AG59" s="2">
        <f t="shared" ref="AG59:BA59" si="20">AG34*(AG26*AG26*AG27)/((AG26+AG28)*(AG26+AG28) + AG27*AG27)</f>
        <v>5.2878015034717532</v>
      </c>
      <c r="AH59" s="2">
        <f t="shared" si="20"/>
        <v>6.6832058547227158</v>
      </c>
      <c r="AI59" s="2">
        <f t="shared" si="20"/>
        <v>8.5156948993926811</v>
      </c>
      <c r="AJ59" s="2">
        <f t="shared" si="20"/>
        <v>10.94037070907971</v>
      </c>
      <c r="AK59" s="2">
        <f t="shared" si="20"/>
        <v>14.158989258823402</v>
      </c>
      <c r="AL59" s="2">
        <f t="shared" si="20"/>
        <v>18.409203162055245</v>
      </c>
      <c r="AM59" s="2">
        <f t="shared" si="20"/>
        <v>23.90521296699826</v>
      </c>
      <c r="AN59" s="2">
        <f t="shared" si="20"/>
        <v>30.67267449932654</v>
      </c>
      <c r="AO59" s="2">
        <f t="shared" si="20"/>
        <v>38.235838505270664</v>
      </c>
      <c r="AP59" s="2">
        <f t="shared" si="20"/>
        <v>45.305663746322388</v>
      </c>
      <c r="AQ59" s="2">
        <f t="shared" si="20"/>
        <v>49.999993073648298</v>
      </c>
      <c r="AR59" s="2">
        <f t="shared" si="20"/>
        <v>50.959797044130966</v>
      </c>
      <c r="AS59" s="2">
        <f t="shared" si="20"/>
        <v>48.385478629607988</v>
      </c>
      <c r="AT59" s="2">
        <f t="shared" si="20"/>
        <v>43.687218826020661</v>
      </c>
      <c r="AU59" s="2">
        <f t="shared" si="20"/>
        <v>38.347753779565068</v>
      </c>
      <c r="AV59" s="2">
        <f t="shared" si="20"/>
        <v>33.289970455942353</v>
      </c>
      <c r="AW59" s="2">
        <f t="shared" si="20"/>
        <v>28.895686241502421</v>
      </c>
      <c r="AX59" s="2">
        <f t="shared" si="20"/>
        <v>25.232295821869247</v>
      </c>
      <c r="AY59" s="2">
        <f t="shared" si="20"/>
        <v>22.232484971852941</v>
      </c>
      <c r="AZ59" s="2">
        <f t="shared" si="20"/>
        <v>19.78981154556589</v>
      </c>
      <c r="BA59" s="2">
        <f t="shared" si="20"/>
        <v>17.799345225435061</v>
      </c>
    </row>
    <row r="60" spans="2:53" x14ac:dyDescent="0.2">
      <c r="B60" s="32"/>
      <c r="C60" s="36"/>
      <c r="D60" s="36" t="s">
        <v>54</v>
      </c>
      <c r="E60" s="36"/>
      <c r="F60" s="36"/>
      <c r="G60" s="75"/>
      <c r="H60" s="95">
        <f>(H48-H57)*(H48-H57)</f>
        <v>4.7974347899293229E-11</v>
      </c>
      <c r="I60" s="90"/>
      <c r="J60" s="33"/>
      <c r="K60" s="66"/>
      <c r="L60" s="97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  <c r="AF60" s="23" t="s">
        <v>37</v>
      </c>
      <c r="AG60" s="2">
        <f t="shared" ref="AG60:BA60" si="21">AG34*(AG26*AG27*AG27+AG26*AG26*AG28)/((AG26+AG28)*(AG26+AG28)+AG27*AG27)</f>
        <v>0.18128581844830791</v>
      </c>
      <c r="AH60" s="2">
        <f t="shared" si="21"/>
        <v>-0.64671028101035566</v>
      </c>
      <c r="AI60" s="2">
        <f t="shared" si="21"/>
        <v>-1.6132029021720937</v>
      </c>
      <c r="AJ60" s="2">
        <f t="shared" si="21"/>
        <v>-2.7194754849242586</v>
      </c>
      <c r="AK60" s="2">
        <f t="shared" si="21"/>
        <v>-3.9390044957093209</v>
      </c>
      <c r="AL60" s="2">
        <f t="shared" si="21"/>
        <v>-5.1864412574945264</v>
      </c>
      <c r="AM60" s="2">
        <f t="shared" si="21"/>
        <v>-6.2659276582911971</v>
      </c>
      <c r="AN60" s="2">
        <f t="shared" si="21"/>
        <v>-6.8073452522084139</v>
      </c>
      <c r="AO60" s="2">
        <f t="shared" si="21"/>
        <v>-6.2513071410573051</v>
      </c>
      <c r="AP60" s="2">
        <f t="shared" si="21"/>
        <v>-4.0266048875238463</v>
      </c>
      <c r="AQ60" s="2">
        <f t="shared" si="21"/>
        <v>3.0016315801735161E-7</v>
      </c>
      <c r="AR60" s="2">
        <f t="shared" si="21"/>
        <v>5.1650357089816819</v>
      </c>
      <c r="AS60" s="2">
        <f t="shared" si="21"/>
        <v>10.331106597424736</v>
      </c>
      <c r="AT60" s="2">
        <f t="shared" si="21"/>
        <v>14.630913801959728</v>
      </c>
      <c r="AU60" s="2">
        <f t="shared" si="21"/>
        <v>17.79339843381284</v>
      </c>
      <c r="AV60" s="2">
        <f t="shared" si="21"/>
        <v>19.953074485568948</v>
      </c>
      <c r="AW60" s="2">
        <f t="shared" si="21"/>
        <v>21.372088997424306</v>
      </c>
      <c r="AX60" s="2">
        <f t="shared" si="21"/>
        <v>22.291266964656884</v>
      </c>
      <c r="AY60" s="2">
        <f t="shared" si="21"/>
        <v>22.889075208659001</v>
      </c>
      <c r="AZ60" s="2">
        <f t="shared" si="21"/>
        <v>23.286229869956877</v>
      </c>
      <c r="BA60" s="2">
        <f t="shared" si="21"/>
        <v>23.561106106533096</v>
      </c>
    </row>
    <row r="61" spans="2:53" x14ac:dyDescent="0.2">
      <c r="B61" s="32"/>
      <c r="C61" s="36"/>
      <c r="D61" s="36" t="s">
        <v>54</v>
      </c>
      <c r="E61" s="36"/>
      <c r="F61" s="36"/>
      <c r="G61" s="75"/>
      <c r="H61" s="95">
        <f>(H49-H58)*(H49-H58)</f>
        <v>9.0097921430949592E-14</v>
      </c>
      <c r="I61" s="90"/>
      <c r="J61" s="33"/>
      <c r="K61" s="66"/>
      <c r="L61" s="97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</row>
    <row r="62" spans="2:53" x14ac:dyDescent="0.2">
      <c r="B62" s="32"/>
      <c r="C62" s="36"/>
      <c r="D62" s="36"/>
      <c r="E62" s="36"/>
      <c r="F62" s="36"/>
      <c r="G62" s="75"/>
      <c r="H62" s="95"/>
      <c r="I62" s="90"/>
      <c r="J62" s="33"/>
      <c r="K62" s="66"/>
      <c r="L62" s="97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53" x14ac:dyDescent="0.2">
      <c r="B63" s="32"/>
      <c r="C63" s="36"/>
      <c r="D63" s="36" t="s">
        <v>53</v>
      </c>
      <c r="E63" s="36"/>
      <c r="F63" s="36"/>
      <c r="G63" s="75"/>
      <c r="H63" s="96">
        <f>SUM(H60:H62)</f>
        <v>4.8064445820724177E-11</v>
      </c>
      <c r="I63" s="90"/>
      <c r="J63" s="33"/>
      <c r="K63" s="66"/>
      <c r="L63" s="98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35"/>
    </row>
    <row r="64" spans="2:53" x14ac:dyDescent="0.2">
      <c r="B64" s="32"/>
      <c r="C64" s="36"/>
      <c r="D64" s="36"/>
      <c r="E64" s="36"/>
      <c r="F64" s="36"/>
      <c r="G64" s="75"/>
      <c r="H64" s="59"/>
      <c r="I64" s="90"/>
      <c r="J64" s="33"/>
      <c r="K64" s="66"/>
      <c r="L64" s="98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35"/>
    </row>
    <row r="65" spans="2:27" ht="24" thickBot="1" x14ac:dyDescent="0.25">
      <c r="B65" s="40"/>
      <c r="C65" s="41"/>
      <c r="D65" s="41"/>
      <c r="E65" s="41"/>
      <c r="F65" s="41"/>
      <c r="G65" s="85"/>
      <c r="H65" s="63"/>
      <c r="I65" s="91"/>
      <c r="J65" s="41"/>
      <c r="K65" s="41"/>
      <c r="L65" s="64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3"/>
    </row>
    <row r="66" spans="2:27" ht="24" thickTop="1" x14ac:dyDescent="0.2"/>
  </sheetData>
  <conditionalFormatting sqref="L18:M18">
    <cfRule type="expression" dxfId="0" priority="1">
      <formula>$M$18&gt;0.2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Cover</vt:lpstr>
      <vt:lpstr>Impedance Transformation</vt:lpstr>
      <vt:lpstr>Waveguides</vt:lpstr>
      <vt:lpstr>Complex Impedance Transform.</vt:lpstr>
      <vt:lpstr>Wire Loop</vt:lpstr>
      <vt:lpstr>Planar Band Loop</vt:lpstr>
      <vt:lpstr>Planar Band Loop Substrate</vt:lpstr>
      <vt:lpstr>Thick Loop</vt:lpstr>
      <vt:lpstr>Plate Waveguide</vt:lpstr>
      <vt:lpstr>ZA for Loops</vt:lpstr>
      <vt:lpstr>Test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Klaus Stocker</cp:lastModifiedBy>
  <dcterms:created xsi:type="dcterms:W3CDTF">2022-05-27T07:48:34Z</dcterms:created>
  <dcterms:modified xsi:type="dcterms:W3CDTF">2024-02-21T14:02:02Z</dcterms:modified>
  <cp:category/>
</cp:coreProperties>
</file>