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Neues YouTube Material/61 Electromagnetic Compatibility/05 Nearfield Computation/10 Material Sammlung/"/>
    </mc:Choice>
  </mc:AlternateContent>
  <xr:revisionPtr revIDLastSave="0" documentId="13_ncr:1_{7194C1F7-F846-C44C-89ED-96A48DAD999B}" xr6:coauthVersionLast="47" xr6:coauthVersionMax="47" xr10:uidLastSave="{00000000-0000-0000-0000-000000000000}"/>
  <bookViews>
    <workbookView xWindow="0" yWindow="480" windowWidth="40960" windowHeight="22560" xr2:uid="{7BC29DB7-F5C1-774A-8671-8BC63D78F511}"/>
  </bookViews>
  <sheets>
    <sheet name="Cover" sheetId="1" r:id="rId1"/>
    <sheet name="Limits Human" sheetId="7" r:id="rId2"/>
    <sheet name="Limits Devices" sheetId="8" r:id="rId3"/>
    <sheet name="Security Distance" sheetId="2" r:id="rId4"/>
    <sheet name="FCC &amp; Sun" sheetId="3" r:id="rId5"/>
    <sheet name="Tabelle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1" i="8" l="1"/>
  <c r="E132" i="8"/>
  <c r="O132" i="8"/>
  <c r="O133" i="8"/>
  <c r="O134" i="8"/>
  <c r="O135" i="8"/>
  <c r="O136" i="8"/>
  <c r="O131" i="8"/>
  <c r="G119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G82" i="8"/>
  <c r="G83" i="8"/>
  <c r="G85" i="8"/>
  <c r="G81" i="8"/>
  <c r="E75" i="7"/>
  <c r="E76" i="7"/>
  <c r="E77" i="7"/>
  <c r="I77" i="7" s="1"/>
  <c r="K77" i="7" s="1"/>
  <c r="E78" i="7"/>
  <c r="I78" i="7" s="1"/>
  <c r="K78" i="7" s="1"/>
  <c r="E74" i="7"/>
  <c r="F29" i="8"/>
  <c r="M119" i="8"/>
  <c r="M120" i="8" s="1"/>
  <c r="O82" i="8"/>
  <c r="O83" i="8"/>
  <c r="O84" i="8"/>
  <c r="O85" i="8"/>
  <c r="O81" i="8"/>
  <c r="F124" i="8"/>
  <c r="G124" i="8" s="1"/>
  <c r="F123" i="8"/>
  <c r="G123" i="8" s="1"/>
  <c r="F122" i="8"/>
  <c r="G122" i="8" s="1"/>
  <c r="F121" i="8"/>
  <c r="G121" i="8" s="1"/>
  <c r="F120" i="8"/>
  <c r="G120" i="8" s="1"/>
  <c r="F119" i="8"/>
  <c r="F111" i="8"/>
  <c r="G111" i="8" s="1"/>
  <c r="E111" i="8"/>
  <c r="F110" i="8"/>
  <c r="G110" i="8" s="1"/>
  <c r="E110" i="8"/>
  <c r="F109" i="8"/>
  <c r="G109" i="8" s="1"/>
  <c r="E109" i="8"/>
  <c r="F108" i="8"/>
  <c r="G108" i="8" s="1"/>
  <c r="E108" i="8"/>
  <c r="F107" i="8"/>
  <c r="G107" i="8" s="1"/>
  <c r="E107" i="8"/>
  <c r="F106" i="8"/>
  <c r="G106" i="8" s="1"/>
  <c r="E106" i="8"/>
  <c r="H98" i="8"/>
  <c r="L98" i="8" s="1"/>
  <c r="G98" i="8"/>
  <c r="H97" i="8"/>
  <c r="L97" i="8" s="1"/>
  <c r="G97" i="8"/>
  <c r="H96" i="8"/>
  <c r="L96" i="8" s="1"/>
  <c r="G96" i="8"/>
  <c r="H95" i="8"/>
  <c r="L95" i="8" s="1"/>
  <c r="G95" i="8"/>
  <c r="H94" i="8"/>
  <c r="L94" i="8" s="1"/>
  <c r="G94" i="8"/>
  <c r="H93" i="8"/>
  <c r="L93" i="8" s="1"/>
  <c r="G93" i="8"/>
  <c r="M85" i="8"/>
  <c r="D85" i="8"/>
  <c r="F85" i="8" s="1"/>
  <c r="M84" i="8"/>
  <c r="D84" i="8"/>
  <c r="G84" i="8" s="1"/>
  <c r="M83" i="8"/>
  <c r="D83" i="8"/>
  <c r="M82" i="8"/>
  <c r="D82" i="8"/>
  <c r="M81" i="8"/>
  <c r="D81" i="8"/>
  <c r="F81" i="8" s="1"/>
  <c r="K73" i="8"/>
  <c r="K72" i="8"/>
  <c r="K71" i="8"/>
  <c r="F71" i="8"/>
  <c r="F72" i="8" s="1"/>
  <c r="E71" i="8"/>
  <c r="E72" i="8" s="1"/>
  <c r="K70" i="8"/>
  <c r="F70" i="8"/>
  <c r="E70" i="8"/>
  <c r="K61" i="8"/>
  <c r="K60" i="8"/>
  <c r="K59" i="8"/>
  <c r="F59" i="8"/>
  <c r="F60" i="8" s="1"/>
  <c r="E59" i="8"/>
  <c r="E60" i="8" s="1"/>
  <c r="K58" i="8"/>
  <c r="F58" i="8"/>
  <c r="E58" i="8"/>
  <c r="F50" i="8"/>
  <c r="E85" i="8" s="1"/>
  <c r="I85" i="8" s="1"/>
  <c r="F49" i="8"/>
  <c r="E84" i="8" s="1"/>
  <c r="I84" i="8" s="1"/>
  <c r="K84" i="8" s="1"/>
  <c r="L84" i="8" s="1"/>
  <c r="F48" i="8"/>
  <c r="O10" i="8" s="1"/>
  <c r="F47" i="8"/>
  <c r="O9" i="8" s="1"/>
  <c r="F46" i="8"/>
  <c r="E81" i="8" s="1"/>
  <c r="I81" i="8" s="1"/>
  <c r="K81" i="8" s="1"/>
  <c r="L81" i="8" s="1"/>
  <c r="F28" i="8"/>
  <c r="F25" i="8" s="1"/>
  <c r="F27" i="8" s="1"/>
  <c r="G77" i="7"/>
  <c r="G78" i="7"/>
  <c r="M78" i="7"/>
  <c r="D78" i="7"/>
  <c r="F78" i="7" s="1"/>
  <c r="M77" i="7"/>
  <c r="F77" i="7"/>
  <c r="D77" i="7"/>
  <c r="M76" i="7"/>
  <c r="I76" i="7"/>
  <c r="D76" i="7"/>
  <c r="F76" i="7" s="1"/>
  <c r="M75" i="7"/>
  <c r="I75" i="7"/>
  <c r="K75" i="7" s="1"/>
  <c r="D75" i="7"/>
  <c r="F75" i="7" s="1"/>
  <c r="M74" i="7"/>
  <c r="I74" i="7"/>
  <c r="K74" i="7" s="1"/>
  <c r="D74" i="7"/>
  <c r="F74" i="7" s="1"/>
  <c r="K66" i="7"/>
  <c r="K65" i="7"/>
  <c r="F65" i="7"/>
  <c r="E65" i="7"/>
  <c r="K64" i="7"/>
  <c r="F64" i="7"/>
  <c r="E64" i="7"/>
  <c r="K63" i="7"/>
  <c r="F63" i="7"/>
  <c r="E63" i="7"/>
  <c r="K54" i="7"/>
  <c r="K53" i="7"/>
  <c r="K52" i="7"/>
  <c r="F52" i="7"/>
  <c r="F53" i="7" s="1"/>
  <c r="E52" i="7"/>
  <c r="E53" i="7" s="1"/>
  <c r="K51" i="7"/>
  <c r="F51" i="7"/>
  <c r="E51" i="7"/>
  <c r="F43" i="7"/>
  <c r="O12" i="7" s="1"/>
  <c r="F42" i="7"/>
  <c r="F41" i="7"/>
  <c r="O10" i="7" s="1"/>
  <c r="F40" i="7"/>
  <c r="O9" i="7" s="1"/>
  <c r="F39" i="7"/>
  <c r="O8" i="7" s="1"/>
  <c r="O11" i="7"/>
  <c r="L132" i="8" l="1"/>
  <c r="S132" i="8" s="1"/>
  <c r="V132" i="8" s="1"/>
  <c r="E133" i="8"/>
  <c r="E134" i="8" s="1"/>
  <c r="L131" i="8"/>
  <c r="S131" i="8" s="1"/>
  <c r="V131" i="8" s="1"/>
  <c r="K85" i="8"/>
  <c r="L85" i="8" s="1"/>
  <c r="K108" i="8"/>
  <c r="F34" i="8"/>
  <c r="K34" i="8" s="1"/>
  <c r="O107" i="8"/>
  <c r="O109" i="8"/>
  <c r="O106" i="8"/>
  <c r="F83" i="8"/>
  <c r="O110" i="8"/>
  <c r="O111" i="8"/>
  <c r="K107" i="8"/>
  <c r="K109" i="8"/>
  <c r="K106" i="8"/>
  <c r="K111" i="8"/>
  <c r="K110" i="8"/>
  <c r="K76" i="7"/>
  <c r="L76" i="7" s="1"/>
  <c r="F37" i="8"/>
  <c r="K37" i="8" s="1"/>
  <c r="N93" i="8"/>
  <c r="N94" i="8" s="1"/>
  <c r="O94" i="8" s="1"/>
  <c r="M121" i="8"/>
  <c r="E83" i="8"/>
  <c r="I83" i="8" s="1"/>
  <c r="K83" i="8" s="1"/>
  <c r="L83" i="8" s="1"/>
  <c r="F84" i="8"/>
  <c r="O11" i="8"/>
  <c r="E124" i="8"/>
  <c r="E122" i="8"/>
  <c r="E120" i="8"/>
  <c r="E123" i="8"/>
  <c r="E119" i="8"/>
  <c r="O119" i="8" s="1"/>
  <c r="E121" i="8"/>
  <c r="O108" i="8"/>
  <c r="E82" i="8"/>
  <c r="I82" i="8" s="1"/>
  <c r="O8" i="8"/>
  <c r="O12" i="8"/>
  <c r="F82" i="8"/>
  <c r="G75" i="7"/>
  <c r="G76" i="7"/>
  <c r="G74" i="7"/>
  <c r="F19" i="7"/>
  <c r="L75" i="7"/>
  <c r="L74" i="7"/>
  <c r="F18" i="7"/>
  <c r="L77" i="7"/>
  <c r="F21" i="7"/>
  <c r="L78" i="7"/>
  <c r="F22" i="7"/>
  <c r="F38" i="8" l="1"/>
  <c r="K38" i="8" s="1"/>
  <c r="L133" i="8"/>
  <c r="S133" i="8" s="1"/>
  <c r="V133" i="8" s="1"/>
  <c r="E135" i="8"/>
  <c r="L134" i="8"/>
  <c r="S134" i="8" s="1"/>
  <c r="V134" i="8" s="1"/>
  <c r="K82" i="8"/>
  <c r="O93" i="8"/>
  <c r="F20" i="7"/>
  <c r="F29" i="7" s="1"/>
  <c r="N95" i="8"/>
  <c r="O95" i="8" s="1"/>
  <c r="M122" i="8"/>
  <c r="F36" i="8"/>
  <c r="K36" i="8" s="1"/>
  <c r="K120" i="8"/>
  <c r="O120" i="8"/>
  <c r="S120" i="8" s="1"/>
  <c r="O122" i="8"/>
  <c r="K122" i="8"/>
  <c r="K123" i="8"/>
  <c r="O123" i="8"/>
  <c r="K121" i="8"/>
  <c r="O121" i="8"/>
  <c r="S121" i="8" s="1"/>
  <c r="K119" i="8"/>
  <c r="S119" i="8"/>
  <c r="O124" i="8"/>
  <c r="K124" i="8"/>
  <c r="F31" i="7"/>
  <c r="K22" i="7"/>
  <c r="K31" i="7" s="1"/>
  <c r="K21" i="7"/>
  <c r="K30" i="7" s="1"/>
  <c r="F30" i="7"/>
  <c r="K19" i="7"/>
  <c r="K28" i="7" s="1"/>
  <c r="F28" i="7"/>
  <c r="F27" i="7"/>
  <c r="K18" i="7"/>
  <c r="K27" i="7" s="1"/>
  <c r="E136" i="8" l="1"/>
  <c r="L136" i="8" s="1"/>
  <c r="S136" i="8" s="1"/>
  <c r="V136" i="8" s="1"/>
  <c r="L135" i="8"/>
  <c r="S135" i="8" s="1"/>
  <c r="V135" i="8" s="1"/>
  <c r="F35" i="8"/>
  <c r="K35" i="8" s="1"/>
  <c r="L82" i="8"/>
  <c r="K20" i="7"/>
  <c r="K29" i="7" s="1"/>
  <c r="N96" i="8"/>
  <c r="N97" i="8" s="1"/>
  <c r="S122" i="8"/>
  <c r="M123" i="8"/>
  <c r="S123" i="8" s="1"/>
  <c r="O96" i="8" l="1"/>
  <c r="O97" i="8"/>
  <c r="N98" i="8"/>
  <c r="O98" i="8" s="1"/>
  <c r="M124" i="8"/>
  <c r="S124" i="8" s="1"/>
  <c r="F27" i="2" l="1"/>
  <c r="D48" i="2"/>
  <c r="D49" i="2"/>
  <c r="D50" i="2"/>
  <c r="D51" i="2"/>
  <c r="F48" i="2"/>
  <c r="F49" i="2"/>
  <c r="F50" i="2"/>
  <c r="F51" i="2"/>
  <c r="F47" i="2"/>
  <c r="D47" i="2"/>
  <c r="L17" i="4"/>
  <c r="L16" i="4"/>
  <c r="Q27" i="2"/>
  <c r="Q28" i="2" s="1"/>
  <c r="F28" i="2"/>
  <c r="F29" i="2" s="1"/>
  <c r="M19" i="4"/>
  <c r="M18" i="4"/>
  <c r="L18" i="4"/>
  <c r="K18" i="4"/>
  <c r="M17" i="4"/>
  <c r="K17" i="4"/>
  <c r="M16" i="4"/>
  <c r="K16" i="4"/>
  <c r="F19" i="4"/>
  <c r="F18" i="4"/>
  <c r="D18" i="4"/>
  <c r="F17" i="4"/>
  <c r="E17" i="4"/>
  <c r="E18" i="4" s="1"/>
  <c r="D17" i="4"/>
  <c r="F16" i="4"/>
  <c r="E16" i="4"/>
  <c r="D16" i="4"/>
  <c r="K47" i="2" l="1"/>
  <c r="F17" i="2" s="1"/>
  <c r="K17" i="2" s="1"/>
  <c r="U10" i="2" l="1"/>
  <c r="P14" i="2"/>
  <c r="P10" i="2"/>
  <c r="Q26" i="2" l="1"/>
</calcChain>
</file>

<file path=xl/sharedStrings.xml><?xml version="1.0" encoding="utf-8"?>
<sst xmlns="http://schemas.openxmlformats.org/spreadsheetml/2006/main" count="585" uniqueCount="145">
  <si>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</si>
  <si>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</si>
  <si>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</si>
  <si>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</si>
  <si>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</si>
  <si>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dBm</t>
  </si>
  <si>
    <t>W to dBm</t>
  </si>
  <si>
    <t>W</t>
  </si>
  <si>
    <t>Power</t>
  </si>
  <si>
    <t>dBm to W</t>
  </si>
  <si>
    <t>V/m</t>
  </si>
  <si>
    <t>f</t>
  </si>
  <si>
    <t>MHz</t>
  </si>
  <si>
    <t>dBi</t>
  </si>
  <si>
    <t>m</t>
  </si>
  <si>
    <t>E</t>
  </si>
  <si>
    <t>H</t>
  </si>
  <si>
    <t>S</t>
  </si>
  <si>
    <t>Av Time</t>
  </si>
  <si>
    <t>A/m</t>
  </si>
  <si>
    <t>mW/cm2</t>
  </si>
  <si>
    <t>min</t>
  </si>
  <si>
    <t>Sun</t>
  </si>
  <si>
    <t>lamda</t>
  </si>
  <si>
    <t>W/m2 Hz</t>
  </si>
  <si>
    <t>delta f</t>
  </si>
  <si>
    <t>Hz</t>
  </si>
  <si>
    <t>cm2</t>
  </si>
  <si>
    <t>isotrop</t>
  </si>
  <si>
    <t>Signal</t>
  </si>
  <si>
    <t>EMF-EMC Calculations</t>
  </si>
  <si>
    <t>Limits for Human Exposure</t>
  </si>
  <si>
    <t>Limits for Communication Devices</t>
  </si>
  <si>
    <t>Version 01.03.2023  (explanation)</t>
  </si>
  <si>
    <t>Security Distance Human &amp; Technical</t>
  </si>
  <si>
    <t>input</t>
  </si>
  <si>
    <t>output</t>
  </si>
  <si>
    <t>Security Distance</t>
  </si>
  <si>
    <t>-43 dBm .. -23 dBm</t>
  </si>
  <si>
    <t>P to p</t>
  </si>
  <si>
    <t>p to P</t>
  </si>
  <si>
    <t>Power Density</t>
  </si>
  <si>
    <t>=</t>
  </si>
  <si>
    <t>Typical Inband Intermod Limit</t>
  </si>
  <si>
    <t>Typical out-of-band receiver blocking limit</t>
  </si>
  <si>
    <t>+10 dBm</t>
  </si>
  <si>
    <r>
      <t>W/m</t>
    </r>
    <r>
      <rPr>
        <b/>
        <vertAlign val="superscript"/>
        <sz val="14"/>
        <rFont val="Times New Roman"/>
        <family val="1"/>
      </rPr>
      <t>2</t>
    </r>
  </si>
  <si>
    <r>
      <t>E</t>
    </r>
    <r>
      <rPr>
        <b/>
        <vertAlign val="subscript"/>
        <sz val="14"/>
        <rFont val="Times New Roman"/>
        <family val="1"/>
      </rPr>
      <t>max</t>
    </r>
  </si>
  <si>
    <r>
      <t>mW/cm</t>
    </r>
    <r>
      <rPr>
        <b/>
        <vertAlign val="superscript"/>
        <sz val="14"/>
        <rFont val="Times New Roman"/>
        <family val="1"/>
      </rPr>
      <t>2</t>
    </r>
  </si>
  <si>
    <r>
      <t>g</t>
    </r>
    <r>
      <rPr>
        <b/>
        <vertAlign val="subscript"/>
        <sz val="14"/>
        <rFont val="Times New Roman"/>
        <family val="1"/>
      </rPr>
      <t>Antenna</t>
    </r>
  </si>
  <si>
    <r>
      <t>p</t>
    </r>
    <r>
      <rPr>
        <b/>
        <vertAlign val="subscript"/>
        <sz val="14"/>
        <rFont val="Times New Roman"/>
        <family val="1"/>
      </rPr>
      <t>max,rec</t>
    </r>
  </si>
  <si>
    <r>
      <t>p</t>
    </r>
    <r>
      <rPr>
        <b/>
        <vertAlign val="subscript"/>
        <sz val="14"/>
        <rFont val="Times New Roman"/>
        <family val="1"/>
      </rPr>
      <t>tr,tot,eirp</t>
    </r>
  </si>
  <si>
    <r>
      <t>d</t>
    </r>
    <r>
      <rPr>
        <b/>
        <vertAlign val="subscript"/>
        <sz val="14"/>
        <rFont val="Times New Roman"/>
        <family val="1"/>
      </rPr>
      <t>min,human</t>
    </r>
  </si>
  <si>
    <r>
      <t>d</t>
    </r>
    <r>
      <rPr>
        <b/>
        <vertAlign val="subscript"/>
        <sz val="14"/>
        <rFont val="Times New Roman"/>
        <family val="1"/>
      </rPr>
      <t>min,receiv</t>
    </r>
  </si>
  <si>
    <r>
      <t>S</t>
    </r>
    <r>
      <rPr>
        <b/>
        <vertAlign val="subscript"/>
        <sz val="14"/>
        <rFont val="Times New Roman"/>
        <family val="1"/>
      </rPr>
      <t>max</t>
    </r>
  </si>
  <si>
    <r>
      <t>P</t>
    </r>
    <r>
      <rPr>
        <b/>
        <vertAlign val="subscript"/>
        <sz val="14"/>
        <rFont val="Times New Roman"/>
        <family val="1"/>
      </rPr>
      <t>tr,tot,eirp</t>
    </r>
  </si>
  <si>
    <t>Limit for Humans</t>
  </si>
  <si>
    <r>
      <t>E</t>
    </r>
    <r>
      <rPr>
        <b/>
        <vertAlign val="subscript"/>
        <sz val="14"/>
        <rFont val="Times New Roman"/>
        <family val="1"/>
      </rPr>
      <t>max,human</t>
    </r>
  </si>
  <si>
    <r>
      <t>H</t>
    </r>
    <r>
      <rPr>
        <b/>
        <vertAlign val="subscript"/>
        <sz val="14"/>
        <rFont val="Times New Roman"/>
        <family val="1"/>
      </rPr>
      <t>max,human</t>
    </r>
  </si>
  <si>
    <t>input human exposure</t>
  </si>
  <si>
    <t>input receiver exposure</t>
  </si>
  <si>
    <t>dBuV/m</t>
  </si>
  <si>
    <r>
      <t>e</t>
    </r>
    <r>
      <rPr>
        <b/>
        <vertAlign val="subscript"/>
        <sz val="14"/>
        <rFont val="Times New Roman"/>
        <family val="1"/>
      </rPr>
      <t>max</t>
    </r>
  </si>
  <si>
    <t>Limit for Receiver</t>
  </si>
  <si>
    <t>conversions</t>
  </si>
  <si>
    <t>Limits for Occupational / Controlled Exposure</t>
  </si>
  <si>
    <t>Limits for General Population / Uncontrolled Exposure</t>
  </si>
  <si>
    <t>Source: FCC</t>
  </si>
  <si>
    <t>note</t>
  </si>
  <si>
    <r>
      <t>p</t>
    </r>
    <r>
      <rPr>
        <b/>
        <vertAlign val="subscript"/>
        <sz val="14"/>
        <rFont val="Times New Roman"/>
        <family val="1"/>
      </rPr>
      <t>tr,eirp</t>
    </r>
  </si>
  <si>
    <t>DC</t>
  </si>
  <si>
    <t>%</t>
  </si>
  <si>
    <r>
      <t>P</t>
    </r>
    <r>
      <rPr>
        <b/>
        <vertAlign val="subscript"/>
        <sz val="14"/>
        <rFont val="Times New Roman"/>
        <family val="1"/>
      </rPr>
      <t>tr,eirp</t>
    </r>
  </si>
  <si>
    <t>Speak</t>
  </si>
  <si>
    <r>
      <t>S</t>
    </r>
    <r>
      <rPr>
        <b/>
        <vertAlign val="subscript"/>
        <sz val="14"/>
        <rFont val="Times New Roman"/>
        <family val="1"/>
      </rPr>
      <t>peak</t>
    </r>
  </si>
  <si>
    <t>W/m2</t>
  </si>
  <si>
    <r>
      <t>W/m</t>
    </r>
    <r>
      <rPr>
        <b/>
        <vertAlign val="superscript"/>
        <sz val="14"/>
        <rFont val="Times New Roman"/>
        <family val="1"/>
      </rPr>
      <t>2</t>
    </r>
    <r>
      <rPr>
        <sz val="12"/>
        <color theme="1"/>
        <rFont val="Calibri"/>
        <family val="2"/>
        <scheme val="minor"/>
      </rPr>
      <t/>
    </r>
  </si>
  <si>
    <r>
      <t>mW/cm</t>
    </r>
    <r>
      <rPr>
        <b/>
        <vertAlign val="superscript"/>
        <sz val="14"/>
        <rFont val="Times New Roman"/>
        <family val="1"/>
      </rPr>
      <t>2</t>
    </r>
    <r>
      <rPr>
        <sz val="12"/>
        <color theme="1"/>
        <rFont val="Calibri"/>
        <family val="2"/>
        <scheme val="minor"/>
      </rPr>
      <t/>
    </r>
  </si>
  <si>
    <t>output peak values</t>
  </si>
  <si>
    <t>Saverage</t>
  </si>
  <si>
    <r>
      <t>S</t>
    </r>
    <r>
      <rPr>
        <b/>
        <vertAlign val="subscript"/>
        <sz val="14"/>
        <rFont val="Times New Roman"/>
        <family val="1"/>
      </rPr>
      <t>average</t>
    </r>
  </si>
  <si>
    <t>Calculations &amp; Tables</t>
  </si>
  <si>
    <t>p</t>
  </si>
  <si>
    <t>P</t>
  </si>
  <si>
    <t>output average values</t>
  </si>
  <si>
    <t>distance</t>
  </si>
  <si>
    <t>dist</t>
  </si>
  <si>
    <t>W/m3</t>
  </si>
  <si>
    <t>Transmit Power</t>
  </si>
  <si>
    <t>total Transmit Power</t>
  </si>
  <si>
    <t>Receiver Antenna Gain</t>
  </si>
  <si>
    <t>Receiver Frequency</t>
  </si>
  <si>
    <t>Maximum Power Density</t>
  </si>
  <si>
    <t>Transmitter Frequency</t>
  </si>
  <si>
    <t>Duty Cycle</t>
  </si>
  <si>
    <t>Distance to Transmitter</t>
  </si>
  <si>
    <t>Calculation</t>
  </si>
  <si>
    <t>System  / Comment</t>
  </si>
  <si>
    <t>Shortwave Amateur Radio</t>
  </si>
  <si>
    <t>10 Mobile Radio Base Station Transm.</t>
  </si>
  <si>
    <t>Smart Phone</t>
  </si>
  <si>
    <t>DECT Phone</t>
  </si>
  <si>
    <t>Long Range RADAR</t>
  </si>
  <si>
    <t>Devices Limits vs Signals</t>
  </si>
  <si>
    <t>Receiver Bandwidth</t>
  </si>
  <si>
    <t>dB</t>
  </si>
  <si>
    <r>
      <t>g</t>
    </r>
    <r>
      <rPr>
        <b/>
        <vertAlign val="subscript"/>
        <sz val="14"/>
        <rFont val="Times New Roman"/>
        <family val="1"/>
      </rPr>
      <t>a</t>
    </r>
  </si>
  <si>
    <t>Min Signal-to-Noise Ratio</t>
  </si>
  <si>
    <t>Receiver Limit for Intermodulation</t>
  </si>
  <si>
    <t>Intermod</t>
  </si>
  <si>
    <t>Intermod with Ant Gain</t>
  </si>
  <si>
    <t>Receiver Noise Level</t>
  </si>
  <si>
    <t>Receiver Intermod Levels</t>
  </si>
  <si>
    <t>eff area</t>
  </si>
  <si>
    <t>Level</t>
  </si>
  <si>
    <t>Rec Noise</t>
  </si>
  <si>
    <t>°Celsius</t>
  </si>
  <si>
    <t>Receiver Temperature</t>
  </si>
  <si>
    <t>output peak values from transmitters</t>
  </si>
  <si>
    <t>output receiver</t>
  </si>
  <si>
    <t>T</t>
  </si>
  <si>
    <t>K</t>
  </si>
  <si>
    <t>Absolute Temperature</t>
  </si>
  <si>
    <r>
      <t>k</t>
    </r>
    <r>
      <rPr>
        <b/>
        <vertAlign val="subscript"/>
        <sz val="14"/>
        <rFont val="Times New Roman"/>
        <family val="1"/>
      </rPr>
      <t>B</t>
    </r>
  </si>
  <si>
    <t>Boltzmann's Constant</t>
  </si>
  <si>
    <r>
      <t>p</t>
    </r>
    <r>
      <rPr>
        <b/>
        <vertAlign val="subscript"/>
        <sz val="14"/>
        <rFont val="Times New Roman"/>
        <family val="1"/>
      </rPr>
      <t>noise</t>
    </r>
  </si>
  <si>
    <t>Ws/K</t>
  </si>
  <si>
    <t>Intrinsic Receiver Noise Power</t>
  </si>
  <si>
    <r>
      <t>P</t>
    </r>
    <r>
      <rPr>
        <b/>
        <vertAlign val="subscript"/>
        <sz val="14"/>
        <rFont val="Times New Roman"/>
        <family val="1"/>
      </rPr>
      <t>noise</t>
    </r>
  </si>
  <si>
    <t>TV Satellite</t>
  </si>
  <si>
    <t>Amateur Radio</t>
  </si>
  <si>
    <t>Mobile Radio</t>
  </si>
  <si>
    <t>with Ant Gain</t>
  </si>
  <si>
    <t>Ant Gain</t>
  </si>
  <si>
    <t>Noise</t>
  </si>
  <si>
    <t>With SNR</t>
  </si>
  <si>
    <t>SNR</t>
  </si>
  <si>
    <t>Ssun-gain</t>
  </si>
  <si>
    <t>Ssun</t>
  </si>
  <si>
    <t>Human Limits vs RF Fields</t>
  </si>
  <si>
    <t>GPS</t>
  </si>
  <si>
    <t>Man MAde Noise Level</t>
  </si>
  <si>
    <t>MM Noise</t>
  </si>
  <si>
    <t>rec Power</t>
  </si>
  <si>
    <t>MW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</si>
</sst>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"/>
    <numFmt numFmtId="165" formatCode="0.0E+00"/>
    <numFmt numFmtId="166" formatCode="0.0"/>
    <numFmt numFmtId="167" formatCode="#,##0.000"/>
    <numFmt numFmtId="168" formatCode="#,##0.0"/>
    <numFmt numFmtId="169" formatCode="0E+00"/>
    <numFmt numFmtId="170" formatCode="#,##0.000000_ ;\-#,##0.000000\ "/>
    <numFmt numFmtId="171" formatCode="0.0000E+00"/>
    <numFmt numFmtId="172" formatCode="0.E+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2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i/>
      <sz val="14"/>
      <color theme="1"/>
      <name val="Times New Roman"/>
      <family val="1"/>
    </font>
    <font>
      <b/>
      <i/>
      <sz val="14"/>
      <name val="Times New Roman"/>
      <family val="1"/>
    </font>
    <font>
      <b/>
      <vertAlign val="subscript"/>
      <sz val="14"/>
      <name val="Times New Roman"/>
      <family val="1"/>
    </font>
    <font>
      <b/>
      <vertAlign val="superscript"/>
      <sz val="14"/>
      <name val="Times New Roman"/>
      <family val="1"/>
    </font>
    <font>
      <i/>
      <sz val="14"/>
      <color theme="1"/>
      <name val="Times New Roman"/>
      <family val="1"/>
    </font>
    <font>
      <i/>
      <sz val="14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154">
    <xf numFmtId="0" fontId="0" fillId="0" borderId="0" xfId="0"/>
    <xf numFmtId="0" fontId="11" fillId="2" borderId="0" xfId="0" applyFont="1" applyFill="1"/>
    <xf numFmtId="0" fontId="12" fillId="2" borderId="0" xfId="0" applyFont="1" applyFill="1"/>
    <xf numFmtId="0" fontId="12" fillId="2" borderId="0" xfId="0" quotePrefix="1" applyFont="1" applyFill="1"/>
    <xf numFmtId="0" fontId="19" fillId="2" borderId="0" xfId="0" applyFont="1" applyFill="1"/>
    <xf numFmtId="4" fontId="11" fillId="2" borderId="0" xfId="0" applyNumberFormat="1" applyFont="1" applyFill="1" applyAlignment="1">
      <alignment horizontal="center" vertical="center"/>
    </xf>
    <xf numFmtId="0" fontId="10" fillId="2" borderId="0" xfId="0" applyFont="1" applyFill="1"/>
    <xf numFmtId="0" fontId="20" fillId="2" borderId="0" xfId="0" applyFont="1" applyFill="1" applyAlignment="1">
      <alignment horizontal="left" vertical="center"/>
    </xf>
    <xf numFmtId="4" fontId="20" fillId="2" borderId="0" xfId="0" applyNumberFormat="1" applyFont="1" applyFill="1" applyAlignment="1">
      <alignment horizontal="center" vertical="center"/>
    </xf>
    <xf numFmtId="0" fontId="20" fillId="2" borderId="0" xfId="0" applyFont="1" applyFill="1"/>
    <xf numFmtId="0" fontId="21" fillId="2" borderId="0" xfId="0" applyFont="1" applyFill="1"/>
    <xf numFmtId="0" fontId="11" fillId="2" borderId="0" xfId="0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right" vertical="center"/>
    </xf>
    <xf numFmtId="0" fontId="12" fillId="4" borderId="10" xfId="0" quotePrefix="1" applyFont="1" applyFill="1" applyBorder="1" applyAlignment="1" applyProtection="1">
      <alignment horizontal="left"/>
      <protection hidden="1"/>
    </xf>
    <xf numFmtId="0" fontId="12" fillId="4" borderId="0" xfId="0" quotePrefix="1" applyFont="1" applyFill="1" applyAlignment="1" applyProtection="1">
      <alignment horizontal="right"/>
      <protection hidden="1"/>
    </xf>
    <xf numFmtId="2" fontId="12" fillId="4" borderId="0" xfId="0" quotePrefix="1" applyNumberFormat="1" applyFont="1" applyFill="1" applyAlignment="1" applyProtection="1">
      <alignment horizontal="right"/>
      <protection hidden="1"/>
    </xf>
    <xf numFmtId="0" fontId="12" fillId="4" borderId="0" xfId="0" quotePrefix="1" applyFont="1" applyFill="1" applyAlignment="1" applyProtection="1">
      <alignment horizontal="left"/>
      <protection hidden="1"/>
    </xf>
    <xf numFmtId="0" fontId="12" fillId="4" borderId="10" xfId="0" quotePrefix="1" applyFont="1" applyFill="1" applyBorder="1" applyAlignment="1" applyProtection="1">
      <alignment horizontal="right"/>
      <protection hidden="1"/>
    </xf>
    <xf numFmtId="0" fontId="12" fillId="4" borderId="10" xfId="0" quotePrefix="1" applyFont="1" applyFill="1" applyBorder="1" applyAlignment="1" applyProtection="1">
      <alignment horizontal="center"/>
      <protection hidden="1"/>
    </xf>
    <xf numFmtId="0" fontId="12" fillId="4" borderId="0" xfId="0" quotePrefix="1" applyFont="1" applyFill="1" applyAlignment="1" applyProtection="1">
      <alignment horizontal="center"/>
      <protection hidden="1"/>
    </xf>
    <xf numFmtId="2" fontId="12" fillId="2" borderId="0" xfId="0" applyNumberFormat="1" applyFont="1" applyFill="1" applyAlignment="1" applyProtection="1">
      <alignment horizontal="right"/>
      <protection locked="0"/>
    </xf>
    <xf numFmtId="2" fontId="12" fillId="2" borderId="0" xfId="0" quotePrefix="1" applyNumberFormat="1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right"/>
      <protection locked="0"/>
    </xf>
    <xf numFmtId="0" fontId="11" fillId="2" borderId="0" xfId="0" applyFont="1" applyFill="1" applyProtection="1">
      <protection hidden="1"/>
    </xf>
    <xf numFmtId="0" fontId="11" fillId="2" borderId="0" xfId="0" applyFont="1" applyFill="1" applyAlignment="1" applyProtection="1">
      <alignment horizontal="right"/>
      <protection hidden="1"/>
    </xf>
    <xf numFmtId="0" fontId="11" fillId="3" borderId="1" xfId="0" applyFont="1" applyFill="1" applyBorder="1" applyProtection="1">
      <protection hidden="1"/>
    </xf>
    <xf numFmtId="0" fontId="11" fillId="3" borderId="2" xfId="0" applyFont="1" applyFill="1" applyBorder="1" applyProtection="1">
      <protection hidden="1"/>
    </xf>
    <xf numFmtId="0" fontId="11" fillId="3" borderId="2" xfId="0" applyFont="1" applyFill="1" applyBorder="1" applyAlignment="1" applyProtection="1">
      <alignment horizontal="right"/>
      <protection hidden="1"/>
    </xf>
    <xf numFmtId="0" fontId="11" fillId="3" borderId="3" xfId="0" applyFont="1" applyFill="1" applyBorder="1" applyProtection="1">
      <protection hidden="1"/>
    </xf>
    <xf numFmtId="0" fontId="11" fillId="3" borderId="4" xfId="0" applyFont="1" applyFill="1" applyBorder="1" applyProtection="1">
      <protection hidden="1"/>
    </xf>
    <xf numFmtId="0" fontId="12" fillId="3" borderId="0" xfId="0" applyFont="1" applyFill="1" applyProtection="1"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right"/>
      <protection hidden="1"/>
    </xf>
    <xf numFmtId="0" fontId="11" fillId="3" borderId="5" xfId="0" applyFont="1" applyFill="1" applyBorder="1" applyProtection="1">
      <protection hidden="1"/>
    </xf>
    <xf numFmtId="0" fontId="17" fillId="3" borderId="4" xfId="0" applyFont="1" applyFill="1" applyBorder="1" applyProtection="1">
      <protection hidden="1"/>
    </xf>
    <xf numFmtId="0" fontId="18" fillId="3" borderId="0" xfId="0" applyFont="1" applyFill="1" applyProtection="1">
      <protection hidden="1"/>
    </xf>
    <xf numFmtId="0" fontId="17" fillId="3" borderId="0" xfId="0" applyFont="1" applyFill="1" applyProtection="1">
      <protection hidden="1"/>
    </xf>
    <xf numFmtId="0" fontId="17" fillId="3" borderId="0" xfId="0" applyFont="1" applyFill="1" applyAlignment="1" applyProtection="1">
      <alignment horizontal="right"/>
      <protection hidden="1"/>
    </xf>
    <xf numFmtId="0" fontId="17" fillId="3" borderId="5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3" fillId="3" borderId="4" xfId="0" applyFont="1" applyFill="1" applyBorder="1" applyProtection="1">
      <protection hidden="1"/>
    </xf>
    <xf numFmtId="0" fontId="14" fillId="4" borderId="9" xfId="0" applyFont="1" applyFill="1" applyBorder="1" applyProtection="1">
      <protection hidden="1"/>
    </xf>
    <xf numFmtId="2" fontId="12" fillId="4" borderId="10" xfId="0" applyNumberFormat="1" applyFont="1" applyFill="1" applyBorder="1" applyAlignment="1" applyProtection="1">
      <alignment horizontal="right"/>
      <protection hidden="1"/>
    </xf>
    <xf numFmtId="0" fontId="12" fillId="4" borderId="10" xfId="0" applyFont="1" applyFill="1" applyBorder="1" applyAlignment="1" applyProtection="1">
      <alignment horizontal="left"/>
      <protection hidden="1"/>
    </xf>
    <xf numFmtId="0" fontId="12" fillId="4" borderId="11" xfId="0" applyFont="1" applyFill="1" applyBorder="1" applyAlignment="1" applyProtection="1">
      <alignment horizontal="left"/>
      <protection hidden="1"/>
    </xf>
    <xf numFmtId="0" fontId="14" fillId="3" borderId="0" xfId="0" applyFont="1" applyFill="1" applyProtection="1">
      <protection hidden="1"/>
    </xf>
    <xf numFmtId="0" fontId="13" fillId="3" borderId="0" xfId="0" applyFont="1" applyFill="1" applyProtection="1">
      <protection hidden="1"/>
    </xf>
    <xf numFmtId="0" fontId="13" fillId="3" borderId="5" xfId="0" applyFont="1" applyFill="1" applyBorder="1" applyProtection="1">
      <protection hidden="1"/>
    </xf>
    <xf numFmtId="0" fontId="13" fillId="2" borderId="0" xfId="0" applyFont="1" applyFill="1" applyProtection="1">
      <protection hidden="1"/>
    </xf>
    <xf numFmtId="0" fontId="12" fillId="4" borderId="12" xfId="0" applyFont="1" applyFill="1" applyBorder="1" applyProtection="1">
      <protection hidden="1"/>
    </xf>
    <xf numFmtId="0" fontId="12" fillId="4" borderId="0" xfId="0" applyFont="1" applyFill="1" applyAlignment="1" applyProtection="1">
      <alignment horizontal="left"/>
      <protection hidden="1"/>
    </xf>
    <xf numFmtId="0" fontId="12" fillId="4" borderId="13" xfId="0" applyFont="1" applyFill="1" applyBorder="1" applyAlignment="1" applyProtection="1">
      <alignment horizontal="left"/>
      <protection hidden="1"/>
    </xf>
    <xf numFmtId="0" fontId="12" fillId="3" borderId="0" xfId="0" applyFont="1" applyFill="1" applyAlignment="1" applyProtection="1">
      <alignment horizontal="left"/>
      <protection hidden="1"/>
    </xf>
    <xf numFmtId="2" fontId="12" fillId="4" borderId="0" xfId="0" applyNumberFormat="1" applyFont="1" applyFill="1" applyAlignment="1" applyProtection="1">
      <alignment horizontal="right"/>
      <protection hidden="1"/>
    </xf>
    <xf numFmtId="2" fontId="12" fillId="4" borderId="0" xfId="0" applyNumberFormat="1" applyFont="1" applyFill="1" applyAlignment="1" applyProtection="1">
      <alignment horizontal="left"/>
      <protection hidden="1"/>
    </xf>
    <xf numFmtId="0" fontId="12" fillId="4" borderId="14" xfId="0" applyFont="1" applyFill="1" applyBorder="1" applyProtection="1">
      <protection hidden="1"/>
    </xf>
    <xf numFmtId="0" fontId="12" fillId="4" borderId="15" xfId="0" applyFont="1" applyFill="1" applyBorder="1" applyProtection="1">
      <protection hidden="1"/>
    </xf>
    <xf numFmtId="2" fontId="12" fillId="4" borderId="15" xfId="0" applyNumberFormat="1" applyFont="1" applyFill="1" applyBorder="1" applyProtection="1">
      <protection hidden="1"/>
    </xf>
    <xf numFmtId="0" fontId="12" fillId="4" borderId="15" xfId="0" applyFont="1" applyFill="1" applyBorder="1" applyAlignment="1" applyProtection="1">
      <alignment horizontal="left"/>
      <protection hidden="1"/>
    </xf>
    <xf numFmtId="0" fontId="12" fillId="4" borderId="16" xfId="0" applyFont="1" applyFill="1" applyBorder="1" applyAlignment="1" applyProtection="1">
      <alignment horizontal="left"/>
      <protection hidden="1"/>
    </xf>
    <xf numFmtId="2" fontId="18" fillId="3" borderId="0" xfId="0" applyNumberFormat="1" applyFont="1" applyFill="1" applyProtection="1">
      <protection hidden="1"/>
    </xf>
    <xf numFmtId="0" fontId="12" fillId="3" borderId="0" xfId="0" applyFont="1" applyFill="1" applyAlignment="1" applyProtection="1">
      <alignment horizontal="right"/>
      <protection hidden="1"/>
    </xf>
    <xf numFmtId="2" fontId="12" fillId="3" borderId="0" xfId="0" applyNumberFormat="1" applyFont="1" applyFill="1" applyProtection="1">
      <protection hidden="1"/>
    </xf>
    <xf numFmtId="164" fontId="12" fillId="3" borderId="0" xfId="0" applyNumberFormat="1" applyFont="1" applyFill="1" applyProtection="1">
      <protection hidden="1"/>
    </xf>
    <xf numFmtId="0" fontId="12" fillId="4" borderId="15" xfId="0" applyFont="1" applyFill="1" applyBorder="1" applyAlignment="1" applyProtection="1">
      <alignment horizontal="center"/>
      <protection hidden="1"/>
    </xf>
    <xf numFmtId="166" fontId="12" fillId="4" borderId="15" xfId="0" applyNumberFormat="1" applyFont="1" applyFill="1" applyBorder="1" applyProtection="1">
      <protection hidden="1"/>
    </xf>
    <xf numFmtId="2" fontId="12" fillId="3" borderId="0" xfId="0" applyNumberFormat="1" applyFont="1" applyFill="1" applyAlignment="1" applyProtection="1">
      <alignment horizontal="center"/>
      <protection hidden="1"/>
    </xf>
    <xf numFmtId="166" fontId="12" fillId="3" borderId="0" xfId="0" applyNumberFormat="1" applyFont="1" applyFill="1" applyProtection="1">
      <protection hidden="1"/>
    </xf>
    <xf numFmtId="164" fontId="12" fillId="4" borderId="0" xfId="0" applyNumberFormat="1" applyFont="1" applyFill="1" applyAlignment="1" applyProtection="1">
      <alignment horizontal="right"/>
      <protection hidden="1"/>
    </xf>
    <xf numFmtId="0" fontId="12" fillId="3" borderId="0" xfId="0" applyFont="1" applyFill="1" applyAlignment="1" applyProtection="1">
      <alignment horizontal="center"/>
      <protection hidden="1"/>
    </xf>
    <xf numFmtId="0" fontId="18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12" fillId="3" borderId="0" xfId="0" quotePrefix="1" applyFont="1" applyFill="1" applyProtection="1">
      <protection hidden="1"/>
    </xf>
    <xf numFmtId="0" fontId="18" fillId="3" borderId="0" xfId="0" applyFont="1" applyFill="1" applyAlignment="1" applyProtection="1">
      <alignment horizontal="right"/>
      <protection hidden="1"/>
    </xf>
    <xf numFmtId="0" fontId="11" fillId="3" borderId="6" xfId="0" applyFont="1" applyFill="1" applyBorder="1" applyProtection="1">
      <protection hidden="1"/>
    </xf>
    <xf numFmtId="0" fontId="11" fillId="3" borderId="7" xfId="0" applyFont="1" applyFill="1" applyBorder="1" applyProtection="1">
      <protection hidden="1"/>
    </xf>
    <xf numFmtId="0" fontId="11" fillId="3" borderId="7" xfId="0" applyFont="1" applyFill="1" applyBorder="1" applyAlignment="1" applyProtection="1">
      <alignment horizontal="right"/>
      <protection hidden="1"/>
    </xf>
    <xf numFmtId="0" fontId="11" fillId="3" borderId="8" xfId="0" applyFont="1" applyFill="1" applyBorder="1" applyProtection="1">
      <protection hidden="1"/>
    </xf>
    <xf numFmtId="0" fontId="14" fillId="4" borderId="12" xfId="0" applyFont="1" applyFill="1" applyBorder="1" applyProtection="1">
      <protection hidden="1"/>
    </xf>
    <xf numFmtId="0" fontId="12" fillId="4" borderId="10" xfId="0" applyFont="1" applyFill="1" applyBorder="1" applyAlignment="1" applyProtection="1">
      <alignment horizontal="right"/>
      <protection hidden="1"/>
    </xf>
    <xf numFmtId="0" fontId="12" fillId="4" borderId="0" xfId="0" applyFont="1" applyFill="1" applyAlignment="1" applyProtection="1">
      <alignment horizontal="right"/>
      <protection hidden="1"/>
    </xf>
    <xf numFmtId="0" fontId="12" fillId="4" borderId="15" xfId="0" applyFont="1" applyFill="1" applyBorder="1" applyAlignment="1" applyProtection="1">
      <alignment horizontal="right"/>
      <protection hidden="1"/>
    </xf>
    <xf numFmtId="0" fontId="11" fillId="2" borderId="0" xfId="0" applyFont="1" applyFill="1" applyAlignment="1" applyProtection="1">
      <alignment horizontal="center"/>
      <protection hidden="1"/>
    </xf>
    <xf numFmtId="0" fontId="11" fillId="3" borderId="2" xfId="0" applyFont="1" applyFill="1" applyBorder="1" applyAlignment="1" applyProtection="1">
      <alignment horizontal="center"/>
      <protection hidden="1"/>
    </xf>
    <xf numFmtId="0" fontId="12" fillId="4" borderId="10" xfId="0" applyFont="1" applyFill="1" applyBorder="1" applyAlignment="1" applyProtection="1">
      <alignment horizontal="center"/>
      <protection hidden="1"/>
    </xf>
    <xf numFmtId="0" fontId="12" fillId="4" borderId="0" xfId="0" applyFont="1" applyFill="1" applyAlignment="1" applyProtection="1">
      <alignment horizontal="center"/>
      <protection hidden="1"/>
    </xf>
    <xf numFmtId="0" fontId="11" fillId="3" borderId="0" xfId="0" applyFont="1" applyFill="1" applyAlignment="1" applyProtection="1">
      <alignment horizontal="center"/>
      <protection hidden="1"/>
    </xf>
    <xf numFmtId="0" fontId="11" fillId="3" borderId="7" xfId="0" applyFont="1" applyFill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alignment horizontal="left"/>
      <protection hidden="1"/>
    </xf>
    <xf numFmtId="0" fontId="11" fillId="3" borderId="2" xfId="0" applyFont="1" applyFill="1" applyBorder="1" applyAlignment="1" applyProtection="1">
      <alignment horizontal="left"/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1" fillId="3" borderId="7" xfId="0" applyFont="1" applyFill="1" applyBorder="1" applyAlignment="1" applyProtection="1">
      <alignment horizontal="left"/>
      <protection hidden="1"/>
    </xf>
    <xf numFmtId="2" fontId="12" fillId="4" borderId="10" xfId="0" applyNumberFormat="1" applyFont="1" applyFill="1" applyBorder="1" applyAlignment="1" applyProtection="1">
      <alignment horizontal="left"/>
      <protection hidden="1"/>
    </xf>
    <xf numFmtId="2" fontId="12" fillId="4" borderId="15" xfId="0" applyNumberFormat="1" applyFont="1" applyFill="1" applyBorder="1" applyAlignment="1" applyProtection="1">
      <alignment horizontal="left"/>
      <protection hidden="1"/>
    </xf>
    <xf numFmtId="2" fontId="18" fillId="3" borderId="0" xfId="0" applyNumberFormat="1" applyFont="1" applyFill="1" applyAlignment="1" applyProtection="1">
      <alignment horizontal="left"/>
      <protection hidden="1"/>
    </xf>
    <xf numFmtId="0" fontId="20" fillId="2" borderId="0" xfId="0" applyFont="1" applyFill="1" applyProtection="1"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right"/>
      <protection hidden="1"/>
    </xf>
    <xf numFmtId="0" fontId="2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Alignment="1" applyProtection="1">
      <alignment wrapText="1"/>
      <protection hidden="1"/>
    </xf>
    <xf numFmtId="0" fontId="11" fillId="2" borderId="0" xfId="0" applyFont="1" applyFill="1" applyAlignment="1" applyProtection="1">
      <alignment horizontal="center" wrapText="1"/>
      <protection hidden="1"/>
    </xf>
    <xf numFmtId="0" fontId="11" fillId="2" borderId="0" xfId="0" applyFont="1" applyFill="1" applyAlignment="1" applyProtection="1">
      <alignment horizontal="right" wrapText="1"/>
      <protection hidden="1"/>
    </xf>
    <xf numFmtId="0" fontId="11" fillId="2" borderId="0" xfId="0" applyFont="1" applyFill="1" applyAlignment="1" applyProtection="1">
      <alignment horizontal="left" wrapText="1"/>
      <protection hidden="1"/>
    </xf>
    <xf numFmtId="164" fontId="11" fillId="2" borderId="0" xfId="0" applyNumberFormat="1" applyFont="1" applyFill="1" applyAlignment="1" applyProtection="1">
      <alignment horizontal="right"/>
      <protection hidden="1"/>
    </xf>
    <xf numFmtId="165" fontId="11" fillId="2" borderId="0" xfId="0" applyNumberFormat="1" applyFont="1" applyFill="1" applyAlignment="1" applyProtection="1">
      <alignment horizontal="right"/>
      <protection hidden="1"/>
    </xf>
    <xf numFmtId="1" fontId="11" fillId="2" borderId="0" xfId="0" applyNumberFormat="1" applyFont="1" applyFill="1" applyAlignment="1" applyProtection="1">
      <alignment horizontal="right"/>
      <protection hidden="1"/>
    </xf>
    <xf numFmtId="165" fontId="12" fillId="4" borderId="0" xfId="0" applyNumberFormat="1" applyFont="1" applyFill="1" applyProtection="1">
      <protection hidden="1"/>
    </xf>
    <xf numFmtId="0" fontId="11" fillId="4" borderId="0" xfId="0" applyFont="1" applyFill="1" applyProtection="1">
      <protection hidden="1"/>
    </xf>
    <xf numFmtId="167" fontId="12" fillId="4" borderId="0" xfId="0" applyNumberFormat="1" applyFont="1" applyFill="1" applyAlignment="1" applyProtection="1">
      <alignment horizontal="right"/>
      <protection hidden="1"/>
    </xf>
    <xf numFmtId="167" fontId="12" fillId="2" borderId="0" xfId="0" applyNumberFormat="1" applyFont="1" applyFill="1" applyAlignment="1" applyProtection="1">
      <alignment horizontal="right"/>
      <protection locked="0"/>
    </xf>
    <xf numFmtId="168" fontId="12" fillId="2" borderId="0" xfId="0" quotePrefix="1" applyNumberFormat="1" applyFont="1" applyFill="1" applyAlignment="1" applyProtection="1">
      <alignment horizontal="right"/>
      <protection locked="0"/>
    </xf>
    <xf numFmtId="0" fontId="2" fillId="2" borderId="0" xfId="0" quotePrefix="1" applyFont="1" applyFill="1" applyAlignment="1" applyProtection="1">
      <alignment horizontal="left"/>
      <protection hidden="1"/>
    </xf>
    <xf numFmtId="0" fontId="12" fillId="2" borderId="0" xfId="0" applyFont="1" applyFill="1" applyProtection="1">
      <protection hidden="1"/>
    </xf>
    <xf numFmtId="0" fontId="12" fillId="2" borderId="0" xfId="0" applyFont="1" applyFill="1" applyAlignment="1" applyProtection="1">
      <alignment horizontal="center"/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2" fontId="12" fillId="4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Protection="1">
      <protection hidden="1"/>
    </xf>
    <xf numFmtId="0" fontId="1" fillId="2" borderId="0" xfId="0" applyFont="1" applyFill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0" xfId="0" applyFont="1" applyFill="1"/>
    <xf numFmtId="0" fontId="1" fillId="3" borderId="21" xfId="0" applyFont="1" applyFill="1" applyBorder="1"/>
    <xf numFmtId="0" fontId="2" fillId="3" borderId="0" xfId="0" applyFont="1" applyFill="1" applyProtection="1">
      <protection hidden="1"/>
    </xf>
    <xf numFmtId="0" fontId="3" fillId="3" borderId="0" xfId="0" applyFont="1" applyFill="1" applyProtection="1">
      <protection hidden="1"/>
    </xf>
    <xf numFmtId="0" fontId="4" fillId="3" borderId="0" xfId="0" applyFont="1" applyFill="1"/>
    <xf numFmtId="0" fontId="5" fillId="3" borderId="0" xfId="0" applyFont="1" applyFill="1" applyProtection="1">
      <protection hidden="1"/>
    </xf>
    <xf numFmtId="0" fontId="6" fillId="3" borderId="0" xfId="0" applyFont="1" applyFill="1"/>
    <xf numFmtId="0" fontId="7" fillId="3" borderId="0" xfId="0" applyFont="1" applyFill="1" applyAlignment="1">
      <alignment horizontal="left"/>
    </xf>
    <xf numFmtId="14" fontId="1" fillId="3" borderId="0" xfId="0" applyNumberFormat="1" applyFont="1" applyFill="1" applyAlignment="1">
      <alignment horizontal="left"/>
    </xf>
    <xf numFmtId="0" fontId="8" fillId="3" borderId="0" xfId="0" applyFont="1" applyFill="1" applyProtection="1">
      <protection hidden="1"/>
    </xf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11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center"/>
      <protection locked="0"/>
    </xf>
    <xf numFmtId="11" fontId="11" fillId="2" borderId="0" xfId="0" applyNumberFormat="1" applyFont="1" applyFill="1" applyAlignment="1" applyProtection="1">
      <alignment horizontal="center"/>
      <protection hidden="1"/>
    </xf>
    <xf numFmtId="165" fontId="11" fillId="2" borderId="0" xfId="0" applyNumberFormat="1" applyFont="1" applyFill="1" applyProtection="1">
      <protection hidden="1"/>
    </xf>
    <xf numFmtId="169" fontId="11" fillId="2" borderId="0" xfId="0" applyNumberFormat="1" applyFont="1" applyFill="1" applyProtection="1">
      <protection hidden="1"/>
    </xf>
    <xf numFmtId="165" fontId="12" fillId="4" borderId="0" xfId="0" quotePrefix="1" applyNumberFormat="1" applyFont="1" applyFill="1" applyAlignment="1" applyProtection="1">
      <alignment horizontal="center"/>
      <protection hidden="1"/>
    </xf>
    <xf numFmtId="168" fontId="11" fillId="2" borderId="0" xfId="0" applyNumberFormat="1" applyFont="1" applyFill="1" applyProtection="1">
      <protection hidden="1"/>
    </xf>
    <xf numFmtId="168" fontId="12" fillId="4" borderId="0" xfId="0" applyNumberFormat="1" applyFont="1" applyFill="1" applyProtection="1">
      <protection hidden="1"/>
    </xf>
    <xf numFmtId="11" fontId="12" fillId="4" borderId="0" xfId="0" applyNumberFormat="1" applyFont="1" applyFill="1" applyProtection="1">
      <protection hidden="1"/>
    </xf>
    <xf numFmtId="171" fontId="12" fillId="4" borderId="0" xfId="0" applyNumberFormat="1" applyFont="1" applyFill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right"/>
      <protection hidden="1"/>
    </xf>
    <xf numFmtId="169" fontId="11" fillId="2" borderId="0" xfId="0" applyNumberFormat="1" applyFont="1" applyFill="1" applyAlignment="1" applyProtection="1">
      <alignment horizontal="right"/>
      <protection hidden="1"/>
    </xf>
    <xf numFmtId="170" fontId="12" fillId="2" borderId="0" xfId="1" applyNumberFormat="1" applyFont="1" applyFill="1" applyProtection="1">
      <protection locked="0"/>
    </xf>
    <xf numFmtId="168" fontId="12" fillId="2" borderId="0" xfId="0" applyNumberFormat="1" applyFont="1" applyFill="1" applyProtection="1">
      <protection locked="0"/>
    </xf>
    <xf numFmtId="172" fontId="11" fillId="2" borderId="0" xfId="0" applyNumberFormat="1" applyFont="1" applyFill="1" applyProtection="1">
      <protection hidden="1"/>
    </xf>
    <xf numFmtId="11" fontId="11" fillId="2" borderId="0" xfId="0" applyNumberFormat="1" applyFont="1" applyFill="1" applyProtection="1">
      <protection hidden="1"/>
    </xf>
    <xf numFmtId="166" fontId="11" fillId="2" borderId="0" xfId="0" applyNumberFormat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left"/>
      <protection hidden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29427760184627"/>
          <c:y val="7.3089623783056765E-2"/>
          <c:w val="0.78810458516838922"/>
          <c:h val="0.7638560259040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'Limits Human'!$K$49</c:f>
              <c:strCache>
                <c:ptCount val="1"/>
                <c:pt idx="0">
                  <c:v>mW/cm2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'Limits Human'!$D$50:$D$55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30</c:v>
                </c:pt>
                <c:pt idx="3">
                  <c:v>300</c:v>
                </c:pt>
                <c:pt idx="4">
                  <c:v>1500</c:v>
                </c:pt>
                <c:pt idx="5">
                  <c:v>100000</c:v>
                </c:pt>
              </c:numCache>
            </c:numRef>
          </c:xVal>
          <c:yVal>
            <c:numRef>
              <c:f>'Limits Human'!$K$50:$K$55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C-F244-98EC-C62A43F6F79A}"/>
            </c:ext>
          </c:extLst>
        </c:ser>
        <c:ser>
          <c:idx val="1"/>
          <c:order val="1"/>
          <c:tx>
            <c:v>Public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'Limits Human'!$D$62:$D$67</c:f>
              <c:numCache>
                <c:formatCode>General</c:formatCode>
                <c:ptCount val="6"/>
                <c:pt idx="0">
                  <c:v>0.3</c:v>
                </c:pt>
                <c:pt idx="1">
                  <c:v>1.34</c:v>
                </c:pt>
                <c:pt idx="2">
                  <c:v>30</c:v>
                </c:pt>
                <c:pt idx="3">
                  <c:v>300</c:v>
                </c:pt>
                <c:pt idx="4">
                  <c:v>1500</c:v>
                </c:pt>
                <c:pt idx="5">
                  <c:v>100000</c:v>
                </c:pt>
              </c:numCache>
            </c:numRef>
          </c:xVal>
          <c:yVal>
            <c:numRef>
              <c:f>'Limits Human'!$K$62:$K$67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100.24504343951881</c:v>
                </c:pt>
                <c:pt idx="2" formatCode="General">
                  <c:v>0.2</c:v>
                </c:pt>
                <c:pt idx="3" formatCode="General">
                  <c:v>0.2</c:v>
                </c:pt>
                <c:pt idx="4" formatCode="General">
                  <c:v>1</c:v>
                </c:pt>
                <c:pt idx="5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C-F244-98EC-C62A43F6F79A}"/>
            </c:ext>
          </c:extLst>
        </c:ser>
        <c:ser>
          <c:idx val="4"/>
          <c:order val="2"/>
          <c:tx>
            <c:v>S1</c:v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5"/>
              </a:solidFill>
              <a:ln w="88900">
                <a:solidFill>
                  <a:srgbClr val="FF0000"/>
                </a:solidFill>
              </a:ln>
              <a:effectLst/>
            </c:spPr>
          </c:marker>
          <c:xVal>
            <c:numRef>
              <c:f>('Limits Human'!$D$74,'Limits Human'!$G$74)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'Limits Human'!$K$74:$L$74</c:f>
              <c:numCache>
                <c:formatCode>0.0E+00</c:formatCode>
                <c:ptCount val="2"/>
                <c:pt idx="0">
                  <c:v>6.7072983769198777E-3</c:v>
                </c:pt>
                <c:pt idx="1">
                  <c:v>6.7072983769198772E-4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2C-F244-98EC-C62A43F6F79A}"/>
            </c:ext>
          </c:extLst>
        </c:ser>
        <c:ser>
          <c:idx val="2"/>
          <c:order val="3"/>
          <c:tx>
            <c:v>S2</c:v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88900">
                <a:solidFill>
                  <a:srgbClr val="FF0000"/>
                </a:solidFill>
              </a:ln>
              <a:effectLst/>
            </c:spPr>
          </c:marker>
          <c:xVal>
            <c:numRef>
              <c:f>('Limits Human'!$D$75,'Limits Human'!$G$75)</c:f>
              <c:numCache>
                <c:formatCode>General</c:formatCode>
                <c:ptCount val="2"/>
                <c:pt idx="0">
                  <c:v>960</c:v>
                </c:pt>
                <c:pt idx="1">
                  <c:v>960</c:v>
                </c:pt>
              </c:numCache>
            </c:numRef>
          </c:xVal>
          <c:yVal>
            <c:numRef>
              <c:f>('Limits Human'!$K$75,'Limits Human'!$L$75)</c:f>
              <c:numCache>
                <c:formatCode>0.0E+00</c:formatCode>
                <c:ptCount val="2"/>
                <c:pt idx="0">
                  <c:v>7.9577471545947667E-4</c:v>
                </c:pt>
                <c:pt idx="1">
                  <c:v>4.7746482927568597E-4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2C-F244-98EC-C62A43F6F79A}"/>
            </c:ext>
          </c:extLst>
        </c:ser>
        <c:ser>
          <c:idx val="3"/>
          <c:order val="4"/>
          <c:tx>
            <c:v>S3</c:v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4"/>
              </a:solidFill>
              <a:ln w="88900">
                <a:solidFill>
                  <a:srgbClr val="FF0000"/>
                </a:solidFill>
              </a:ln>
              <a:effectLst/>
            </c:spPr>
          </c:marker>
          <c:xVal>
            <c:numRef>
              <c:f>('Limits Human'!$D$76,'Limits Human'!$G$76)</c:f>
              <c:numCache>
                <c:formatCode>General</c:formatCode>
                <c:ptCount val="2"/>
                <c:pt idx="0">
                  <c:v>860</c:v>
                </c:pt>
                <c:pt idx="1">
                  <c:v>860</c:v>
                </c:pt>
              </c:numCache>
            </c:numRef>
          </c:xVal>
          <c:yVal>
            <c:numRef>
              <c:f>('Limits Human'!$K$76,'Limits Human'!$L$76)</c:f>
              <c:numCache>
                <c:formatCode>0.0E+00</c:formatCode>
                <c:ptCount val="2"/>
                <c:pt idx="0">
                  <c:v>0.63210632496914387</c:v>
                </c:pt>
                <c:pt idx="1">
                  <c:v>6.3210632496914387E-2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2C-F244-98EC-C62A43F6F79A}"/>
            </c:ext>
          </c:extLst>
        </c:ser>
        <c:ser>
          <c:idx val="5"/>
          <c:order val="5"/>
          <c:tx>
            <c:v>S4</c:v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6"/>
              </a:solidFill>
              <a:ln w="88900">
                <a:solidFill>
                  <a:srgbClr val="FF0000"/>
                </a:solidFill>
              </a:ln>
              <a:effectLst/>
            </c:spPr>
          </c:marker>
          <c:xVal>
            <c:numRef>
              <c:f>('Limits Human'!$D$77,'Limits Human'!$G$77)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('Limits Human'!$K$77,'Limits Human'!$L$77)</c:f>
              <c:numCache>
                <c:formatCode>0.0E+00</c:formatCode>
                <c:ptCount val="2"/>
                <c:pt idx="0">
                  <c:v>0.19988957103010566</c:v>
                </c:pt>
                <c:pt idx="1">
                  <c:v>8.3953619832644374E-3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2C-F244-98EC-C62A43F6F79A}"/>
            </c:ext>
          </c:extLst>
        </c:ser>
        <c:ser>
          <c:idx val="6"/>
          <c:order val="6"/>
          <c:tx>
            <c:v>S5</c:v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>
                  <a:lumMod val="60000"/>
                </a:schemeClr>
              </a:solidFill>
              <a:ln w="88900">
                <a:solidFill>
                  <a:srgbClr val="FF0000"/>
                </a:solidFill>
              </a:ln>
              <a:effectLst/>
            </c:spPr>
          </c:marker>
          <c:xVal>
            <c:numRef>
              <c:f>('Limits Human'!$D$78,'Limits Human'!$G$78)</c:f>
              <c:numCache>
                <c:formatCode>General</c:formatCode>
                <c:ptCount val="2"/>
                <c:pt idx="0">
                  <c:v>5700</c:v>
                </c:pt>
                <c:pt idx="1">
                  <c:v>5700</c:v>
                </c:pt>
              </c:numCache>
            </c:numRef>
          </c:xVal>
          <c:yVal>
            <c:numRef>
              <c:f>('Limits Human'!$K$78,'Limits Human'!$L$78)</c:f>
              <c:numCache>
                <c:formatCode>0.0E+00</c:formatCode>
                <c:ptCount val="2"/>
                <c:pt idx="0">
                  <c:v>7.9577471545947673E-2</c:v>
                </c:pt>
                <c:pt idx="1">
                  <c:v>7.9577471545947675E-5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2C-F244-98EC-C62A43F6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99472"/>
        <c:axId val="640618976"/>
      </c:scatterChart>
      <c:valAx>
        <c:axId val="640599472"/>
        <c:scaling>
          <c:logBase val="10"/>
          <c:orientation val="minMax"/>
          <c:max val="100000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618976"/>
        <c:crossesAt val="1.0000000000000004E-5"/>
        <c:crossBetween val="midCat"/>
      </c:valAx>
      <c:valAx>
        <c:axId val="640618976"/>
        <c:scaling>
          <c:logBase val="10"/>
          <c:orientation val="minMax"/>
          <c:max val="10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599472"/>
        <c:crossesAt val="3.0000000000000006E-2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 sz="14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29427760184627"/>
          <c:y val="7.3089623783056765E-2"/>
          <c:w val="0.78810458516838922"/>
          <c:h val="0.80675536943746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'Limits Devices'!$K$56</c:f>
              <c:strCache>
                <c:ptCount val="1"/>
                <c:pt idx="0">
                  <c:v>mW/cm2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'Limits Devices'!$D$57:$D$62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30</c:v>
                </c:pt>
                <c:pt idx="3">
                  <c:v>300</c:v>
                </c:pt>
                <c:pt idx="4">
                  <c:v>1500</c:v>
                </c:pt>
                <c:pt idx="5">
                  <c:v>100000</c:v>
                </c:pt>
              </c:numCache>
            </c:numRef>
          </c:xVal>
          <c:yVal>
            <c:numRef>
              <c:f>'Limits Devices'!$K$57:$K$62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0-644A-BF6E-D12ACA6371D3}"/>
            </c:ext>
          </c:extLst>
        </c:ser>
        <c:ser>
          <c:idx val="1"/>
          <c:order val="1"/>
          <c:tx>
            <c:v>Public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'Limits Devices'!$D$69:$D$74</c:f>
              <c:numCache>
                <c:formatCode>General</c:formatCode>
                <c:ptCount val="6"/>
                <c:pt idx="0">
                  <c:v>0.3</c:v>
                </c:pt>
                <c:pt idx="1">
                  <c:v>1.34</c:v>
                </c:pt>
                <c:pt idx="2">
                  <c:v>30</c:v>
                </c:pt>
                <c:pt idx="3">
                  <c:v>300</c:v>
                </c:pt>
                <c:pt idx="4">
                  <c:v>1500</c:v>
                </c:pt>
                <c:pt idx="5">
                  <c:v>100000</c:v>
                </c:pt>
              </c:numCache>
            </c:numRef>
          </c:xVal>
          <c:yVal>
            <c:numRef>
              <c:f>'Limits Devices'!$K$69:$K$74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100.24504343951881</c:v>
                </c:pt>
                <c:pt idx="2" formatCode="General">
                  <c:v>0.2</c:v>
                </c:pt>
                <c:pt idx="3" formatCode="General">
                  <c:v>0.2</c:v>
                </c:pt>
                <c:pt idx="4" formatCode="General">
                  <c:v>1</c:v>
                </c:pt>
                <c:pt idx="5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0-644A-BF6E-D12ACA6371D3}"/>
            </c:ext>
          </c:extLst>
        </c:ser>
        <c:ser>
          <c:idx val="12"/>
          <c:order val="2"/>
          <c:tx>
            <c:v>MM Noise</c:v>
          </c:tx>
          <c:spPr>
            <a:ln w="5080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'Limits Devices'!$D$131:$D$136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30</c:v>
                </c:pt>
                <c:pt idx="3">
                  <c:v>300</c:v>
                </c:pt>
                <c:pt idx="4">
                  <c:v>3000</c:v>
                </c:pt>
                <c:pt idx="5">
                  <c:v>100000</c:v>
                </c:pt>
              </c:numCache>
            </c:numRef>
          </c:xVal>
          <c:yVal>
            <c:numRef>
              <c:f>'Limits Devices'!$L$131:$L$136</c:f>
              <c:numCache>
                <c:formatCode>General</c:formatCode>
                <c:ptCount val="6"/>
                <c:pt idx="0" formatCode="0E+00">
                  <c:v>1.5000000000000001E-12</c:v>
                </c:pt>
                <c:pt idx="1">
                  <c:v>4.499999999999999E-13</c:v>
                </c:pt>
                <c:pt idx="2">
                  <c:v>1.3499999999999998E-13</c:v>
                </c:pt>
                <c:pt idx="3">
                  <c:v>4.0499999999999992E-14</c:v>
                </c:pt>
                <c:pt idx="4">
                  <c:v>1.2149999999999996E-14</c:v>
                </c:pt>
                <c:pt idx="5">
                  <c:v>3.6449999999999991E-15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D4-394B-AB41-B5081A8A3219}"/>
            </c:ext>
          </c:extLst>
        </c:ser>
        <c:ser>
          <c:idx val="3"/>
          <c:order val="3"/>
          <c:tx>
            <c:v>Sun</c:v>
          </c:tx>
          <c:spPr>
            <a:ln w="1270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'Limits Devices'!$D$93:$D$98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30</c:v>
                </c:pt>
                <c:pt idx="3">
                  <c:v>300</c:v>
                </c:pt>
                <c:pt idx="4">
                  <c:v>3000</c:v>
                </c:pt>
                <c:pt idx="5">
                  <c:v>100000</c:v>
                </c:pt>
              </c:numCache>
            </c:numRef>
          </c:xVal>
          <c:yVal>
            <c:numRef>
              <c:f>'Limits Devices'!$L$93:$L$98</c:f>
              <c:numCache>
                <c:formatCode>General</c:formatCode>
                <c:ptCount val="6"/>
                <c:pt idx="0" formatCode="0E+00">
                  <c:v>5.0000000000000009E-13</c:v>
                </c:pt>
                <c:pt idx="1">
                  <c:v>4.9999999999999992E-15</c:v>
                </c:pt>
                <c:pt idx="2">
                  <c:v>5.0000000000000009E-13</c:v>
                </c:pt>
                <c:pt idx="3">
                  <c:v>5.0000000000000009E-13</c:v>
                </c:pt>
                <c:pt idx="4">
                  <c:v>5.0000000000000002E-14</c:v>
                </c:pt>
                <c:pt idx="5">
                  <c:v>5.0000000000000009E-13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E0-644A-BF6E-D12ACA6371D3}"/>
            </c:ext>
          </c:extLst>
        </c:ser>
        <c:ser>
          <c:idx val="4"/>
          <c:order val="4"/>
          <c:tx>
            <c:v>Intermod</c:v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'Limits Devices'!$D$106:$D$111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30</c:v>
                </c:pt>
                <c:pt idx="3">
                  <c:v>300</c:v>
                </c:pt>
                <c:pt idx="4">
                  <c:v>3000</c:v>
                </c:pt>
                <c:pt idx="5">
                  <c:v>100000</c:v>
                </c:pt>
              </c:numCache>
            </c:numRef>
          </c:xVal>
          <c:yVal>
            <c:numRef>
              <c:f>'Limits Devices'!$K$106:$K$111</c:f>
              <c:numCache>
                <c:formatCode>0.0E+00</c:formatCode>
                <c:ptCount val="6"/>
                <c:pt idx="0">
                  <c:v>6.2981045249457213E-14</c:v>
                </c:pt>
                <c:pt idx="1">
                  <c:v>6.2981045249457209E-12</c:v>
                </c:pt>
                <c:pt idx="2">
                  <c:v>6.2981045249457206E-10</c:v>
                </c:pt>
                <c:pt idx="3">
                  <c:v>6.2981045249457203E-8</c:v>
                </c:pt>
                <c:pt idx="4">
                  <c:v>6.2981045249457188E-6</c:v>
                </c:pt>
                <c:pt idx="5">
                  <c:v>6.9978939166063575E-3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E0-644A-BF6E-D12ACA6371D3}"/>
            </c:ext>
          </c:extLst>
        </c:ser>
        <c:ser>
          <c:idx val="5"/>
          <c:order val="5"/>
          <c:tx>
            <c:v>Intermod with gain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'Limits Devices'!$D$106:$D$111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30</c:v>
                </c:pt>
                <c:pt idx="3">
                  <c:v>300</c:v>
                </c:pt>
                <c:pt idx="4">
                  <c:v>3000</c:v>
                </c:pt>
                <c:pt idx="5">
                  <c:v>100000</c:v>
                </c:pt>
              </c:numCache>
            </c:numRef>
          </c:xVal>
          <c:yVal>
            <c:numRef>
              <c:f>'Limits Devices'!$O$106:$O$111</c:f>
              <c:numCache>
                <c:formatCode>0.0E+00</c:formatCode>
                <c:ptCount val="6"/>
                <c:pt idx="0">
                  <c:v>6.2981045249457052E-18</c:v>
                </c:pt>
                <c:pt idx="1">
                  <c:v>6.2981045249457056E-16</c:v>
                </c:pt>
                <c:pt idx="2">
                  <c:v>6.2981045249457049E-14</c:v>
                </c:pt>
                <c:pt idx="3">
                  <c:v>6.2981045249457047E-12</c:v>
                </c:pt>
                <c:pt idx="4">
                  <c:v>6.2981045249457041E-10</c:v>
                </c:pt>
                <c:pt idx="5">
                  <c:v>6.9978939166063404E-7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E0-644A-BF6E-D12ACA6371D3}"/>
            </c:ext>
          </c:extLst>
        </c:ser>
        <c:ser>
          <c:idx val="7"/>
          <c:order val="6"/>
          <c:tx>
            <c:v>Noise plus Gain</c:v>
          </c:tx>
          <c:spPr>
            <a:ln w="381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'Limits Devices'!$D$119:$D$124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30</c:v>
                </c:pt>
                <c:pt idx="3">
                  <c:v>300</c:v>
                </c:pt>
                <c:pt idx="4">
                  <c:v>3000</c:v>
                </c:pt>
                <c:pt idx="5">
                  <c:v>100000</c:v>
                </c:pt>
              </c:numCache>
            </c:numRef>
          </c:xVal>
          <c:yVal>
            <c:numRef>
              <c:f>'Limits Devices'!$O$119:$O$124</c:f>
              <c:numCache>
                <c:formatCode>0.0E+00</c:formatCode>
                <c:ptCount val="6"/>
                <c:pt idx="0">
                  <c:v>1.0409859523140151E-23</c:v>
                </c:pt>
                <c:pt idx="1">
                  <c:v>1.0409859523140151E-21</c:v>
                </c:pt>
                <c:pt idx="2">
                  <c:v>1.0409859523140151E-19</c:v>
                </c:pt>
                <c:pt idx="3">
                  <c:v>1.0409859523140151E-17</c:v>
                </c:pt>
                <c:pt idx="4">
                  <c:v>1.0409859523140149E-15</c:v>
                </c:pt>
                <c:pt idx="5">
                  <c:v>1.1566510581266835E-12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E0-644A-BF6E-D12ACA6371D3}"/>
            </c:ext>
          </c:extLst>
        </c:ser>
        <c:ser>
          <c:idx val="8"/>
          <c:order val="7"/>
          <c:tx>
            <c:v>Noise plus SNR</c:v>
          </c:tx>
          <c:spPr>
            <a:ln w="3810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'Limits Devices'!$D$119:$D$124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30</c:v>
                </c:pt>
                <c:pt idx="3">
                  <c:v>300</c:v>
                </c:pt>
                <c:pt idx="4">
                  <c:v>3000</c:v>
                </c:pt>
                <c:pt idx="5">
                  <c:v>100000</c:v>
                </c:pt>
              </c:numCache>
            </c:numRef>
          </c:xVal>
          <c:yVal>
            <c:numRef>
              <c:f>'Limits Devices'!$S$119:$S$124</c:f>
              <c:numCache>
                <c:formatCode>0.0E+00</c:formatCode>
                <c:ptCount val="6"/>
                <c:pt idx="0">
                  <c:v>3.2918866215517167E-22</c:v>
                </c:pt>
                <c:pt idx="1">
                  <c:v>3.2918866215517168E-20</c:v>
                </c:pt>
                <c:pt idx="2">
                  <c:v>3.2918866215517168E-18</c:v>
                </c:pt>
                <c:pt idx="3">
                  <c:v>3.2918866215517167E-16</c:v>
                </c:pt>
                <c:pt idx="4">
                  <c:v>3.2918866215517161E-14</c:v>
                </c:pt>
                <c:pt idx="5">
                  <c:v>3.6576518017241298E-11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E0-644A-BF6E-D12ACA6371D3}"/>
            </c:ext>
          </c:extLst>
        </c:ser>
        <c:ser>
          <c:idx val="2"/>
          <c:order val="8"/>
          <c:tx>
            <c:v>S1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('Limits Devices'!$D$81,'Limits Devices'!$G$81)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('Limits Devices'!$K$81,'Limits Devices'!$L$81)</c:f>
              <c:numCache>
                <c:formatCode>0.0E+00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D4-394B-AB41-B5081A8A3219}"/>
            </c:ext>
          </c:extLst>
        </c:ser>
        <c:ser>
          <c:idx val="6"/>
          <c:order val="9"/>
          <c:tx>
            <c:v>S2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('Limits Devices'!$D$82,'Limits Devices'!$G$82)</c:f>
              <c:numCache>
                <c:formatCode>General</c:formatCode>
                <c:ptCount val="2"/>
                <c:pt idx="0">
                  <c:v>900</c:v>
                </c:pt>
                <c:pt idx="1">
                  <c:v>900</c:v>
                </c:pt>
              </c:numCache>
            </c:numRef>
          </c:xVal>
          <c:yVal>
            <c:numRef>
              <c:f>('Limits Devices'!$K$82,'Limits Devices'!$L$82)</c:f>
              <c:numCache>
                <c:formatCode>0.0E+00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D4-394B-AB41-B5081A8A3219}"/>
            </c:ext>
          </c:extLst>
        </c:ser>
        <c:ser>
          <c:idx val="9"/>
          <c:order val="10"/>
          <c:tx>
            <c:v>S3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('Limits Devices'!$D$83,'Limits Devices'!$G$83)</c:f>
              <c:numCache>
                <c:formatCode>General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xVal>
          <c:yVal>
            <c:numRef>
              <c:f>('Limits Devices'!$K$83,'Limits Devices'!$L$83)</c:f>
              <c:numCache>
                <c:formatCode>0.0E+00</c:formatCode>
                <c:ptCount val="2"/>
                <c:pt idx="0">
                  <c:v>6.1402370020021351E-13</c:v>
                </c:pt>
                <c:pt idx="1">
                  <c:v>6.7542607022023491E-13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D4-394B-AB41-B5081A8A3219}"/>
            </c:ext>
          </c:extLst>
        </c:ser>
        <c:ser>
          <c:idx val="10"/>
          <c:order val="11"/>
          <c:tx>
            <c:v>S4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('Limits Devices'!$D$84,'Limits Devices'!$G$84)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('Limits Devices'!$K$84,'Limits Devices'!$L$84)</c:f>
              <c:numCache>
                <c:formatCode>0.0E+00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D4-394B-AB41-B5081A8A3219}"/>
            </c:ext>
          </c:extLst>
        </c:ser>
        <c:ser>
          <c:idx val="11"/>
          <c:order val="12"/>
          <c:tx>
            <c:v>S5</c:v>
          </c:tx>
          <c:spPr>
            <a:ln w="1270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('Limits Devices'!$D$85,'Limits Devices'!$G$85)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('Limits Devices'!$K$85,'Limits Devices'!$L$85)</c:f>
              <c:numCache>
                <c:formatCode>0.0E+00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D4-394B-AB41-B5081A8A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99472"/>
        <c:axId val="640618976"/>
      </c:scatterChart>
      <c:valAx>
        <c:axId val="640599472"/>
        <c:scaling>
          <c:logBase val="10"/>
          <c:orientation val="minMax"/>
          <c:max val="100000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618976"/>
        <c:crossesAt val="1.0000000000000011E-20"/>
        <c:crossBetween val="midCat"/>
      </c:valAx>
      <c:valAx>
        <c:axId val="640618976"/>
        <c:scaling>
          <c:logBase val="10"/>
          <c:orientation val="minMax"/>
          <c:max val="1000"/>
          <c:min val="1.0000000000000011E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599472"/>
        <c:crossesAt val="3.0000000000000006E-2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 sz="14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'FCC &amp; Sun'!#REF!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'FCC &amp; Sun'!#REF!</c:f>
            </c:numRef>
          </c:xVal>
          <c:yVal>
            <c:numRef>
              <c:f>'FCC &amp; Sun'!#REF!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0-CF4A-9D47-FE82EA337E26}"/>
            </c:ext>
          </c:extLst>
        </c:ser>
        <c:ser>
          <c:idx val="1"/>
          <c:order val="1"/>
          <c:tx>
            <c:v>Public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'FCC &amp; Sun'!#REF!</c:f>
            </c:numRef>
          </c:xVal>
          <c:yVal>
            <c:numRef>
              <c:f>'FCC &amp; Sun'!#REF!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0-CF4A-9D47-FE82EA33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99472"/>
        <c:axId val="640618976"/>
      </c:scatterChart>
      <c:valAx>
        <c:axId val="640599472"/>
        <c:scaling>
          <c:logBase val="10"/>
          <c:orientation val="minMax"/>
          <c:max val="300000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618976"/>
        <c:crossesAt val="1.0000000000000002E-3"/>
        <c:crossBetween val="midCat"/>
      </c:valAx>
      <c:valAx>
        <c:axId val="640618976"/>
        <c:scaling>
          <c:logBase val="10"/>
          <c:orientation val="minMax"/>
          <c:max val="1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599472"/>
        <c:crossesAt val="3.0000000000000006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hannel/UClPnzFiUQ_J0KyaXQarIFhQ/featured" TargetMode="Externa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281215</xdr:colOff>
      <xdr:row>12</xdr:row>
      <xdr:rowOff>190499</xdr:rowOff>
    </xdr:from>
    <xdr:to>
      <xdr:col>5</xdr:col>
      <xdr:colOff>32657</xdr:colOff>
      <xdr:row>21</xdr:row>
      <xdr:rowOff>185056</xdr:rowOff>
    </xdr:to>
    <xdr:pic>
      <xdr:nvPicPr>
        <xdr:cNvPr id="4" name="Grafik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C69E48-04EB-C1C6-C501-D259CF576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4286" y="2712356"/>
          <a:ext cx="1828800" cy="1790700"/>
        </a:xfrm>
        <a:prstGeom prst="rect">
          <a:avLst/>
        </a:prstGeom>
      </xdr:spPr>
    </xdr:pic>
    <xdr:clientData/>
  </xdr:twoCellAnchor>
  <xdr:twoCellAnchor editAs="oneCell">
    <xdr:from>
      <xdr:col>8</xdr:col>
      <xdr:colOff>487584</xdr:colOff>
      <xdr:row>4</xdr:row>
      <xdr:rowOff>36286</xdr:rowOff>
    </xdr:from>
    <xdr:to>
      <xdr:col>11</xdr:col>
      <xdr:colOff>479933</xdr:colOff>
      <xdr:row>21</xdr:row>
      <xdr:rowOff>99786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65B1087-BFA8-D24D-0064-1E2B4E396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62870" y="961572"/>
          <a:ext cx="8229206" cy="3456214"/>
        </a:xfrm>
        <a:prstGeom prst="rect">
          <a:avLst/>
        </a:prstGeom>
        <a:ln w="44450">
          <a:solidFill>
            <a:schemeClr val="tx1">
              <a:lumMod val="50000"/>
              <a:lumOff val="50000"/>
            </a:schemeClr>
          </a:solidFill>
        </a:ln>
        <a:effectLst>
          <a:outerShdw blurRad="50800" dist="116747" dir="18900000" algn="bl" rotWithShape="0">
            <a:prstClr val="black">
              <a:alpha val="84831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335644</xdr:colOff>
      <xdr:row>14</xdr:row>
      <xdr:rowOff>217716</xdr:rowOff>
    </xdr:from>
    <xdr:to>
      <xdr:col>27</xdr:col>
      <xdr:colOff>413657</xdr:colOff>
      <xdr:row>32</xdr:row>
      <xdr:rowOff>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C6F0994-5E66-3749-80E3-19D794F5D939}"/>
            </a:ext>
          </a:extLst>
        </xdr:cNvPr>
        <xdr:cNvGrpSpPr/>
      </xdr:nvGrpSpPr>
      <xdr:grpSpPr>
        <a:xfrm>
          <a:off x="7039430" y="3664859"/>
          <a:ext cx="10492013" cy="4481284"/>
          <a:chOff x="7039430" y="3664859"/>
          <a:chExt cx="10492013" cy="4481284"/>
        </a:xfrm>
      </xdr:grpSpPr>
      <xdr:graphicFrame macro="">
        <xdr:nvGraphicFramePr>
          <xdr:cNvPr id="6" name="Diagramm 5">
            <a:extLst>
              <a:ext uri="{FF2B5EF4-FFF2-40B4-BE49-F238E27FC236}">
                <a16:creationId xmlns:a16="http://schemas.microsoft.com/office/drawing/2014/main" id="{E35C344B-4644-EDE1-CCC6-F6FED066C2D5}"/>
              </a:ext>
            </a:extLst>
          </xdr:cNvPr>
          <xdr:cNvGraphicFramePr>
            <a:graphicFrameLocks/>
          </xdr:cNvGraphicFramePr>
        </xdr:nvGraphicFramePr>
        <xdr:xfrm>
          <a:off x="7039430" y="3664859"/>
          <a:ext cx="10492013" cy="44812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48198C4D-9B43-3E15-9594-D8A96D90AF31}"/>
              </a:ext>
            </a:extLst>
          </xdr:cNvPr>
          <xdr:cNvSpPr txBox="1"/>
        </xdr:nvSpPr>
        <xdr:spPr>
          <a:xfrm rot="16200000">
            <a:off x="6338660" y="5526768"/>
            <a:ext cx="2725963" cy="2993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Power</a:t>
            </a:r>
            <a:r>
              <a:rPr lang="de-DE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Density / </a:t>
            </a:r>
            <a:r>
              <a:rPr lang="de-DE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mW/cm2</a:t>
            </a:r>
          </a:p>
        </xdr:txBody>
      </xdr:sp>
    </xdr:grpSp>
    <xdr:clientData/>
  </xdr:twoCellAnchor>
  <xdr:twoCellAnchor editAs="oneCell">
    <xdr:from>
      <xdr:col>26</xdr:col>
      <xdr:colOff>1115785</xdr:colOff>
      <xdr:row>0</xdr:row>
      <xdr:rowOff>0</xdr:rowOff>
    </xdr:from>
    <xdr:to>
      <xdr:col>29</xdr:col>
      <xdr:colOff>876299</xdr:colOff>
      <xdr:row>7</xdr:row>
      <xdr:rowOff>85271</xdr:rowOff>
    </xdr:to>
    <xdr:pic>
      <xdr:nvPicPr>
        <xdr:cNvPr id="8" name="Grafik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A314DC-F148-C845-B0B3-1D6BD2BC6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909142" y="0"/>
          <a:ext cx="1828800" cy="179070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0.73481</cdr:x>
      <cdr:y>0.9236</cdr:y>
    </cdr:from>
    <cdr:to>
      <cdr:x>0.94609</cdr:x>
      <cdr:y>0.97195</cdr:y>
    </cdr:to>
    <cdr:sp macro="" textlink="">
      <cdr:nvSpPr>
        <cdr:cNvPr id="2" name="Textfeld 6">
          <a:extLst xmlns:a="http://schemas.openxmlformats.org/drawingml/2006/main">
            <a:ext uri="{FF2B5EF4-FFF2-40B4-BE49-F238E27FC236}">
              <a16:creationId xmlns:a16="http://schemas.microsoft.com/office/drawing/2014/main" id="{5C933F62-532E-DDD8-C9EB-F84231AD9D49}"/>
            </a:ext>
          </a:extLst>
        </cdr:cNvPr>
        <cdr:cNvSpPr txBox="1"/>
      </cdr:nvSpPr>
      <cdr:spPr>
        <a:xfrm xmlns:a="http://schemas.openxmlformats.org/drawingml/2006/main">
          <a:off x="6912428" y="4331606"/>
          <a:ext cx="1987552" cy="22678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600" b="1">
              <a:latin typeface="Times New Roman" panose="02020603050405020304" pitchFamily="18" charset="0"/>
              <a:cs typeface="Times New Roman" panose="02020603050405020304" pitchFamily="18" charset="0"/>
            </a:rPr>
            <a:t>Frequency</a:t>
          </a:r>
          <a:r>
            <a:rPr lang="de-DE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/ MHz</a:t>
          </a:r>
          <a:endParaRPr lang="de-DE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290287</xdr:colOff>
      <xdr:row>14</xdr:row>
      <xdr:rowOff>9073</xdr:rowOff>
    </xdr:from>
    <xdr:to>
      <xdr:col>26</xdr:col>
      <xdr:colOff>9072</xdr:colOff>
      <xdr:row>39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4F30E51-7E9D-1544-A987-D98A180F7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548821</xdr:colOff>
      <xdr:row>15</xdr:row>
      <xdr:rowOff>167822</xdr:rowOff>
    </xdr:from>
    <xdr:to>
      <xdr:col>13</xdr:col>
      <xdr:colOff>249465</xdr:colOff>
      <xdr:row>22</xdr:row>
      <xdr:rowOff>243114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38571F7-9BEC-8A40-9D00-BCF6BAACFEF0}"/>
            </a:ext>
          </a:extLst>
        </xdr:cNvPr>
        <xdr:cNvSpPr txBox="1"/>
      </xdr:nvSpPr>
      <xdr:spPr>
        <a:xfrm rot="16200000">
          <a:off x="7105197" y="5016046"/>
          <a:ext cx="2170792" cy="2975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>
              <a:latin typeface="Times New Roman" panose="02020603050405020304" pitchFamily="18" charset="0"/>
              <a:cs typeface="Times New Roman" panose="02020603050405020304" pitchFamily="18" charset="0"/>
            </a:rPr>
            <a:t>Power</a:t>
          </a:r>
          <a:r>
            <a:rPr lang="de-DE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Density / </a:t>
          </a:r>
          <a:r>
            <a:rPr lang="de-DE" sz="1600" b="1">
              <a:latin typeface="Times New Roman" panose="02020603050405020304" pitchFamily="18" charset="0"/>
              <a:cs typeface="Times New Roman" panose="02020603050405020304" pitchFamily="18" charset="0"/>
            </a:rPr>
            <a:t>mW/cm2</a:t>
          </a:r>
        </a:p>
      </xdr:txBody>
    </xdr:sp>
    <xdr:clientData/>
  </xdr:twoCellAnchor>
  <xdr:twoCellAnchor editAs="oneCell">
    <xdr:from>
      <xdr:col>25</xdr:col>
      <xdr:colOff>45356</xdr:colOff>
      <xdr:row>0</xdr:row>
      <xdr:rowOff>0</xdr:rowOff>
    </xdr:from>
    <xdr:to>
      <xdr:col>27</xdr:col>
      <xdr:colOff>658584</xdr:colOff>
      <xdr:row>9</xdr:row>
      <xdr:rowOff>12700</xdr:rowOff>
    </xdr:to>
    <xdr:pic>
      <xdr:nvPicPr>
        <xdr:cNvPr id="7" name="Grafik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D9C2F4-962A-D642-ADD0-B4ECD5AE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745856" y="0"/>
          <a:ext cx="1828800" cy="1790700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0.59587</cdr:x>
      <cdr:y>0.93408</cdr:y>
    </cdr:from>
    <cdr:to>
      <cdr:x>0.80715</cdr:x>
      <cdr:y>0.98243</cdr:y>
    </cdr:to>
    <cdr:sp macro="" textlink="">
      <cdr:nvSpPr>
        <cdr:cNvPr id="2" name="Textfeld 6">
          <a:extLst xmlns:a="http://schemas.openxmlformats.org/drawingml/2006/main">
            <a:ext uri="{FF2B5EF4-FFF2-40B4-BE49-F238E27FC236}">
              <a16:creationId xmlns:a16="http://schemas.microsoft.com/office/drawing/2014/main" id="{5C933F62-532E-DDD8-C9EB-F84231AD9D49}"/>
            </a:ext>
          </a:extLst>
        </cdr:cNvPr>
        <cdr:cNvSpPr txBox="1"/>
      </cdr:nvSpPr>
      <cdr:spPr>
        <a:xfrm xmlns:a="http://schemas.openxmlformats.org/drawingml/2006/main">
          <a:off x="5835657" y="5660251"/>
          <a:ext cx="2069174" cy="29298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600" b="1">
              <a:latin typeface="Times New Roman" panose="02020603050405020304" pitchFamily="18" charset="0"/>
              <a:cs typeface="Times New Roman" panose="02020603050405020304" pitchFamily="18" charset="0"/>
            </a:rPr>
            <a:t>Frequency</a:t>
          </a:r>
          <a:r>
            <a:rPr lang="de-DE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/ MHz</a:t>
          </a:r>
          <a:endParaRPr lang="de-DE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9072</xdr:colOff>
      <xdr:row>32</xdr:row>
      <xdr:rowOff>45358</xdr:rowOff>
    </xdr:from>
    <xdr:to>
      <xdr:col>18</xdr:col>
      <xdr:colOff>299358</xdr:colOff>
      <xdr:row>40</xdr:row>
      <xdr:rowOff>208643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C59B0B3-3F17-77D6-A683-E5F6DA1F1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9143" y="8028215"/>
          <a:ext cx="4735286" cy="1977571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290285</xdr:colOff>
      <xdr:row>32</xdr:row>
      <xdr:rowOff>44154</xdr:rowOff>
    </xdr:from>
    <xdr:to>
      <xdr:col>12</xdr:col>
      <xdr:colOff>0</xdr:colOff>
      <xdr:row>40</xdr:row>
      <xdr:rowOff>212335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2B459C6-4C25-D6DD-A9C7-35E795C0C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071" y="8027011"/>
          <a:ext cx="6894286" cy="198246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22</xdr:col>
      <xdr:colOff>99786</xdr:colOff>
      <xdr:row>0</xdr:row>
      <xdr:rowOff>0</xdr:rowOff>
    </xdr:from>
    <xdr:to>
      <xdr:col>25</xdr:col>
      <xdr:colOff>604157</xdr:colOff>
      <xdr:row>9</xdr:row>
      <xdr:rowOff>39914</xdr:rowOff>
    </xdr:to>
    <xdr:pic>
      <xdr:nvPicPr>
        <xdr:cNvPr id="3" name="Grafik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578997-4372-6B42-9C25-DC57EBC91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002000" y="0"/>
          <a:ext cx="1828800" cy="1790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232806</xdr:colOff>
      <xdr:row>29</xdr:row>
      <xdr:rowOff>181766</xdr:rowOff>
    </xdr:from>
    <xdr:to>
      <xdr:col>9</xdr:col>
      <xdr:colOff>576596</xdr:colOff>
      <xdr:row>64</xdr:row>
      <xdr:rowOff>65681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64A0C75-5BFF-4D49-F3A4-C88BB6011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06" y="6013183"/>
          <a:ext cx="7773290" cy="6921831"/>
        </a:xfrm>
        <a:prstGeom prst="rect">
          <a:avLst/>
        </a:prstGeom>
      </xdr:spPr>
    </xdr:pic>
    <xdr:clientData/>
  </xdr:twoCellAnchor>
  <xdr:twoCellAnchor editAs="oneCell">
    <xdr:from>
      <xdr:col>0</xdr:col>
      <xdr:colOff>265901</xdr:colOff>
      <xdr:row>1</xdr:row>
      <xdr:rowOff>43295</xdr:rowOff>
    </xdr:from>
    <xdr:to>
      <xdr:col>9</xdr:col>
      <xdr:colOff>613687</xdr:colOff>
      <xdr:row>28</xdr:row>
      <xdr:rowOff>92267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DB0C005-ABD7-30F5-A97E-51D3D6C7B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01" y="244378"/>
          <a:ext cx="7777286" cy="547822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31750</xdr:rowOff>
    </xdr:from>
    <xdr:to>
      <xdr:col>1</xdr:col>
      <xdr:colOff>0</xdr:colOff>
      <xdr:row>24</xdr:row>
      <xdr:rowOff>137582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1EE2B4F-1E98-24C3-8597-ADC2F7AE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415339</xdr:colOff>
      <xdr:row>1</xdr:row>
      <xdr:rowOff>46996</xdr:rowOff>
    </xdr:from>
    <xdr:to>
      <xdr:col>18</xdr:col>
      <xdr:colOff>338162</xdr:colOff>
      <xdr:row>28</xdr:row>
      <xdr:rowOff>83143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398E38E-501B-4392-B00D-05D33948A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70339" y="248079"/>
          <a:ext cx="6526823" cy="5465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C8F2-C30C-5A4A-8EC4-D52F58782D34}">
  <dimension ref="B1:L38"/>
  <sheetViews>
    <sheetView tabSelected="1" zoomScale="140" zoomScaleNormal="140" workbookViewId="0">
      <selection activeCell="K30" sqref="K30"/>
    </sheetView>
  </sheetViews>
  <sheetFormatPr baseColWidth="10" defaultRowHeight="16" x14ac:dyDescent="0.2"/>
  <cols>
    <col min="1" max="1" width="3.5" style="117" customWidth="1"/>
    <col min="2" max="2" width="4.1640625" style="117" customWidth="1"/>
    <col min="3" max="3" width="12.5" style="117" customWidth="1"/>
    <col min="4" max="4" width="5.6640625" style="117" customWidth="1"/>
    <col min="5" max="5" width="4.83203125" style="117" customWidth="1"/>
    <col min="6" max="6" width="31.83203125" style="117" customWidth="1"/>
    <col min="7" max="7" width="10.83203125" style="117"/>
    <col min="8" max="8" width="22.1640625" style="117" customWidth="1"/>
    <col min="9" max="9" width="44.33203125" style="117" customWidth="1"/>
    <col min="10" max="10" width="32.5" style="117" customWidth="1"/>
    <col min="11" max="12" width="31.33203125" style="117" customWidth="1"/>
    <col min="13" max="16384" width="10.83203125" style="117"/>
  </cols>
  <sheetData>
    <row r="1" spans="2:12" ht="17" thickBot="1" x14ac:dyDescent="0.25"/>
    <row r="2" spans="2:12" ht="17" thickTop="1" x14ac:dyDescent="0.2"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2:12" x14ac:dyDescent="0.2">
      <c r="B3" s="121"/>
      <c r="C3" s="122"/>
      <c r="D3" s="122"/>
      <c r="E3" s="122"/>
      <c r="F3" s="122"/>
      <c r="G3" s="122"/>
      <c r="H3" s="122"/>
      <c r="I3" s="122"/>
      <c r="J3" s="122"/>
      <c r="K3" s="122"/>
      <c r="L3" s="123"/>
    </row>
    <row r="4" spans="2:12" ht="23" x14ac:dyDescent="0.25">
      <c r="B4" s="121"/>
      <c r="C4" s="124"/>
      <c r="D4" s="122"/>
      <c r="E4" s="122"/>
      <c r="F4" s="122"/>
      <c r="G4" s="122"/>
      <c r="H4" s="122"/>
      <c r="I4" s="122"/>
      <c r="J4" s="122"/>
      <c r="K4" s="122"/>
      <c r="L4" s="123"/>
    </row>
    <row r="5" spans="2:12" x14ac:dyDescent="0.2"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3"/>
    </row>
    <row r="6" spans="2:12" x14ac:dyDescent="0.2">
      <c r="B6" s="121"/>
      <c r="C6" s="125" t="s">
        <v>0</v>
      </c>
      <c r="D6" s="122"/>
      <c r="E6" s="122"/>
      <c r="F6" s="122"/>
      <c r="G6" s="122"/>
      <c r="H6" s="122"/>
      <c r="I6" s="122"/>
      <c r="J6" s="122"/>
      <c r="K6" s="122"/>
      <c r="L6" s="123"/>
    </row>
    <row r="7" spans="2:12" x14ac:dyDescent="0.2">
      <c r="B7" s="121"/>
      <c r="C7" s="125" t="s">
        <v>1</v>
      </c>
      <c r="D7" s="122"/>
      <c r="E7" s="122"/>
      <c r="F7" s="122"/>
      <c r="G7" s="122"/>
      <c r="H7" s="122"/>
      <c r="I7" s="122"/>
      <c r="J7" s="122"/>
      <c r="K7" s="122"/>
      <c r="L7" s="123"/>
    </row>
    <row r="8" spans="2:12" x14ac:dyDescent="0.2">
      <c r="B8" s="121"/>
      <c r="C8" s="122"/>
      <c r="D8" s="122"/>
      <c r="E8" s="122"/>
      <c r="F8" s="122"/>
      <c r="G8" s="122"/>
      <c r="H8" s="122"/>
      <c r="I8" s="122"/>
      <c r="J8" s="122"/>
      <c r="K8" s="122"/>
      <c r="L8" s="123"/>
    </row>
    <row r="9" spans="2:12" x14ac:dyDescent="0.2">
      <c r="B9" s="121"/>
      <c r="C9" s="122"/>
      <c r="D9" s="122"/>
      <c r="E9" s="122"/>
      <c r="F9" s="122"/>
      <c r="G9" s="122"/>
      <c r="H9" s="122"/>
      <c r="I9" s="122"/>
      <c r="J9" s="122"/>
      <c r="K9" s="122"/>
      <c r="L9" s="123"/>
    </row>
    <row r="10" spans="2:12" x14ac:dyDescent="0.2">
      <c r="B10" s="121"/>
      <c r="C10" s="122"/>
      <c r="D10" s="122"/>
      <c r="E10" s="122"/>
      <c r="F10" s="122"/>
      <c r="G10" s="122"/>
      <c r="H10" s="122"/>
      <c r="I10" s="122"/>
      <c r="J10" s="122"/>
      <c r="K10" s="122"/>
      <c r="L10" s="123"/>
    </row>
    <row r="11" spans="2:12" x14ac:dyDescent="0.2">
      <c r="B11" s="121"/>
      <c r="C11" s="122"/>
      <c r="D11" s="122"/>
      <c r="E11" s="122"/>
      <c r="F11" s="122"/>
      <c r="G11" s="122"/>
      <c r="H11" s="122"/>
      <c r="I11" s="122"/>
      <c r="J11" s="122"/>
      <c r="K11" s="122"/>
      <c r="L11" s="123"/>
    </row>
    <row r="12" spans="2:12" x14ac:dyDescent="0.2">
      <c r="B12" s="121"/>
      <c r="C12" s="122"/>
      <c r="D12" s="122"/>
      <c r="E12" s="122"/>
      <c r="F12" s="122"/>
      <c r="G12" s="122"/>
      <c r="H12" s="122"/>
      <c r="I12" s="122"/>
      <c r="J12" s="122"/>
      <c r="K12" s="122"/>
      <c r="L12" s="123"/>
    </row>
    <row r="13" spans="2:12" x14ac:dyDescent="0.2">
      <c r="B13" s="121"/>
      <c r="C13" s="122"/>
      <c r="D13" s="122"/>
      <c r="E13" s="122"/>
      <c r="F13" s="122"/>
      <c r="G13" s="122"/>
      <c r="H13" s="122"/>
      <c r="I13" s="122"/>
      <c r="J13" s="122"/>
      <c r="K13" s="122"/>
      <c r="L13" s="123"/>
    </row>
    <row r="14" spans="2:12" x14ac:dyDescent="0.2">
      <c r="B14" s="121"/>
      <c r="C14" s="122"/>
      <c r="D14" s="122"/>
      <c r="E14" s="122"/>
      <c r="F14" s="122"/>
      <c r="G14" s="122"/>
      <c r="H14" s="122"/>
      <c r="I14" s="122"/>
      <c r="J14" s="122"/>
      <c r="K14" s="122"/>
      <c r="L14" s="123"/>
    </row>
    <row r="15" spans="2:12" x14ac:dyDescent="0.2">
      <c r="B15" s="121"/>
      <c r="C15" s="122"/>
      <c r="D15" s="122"/>
      <c r="E15" s="122"/>
      <c r="F15" s="122"/>
      <c r="G15" s="122"/>
      <c r="H15" s="122"/>
      <c r="I15" s="122"/>
      <c r="J15" s="122"/>
      <c r="K15" s="122"/>
      <c r="L15" s="123"/>
    </row>
    <row r="16" spans="2:12" x14ac:dyDescent="0.2">
      <c r="B16" s="121"/>
      <c r="C16" s="122"/>
      <c r="D16" s="122"/>
      <c r="E16" s="122"/>
      <c r="F16" s="122"/>
      <c r="G16" s="122"/>
      <c r="H16" s="122"/>
      <c r="I16" s="122"/>
      <c r="J16" s="122"/>
      <c r="K16" s="122"/>
      <c r="L16" s="123"/>
    </row>
    <row r="17" spans="2:12" x14ac:dyDescent="0.2">
      <c r="B17" s="121"/>
      <c r="C17" s="122"/>
      <c r="D17" s="122"/>
      <c r="E17" s="122"/>
      <c r="F17" s="122"/>
      <c r="G17" s="122"/>
      <c r="H17" s="122"/>
      <c r="I17" s="122"/>
      <c r="J17" s="122"/>
      <c r="K17" s="122"/>
      <c r="L17" s="123"/>
    </row>
    <row r="18" spans="2:12" x14ac:dyDescent="0.2">
      <c r="B18" s="121"/>
      <c r="C18" s="122"/>
      <c r="D18" s="122"/>
      <c r="E18" s="122"/>
      <c r="F18" s="122"/>
      <c r="G18" s="122"/>
      <c r="H18" s="122"/>
      <c r="I18" s="122"/>
      <c r="J18" s="122"/>
      <c r="K18" s="122"/>
      <c r="L18" s="123"/>
    </row>
    <row r="19" spans="2:12" x14ac:dyDescent="0.2">
      <c r="B19" s="121"/>
      <c r="C19" s="122"/>
      <c r="D19" s="122"/>
      <c r="E19" s="122"/>
      <c r="F19" s="122"/>
      <c r="G19" s="122"/>
      <c r="H19" s="122"/>
      <c r="I19" s="122"/>
      <c r="J19" s="122"/>
      <c r="K19" s="122"/>
      <c r="L19" s="123"/>
    </row>
    <row r="20" spans="2:12" x14ac:dyDescent="0.2">
      <c r="B20" s="121"/>
      <c r="C20" s="122"/>
      <c r="D20" s="122"/>
      <c r="E20" s="122"/>
      <c r="F20" s="122"/>
      <c r="G20" s="122"/>
      <c r="H20" s="122"/>
      <c r="I20" s="122"/>
      <c r="J20" s="122"/>
      <c r="K20" s="122"/>
      <c r="L20" s="123"/>
    </row>
    <row r="21" spans="2:12" x14ac:dyDescent="0.2"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3"/>
    </row>
    <row r="22" spans="2:12" ht="18" x14ac:dyDescent="0.2">
      <c r="B22" s="121"/>
      <c r="C22" s="126" t="s">
        <v>2</v>
      </c>
      <c r="D22" s="122"/>
      <c r="E22" s="122"/>
      <c r="F22" s="122"/>
      <c r="G22" s="122"/>
      <c r="H22" s="122"/>
      <c r="I22" s="122"/>
      <c r="J22" s="122"/>
      <c r="K22" s="122"/>
      <c r="L22" s="123"/>
    </row>
    <row r="23" spans="2:12" x14ac:dyDescent="0.2">
      <c r="B23" s="121"/>
      <c r="C23" s="122"/>
      <c r="D23" s="122"/>
      <c r="E23" s="122"/>
      <c r="F23" s="122"/>
      <c r="G23" s="122"/>
      <c r="H23" s="122"/>
      <c r="I23" s="122"/>
      <c r="J23" s="122"/>
      <c r="K23" s="122"/>
      <c r="L23" s="123"/>
    </row>
    <row r="24" spans="2:12" x14ac:dyDescent="0.2">
      <c r="B24" s="121"/>
      <c r="C24" s="122"/>
      <c r="D24" s="122"/>
      <c r="E24" s="122"/>
      <c r="F24" s="122"/>
      <c r="G24" s="122"/>
      <c r="H24" s="122"/>
      <c r="I24" s="122"/>
      <c r="J24" s="122"/>
      <c r="K24" s="122"/>
      <c r="L24" s="123"/>
    </row>
    <row r="25" spans="2:12" x14ac:dyDescent="0.2">
      <c r="B25" s="121"/>
      <c r="C25" s="122"/>
      <c r="D25" s="122"/>
      <c r="E25" s="122"/>
      <c r="F25" s="122"/>
      <c r="G25" s="122"/>
      <c r="H25" s="122"/>
      <c r="I25" s="122"/>
      <c r="J25" s="122"/>
      <c r="K25" s="122"/>
      <c r="L25" s="123"/>
    </row>
    <row r="26" spans="2:12" x14ac:dyDescent="0.2">
      <c r="B26" s="121"/>
      <c r="C26" s="122"/>
      <c r="D26" s="122"/>
      <c r="E26" s="122"/>
      <c r="F26" s="122"/>
      <c r="G26" s="122"/>
      <c r="H26" s="122"/>
      <c r="I26" s="122"/>
      <c r="J26" s="122"/>
      <c r="K26" s="122"/>
      <c r="L26" s="123"/>
    </row>
    <row r="27" spans="2:12" ht="33" x14ac:dyDescent="0.35">
      <c r="B27" s="121"/>
      <c r="C27" s="124" t="s">
        <v>3</v>
      </c>
      <c r="D27" s="122"/>
      <c r="E27" s="127" t="s">
        <v>30</v>
      </c>
      <c r="F27" s="128"/>
      <c r="G27" s="122"/>
      <c r="H27" s="122"/>
      <c r="I27" s="122"/>
      <c r="J27" s="122"/>
      <c r="K27" s="122"/>
      <c r="L27" s="123"/>
    </row>
    <row r="28" spans="2:12" ht="25" x14ac:dyDescent="0.25">
      <c r="B28" s="121"/>
      <c r="C28" s="122"/>
      <c r="D28" s="122"/>
      <c r="E28" s="128"/>
      <c r="F28" s="128"/>
      <c r="G28" s="122"/>
      <c r="H28" s="122"/>
      <c r="I28" s="122"/>
      <c r="J28" s="122"/>
      <c r="K28" s="122"/>
      <c r="L28" s="123"/>
    </row>
    <row r="29" spans="2:12" ht="19" customHeight="1" x14ac:dyDescent="0.2">
      <c r="B29" s="121"/>
      <c r="C29" s="122"/>
      <c r="D29" s="122"/>
      <c r="E29" s="122"/>
      <c r="F29" s="129" t="s">
        <v>31</v>
      </c>
      <c r="G29" s="122"/>
      <c r="H29" s="122"/>
      <c r="I29" s="122"/>
      <c r="J29" s="122"/>
      <c r="K29" s="122"/>
      <c r="L29" s="123"/>
    </row>
    <row r="30" spans="2:12" ht="19" customHeight="1" x14ac:dyDescent="0.2">
      <c r="B30" s="121"/>
      <c r="C30" s="122"/>
      <c r="D30" s="122"/>
      <c r="E30" s="122"/>
      <c r="F30" s="129" t="s">
        <v>32</v>
      </c>
      <c r="G30" s="122"/>
      <c r="H30" s="122"/>
      <c r="I30" s="122"/>
      <c r="J30" s="122"/>
      <c r="K30" s="122"/>
      <c r="L30" s="123"/>
    </row>
    <row r="31" spans="2:12" ht="19" customHeight="1" x14ac:dyDescent="0.2">
      <c r="B31" s="121"/>
      <c r="C31" s="122"/>
      <c r="D31" s="122"/>
      <c r="E31" s="122"/>
      <c r="F31" s="129" t="s">
        <v>34</v>
      </c>
      <c r="G31" s="122"/>
      <c r="H31" s="122"/>
      <c r="I31" s="122"/>
      <c r="J31" s="122"/>
      <c r="K31" s="122"/>
      <c r="L31" s="123"/>
    </row>
    <row r="32" spans="2:12" ht="19" customHeight="1" x14ac:dyDescent="0.2">
      <c r="B32" s="121"/>
      <c r="C32" s="122"/>
      <c r="D32" s="122"/>
      <c r="E32" s="122"/>
      <c r="F32" s="129"/>
      <c r="G32" s="122"/>
      <c r="H32" s="122"/>
      <c r="I32" s="122"/>
      <c r="J32" s="122"/>
      <c r="K32" s="122"/>
      <c r="L32" s="123"/>
    </row>
    <row r="33" spans="2:12" ht="18" customHeight="1" x14ac:dyDescent="0.2">
      <c r="B33" s="121"/>
      <c r="C33" s="122" t="s">
        <v>33</v>
      </c>
      <c r="D33" s="122"/>
      <c r="E33" s="122"/>
      <c r="F33" s="129"/>
      <c r="G33" s="122"/>
      <c r="H33" s="122"/>
      <c r="I33" s="122"/>
      <c r="J33" s="122"/>
      <c r="K33" s="122"/>
      <c r="L33" s="123"/>
    </row>
    <row r="34" spans="2:12" x14ac:dyDescent="0.2">
      <c r="B34" s="121"/>
      <c r="C34" s="122"/>
      <c r="D34" s="122"/>
      <c r="E34" s="122"/>
      <c r="F34" s="122"/>
      <c r="G34" s="122"/>
      <c r="H34" s="122"/>
      <c r="I34" s="122"/>
      <c r="J34" s="122"/>
      <c r="K34" s="122"/>
      <c r="L34" s="123"/>
    </row>
    <row r="35" spans="2:12" x14ac:dyDescent="0.2">
      <c r="B35" s="121"/>
      <c r="C35" s="130"/>
      <c r="D35" s="122"/>
      <c r="E35" s="122"/>
      <c r="F35" s="122"/>
      <c r="G35" s="122"/>
      <c r="H35" s="122"/>
      <c r="I35" s="122"/>
      <c r="J35" s="122"/>
      <c r="K35" s="122"/>
      <c r="L35" s="123"/>
    </row>
    <row r="36" spans="2:12" x14ac:dyDescent="0.2">
      <c r="B36" s="121"/>
      <c r="C36" s="131" t="s">
        <v>4</v>
      </c>
      <c r="D36" s="122"/>
      <c r="E36" s="122"/>
      <c r="F36" s="122"/>
      <c r="G36" s="122"/>
      <c r="H36" s="122"/>
      <c r="I36" s="122"/>
      <c r="J36" s="122"/>
      <c r="K36" s="122"/>
      <c r="L36" s="123"/>
    </row>
    <row r="37" spans="2:12" ht="17" thickBot="1" x14ac:dyDescent="0.25">
      <c r="B37" s="132"/>
      <c r="C37" s="133"/>
      <c r="D37" s="133"/>
      <c r="E37" s="133"/>
      <c r="F37" s="133"/>
      <c r="G37" s="133"/>
      <c r="H37" s="133"/>
      <c r="I37" s="133"/>
      <c r="J37" s="133"/>
      <c r="K37" s="133"/>
      <c r="L37" s="134"/>
    </row>
    <row r="38" spans="2:12" ht="17" thickTop="1" x14ac:dyDescent="0.2"/>
  </sheetData>
  <sheetProtection sheet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2EF3-5B2B-F041-B7F9-7545447C911E}">
  <dimension ref="B1:AC137"/>
  <sheetViews>
    <sheetView zoomScale="140" zoomScaleNormal="140" workbookViewId="0">
      <selection activeCell="W9" sqref="W9"/>
    </sheetView>
  </sheetViews>
  <sheetFormatPr baseColWidth="10" defaultColWidth="11.5" defaultRowHeight="18" x14ac:dyDescent="0.2"/>
  <cols>
    <col min="1" max="1" width="3" style="23" customWidth="1"/>
    <col min="2" max="2" width="3.83203125" style="23" customWidth="1"/>
    <col min="3" max="3" width="2.83203125" style="23" customWidth="1"/>
    <col min="4" max="4" width="11.6640625" style="23" customWidth="1"/>
    <col min="5" max="5" width="6" style="82" customWidth="1"/>
    <col min="6" max="6" width="10.6640625" style="23" customWidth="1"/>
    <col min="7" max="7" width="8.5" style="23" customWidth="1"/>
    <col min="8" max="8" width="6" style="23" customWidth="1"/>
    <col min="9" max="9" width="8.1640625" style="24" customWidth="1"/>
    <col min="10" max="10" width="4.33203125" style="82" customWidth="1"/>
    <col min="11" max="11" width="13.5" style="24" customWidth="1"/>
    <col min="12" max="12" width="9.6640625" style="88" customWidth="1"/>
    <col min="13" max="13" width="8.83203125" style="24" customWidth="1"/>
    <col min="14" max="14" width="5.5" style="82" customWidth="1"/>
    <col min="15" max="15" width="23.83203125" style="23" customWidth="1"/>
    <col min="16" max="16" width="4" style="88" customWidth="1"/>
    <col min="17" max="17" width="5.6640625" style="23" customWidth="1"/>
    <col min="18" max="18" width="6" style="23" customWidth="1"/>
    <col min="19" max="19" width="13.33203125" style="23" customWidth="1"/>
    <col min="20" max="20" width="9.33203125" style="23" customWidth="1"/>
    <col min="21" max="21" width="7.5" style="24" customWidth="1"/>
    <col min="22" max="22" width="6.1640625" style="82" customWidth="1"/>
    <col min="23" max="23" width="6.5" style="24" customWidth="1"/>
    <col min="24" max="24" width="4.5" style="88" customWidth="1"/>
    <col min="25" max="25" width="11.5" style="23" customWidth="1"/>
    <col min="26" max="26" width="6.5" style="23" customWidth="1"/>
    <col min="27" max="27" width="17.33203125" style="24" customWidth="1"/>
    <col min="28" max="28" width="5.5" style="23" customWidth="1"/>
    <col min="29" max="29" width="4.33203125" style="23" customWidth="1"/>
    <col min="30" max="265" width="11.5" style="23"/>
    <col min="266" max="266" width="7.33203125" style="23" customWidth="1"/>
    <col min="267" max="267" width="7.5" style="23" customWidth="1"/>
    <col min="268" max="268" width="7.6640625" style="23" customWidth="1"/>
    <col min="269" max="269" width="4.5" style="23" customWidth="1"/>
    <col min="270" max="270" width="4.83203125" style="23" customWidth="1"/>
    <col min="271" max="271" width="7" style="23" customWidth="1"/>
    <col min="272" max="272" width="7.5" style="23" customWidth="1"/>
    <col min="273" max="273" width="4.6640625" style="23" customWidth="1"/>
    <col min="274" max="274" width="5.1640625" style="23" customWidth="1"/>
    <col min="275" max="275" width="9.6640625" style="23" customWidth="1"/>
    <col min="276" max="276" width="7.33203125" style="23" customWidth="1"/>
    <col min="277" max="277" width="4.5" style="23" customWidth="1"/>
    <col min="278" max="521" width="11.5" style="23"/>
    <col min="522" max="522" width="7.33203125" style="23" customWidth="1"/>
    <col min="523" max="523" width="7.5" style="23" customWidth="1"/>
    <col min="524" max="524" width="7.6640625" style="23" customWidth="1"/>
    <col min="525" max="525" width="4.5" style="23" customWidth="1"/>
    <col min="526" max="526" width="4.83203125" style="23" customWidth="1"/>
    <col min="527" max="527" width="7" style="23" customWidth="1"/>
    <col min="528" max="528" width="7.5" style="23" customWidth="1"/>
    <col min="529" max="529" width="4.6640625" style="23" customWidth="1"/>
    <col min="530" max="530" width="5.1640625" style="23" customWidth="1"/>
    <col min="531" max="531" width="9.6640625" style="23" customWidth="1"/>
    <col min="532" max="532" width="7.33203125" style="23" customWidth="1"/>
    <col min="533" max="533" width="4.5" style="23" customWidth="1"/>
    <col min="534" max="777" width="11.5" style="23"/>
    <col min="778" max="778" width="7.33203125" style="23" customWidth="1"/>
    <col min="779" max="779" width="7.5" style="23" customWidth="1"/>
    <col min="780" max="780" width="7.6640625" style="23" customWidth="1"/>
    <col min="781" max="781" width="4.5" style="23" customWidth="1"/>
    <col min="782" max="782" width="4.83203125" style="23" customWidth="1"/>
    <col min="783" max="783" width="7" style="23" customWidth="1"/>
    <col min="784" max="784" width="7.5" style="23" customWidth="1"/>
    <col min="785" max="785" width="4.6640625" style="23" customWidth="1"/>
    <col min="786" max="786" width="5.1640625" style="23" customWidth="1"/>
    <col min="787" max="787" width="9.6640625" style="23" customWidth="1"/>
    <col min="788" max="788" width="7.33203125" style="23" customWidth="1"/>
    <col min="789" max="789" width="4.5" style="23" customWidth="1"/>
    <col min="790" max="1033" width="11.5" style="23"/>
    <col min="1034" max="1034" width="7.33203125" style="23" customWidth="1"/>
    <col min="1035" max="1035" width="7.5" style="23" customWidth="1"/>
    <col min="1036" max="1036" width="7.6640625" style="23" customWidth="1"/>
    <col min="1037" max="1037" width="4.5" style="23" customWidth="1"/>
    <col min="1038" max="1038" width="4.83203125" style="23" customWidth="1"/>
    <col min="1039" max="1039" width="7" style="23" customWidth="1"/>
    <col min="1040" max="1040" width="7.5" style="23" customWidth="1"/>
    <col min="1041" max="1041" width="4.6640625" style="23" customWidth="1"/>
    <col min="1042" max="1042" width="5.1640625" style="23" customWidth="1"/>
    <col min="1043" max="1043" width="9.6640625" style="23" customWidth="1"/>
    <col min="1044" max="1044" width="7.33203125" style="23" customWidth="1"/>
    <col min="1045" max="1045" width="4.5" style="23" customWidth="1"/>
    <col min="1046" max="1289" width="11.5" style="23"/>
    <col min="1290" max="1290" width="7.33203125" style="23" customWidth="1"/>
    <col min="1291" max="1291" width="7.5" style="23" customWidth="1"/>
    <col min="1292" max="1292" width="7.6640625" style="23" customWidth="1"/>
    <col min="1293" max="1293" width="4.5" style="23" customWidth="1"/>
    <col min="1294" max="1294" width="4.83203125" style="23" customWidth="1"/>
    <col min="1295" max="1295" width="7" style="23" customWidth="1"/>
    <col min="1296" max="1296" width="7.5" style="23" customWidth="1"/>
    <col min="1297" max="1297" width="4.6640625" style="23" customWidth="1"/>
    <col min="1298" max="1298" width="5.1640625" style="23" customWidth="1"/>
    <col min="1299" max="1299" width="9.6640625" style="23" customWidth="1"/>
    <col min="1300" max="1300" width="7.33203125" style="23" customWidth="1"/>
    <col min="1301" max="1301" width="4.5" style="23" customWidth="1"/>
    <col min="1302" max="1545" width="11.5" style="23"/>
    <col min="1546" max="1546" width="7.33203125" style="23" customWidth="1"/>
    <col min="1547" max="1547" width="7.5" style="23" customWidth="1"/>
    <col min="1548" max="1548" width="7.6640625" style="23" customWidth="1"/>
    <col min="1549" max="1549" width="4.5" style="23" customWidth="1"/>
    <col min="1550" max="1550" width="4.83203125" style="23" customWidth="1"/>
    <col min="1551" max="1551" width="7" style="23" customWidth="1"/>
    <col min="1552" max="1552" width="7.5" style="23" customWidth="1"/>
    <col min="1553" max="1553" width="4.6640625" style="23" customWidth="1"/>
    <col min="1554" max="1554" width="5.1640625" style="23" customWidth="1"/>
    <col min="1555" max="1555" width="9.6640625" style="23" customWidth="1"/>
    <col min="1556" max="1556" width="7.33203125" style="23" customWidth="1"/>
    <col min="1557" max="1557" width="4.5" style="23" customWidth="1"/>
    <col min="1558" max="1801" width="11.5" style="23"/>
    <col min="1802" max="1802" width="7.33203125" style="23" customWidth="1"/>
    <col min="1803" max="1803" width="7.5" style="23" customWidth="1"/>
    <col min="1804" max="1804" width="7.6640625" style="23" customWidth="1"/>
    <col min="1805" max="1805" width="4.5" style="23" customWidth="1"/>
    <col min="1806" max="1806" width="4.83203125" style="23" customWidth="1"/>
    <col min="1807" max="1807" width="7" style="23" customWidth="1"/>
    <col min="1808" max="1808" width="7.5" style="23" customWidth="1"/>
    <col min="1809" max="1809" width="4.6640625" style="23" customWidth="1"/>
    <col min="1810" max="1810" width="5.1640625" style="23" customWidth="1"/>
    <col min="1811" max="1811" width="9.6640625" style="23" customWidth="1"/>
    <col min="1812" max="1812" width="7.33203125" style="23" customWidth="1"/>
    <col min="1813" max="1813" width="4.5" style="23" customWidth="1"/>
    <col min="1814" max="2057" width="11.5" style="23"/>
    <col min="2058" max="2058" width="7.33203125" style="23" customWidth="1"/>
    <col min="2059" max="2059" width="7.5" style="23" customWidth="1"/>
    <col min="2060" max="2060" width="7.6640625" style="23" customWidth="1"/>
    <col min="2061" max="2061" width="4.5" style="23" customWidth="1"/>
    <col min="2062" max="2062" width="4.83203125" style="23" customWidth="1"/>
    <col min="2063" max="2063" width="7" style="23" customWidth="1"/>
    <col min="2064" max="2064" width="7.5" style="23" customWidth="1"/>
    <col min="2065" max="2065" width="4.6640625" style="23" customWidth="1"/>
    <col min="2066" max="2066" width="5.1640625" style="23" customWidth="1"/>
    <col min="2067" max="2067" width="9.6640625" style="23" customWidth="1"/>
    <col min="2068" max="2068" width="7.33203125" style="23" customWidth="1"/>
    <col min="2069" max="2069" width="4.5" style="23" customWidth="1"/>
    <col min="2070" max="2313" width="11.5" style="23"/>
    <col min="2314" max="2314" width="7.33203125" style="23" customWidth="1"/>
    <col min="2315" max="2315" width="7.5" style="23" customWidth="1"/>
    <col min="2316" max="2316" width="7.6640625" style="23" customWidth="1"/>
    <col min="2317" max="2317" width="4.5" style="23" customWidth="1"/>
    <col min="2318" max="2318" width="4.83203125" style="23" customWidth="1"/>
    <col min="2319" max="2319" width="7" style="23" customWidth="1"/>
    <col min="2320" max="2320" width="7.5" style="23" customWidth="1"/>
    <col min="2321" max="2321" width="4.6640625" style="23" customWidth="1"/>
    <col min="2322" max="2322" width="5.1640625" style="23" customWidth="1"/>
    <col min="2323" max="2323" width="9.6640625" style="23" customWidth="1"/>
    <col min="2324" max="2324" width="7.33203125" style="23" customWidth="1"/>
    <col min="2325" max="2325" width="4.5" style="23" customWidth="1"/>
    <col min="2326" max="2569" width="11.5" style="23"/>
    <col min="2570" max="2570" width="7.33203125" style="23" customWidth="1"/>
    <col min="2571" max="2571" width="7.5" style="23" customWidth="1"/>
    <col min="2572" max="2572" width="7.6640625" style="23" customWidth="1"/>
    <col min="2573" max="2573" width="4.5" style="23" customWidth="1"/>
    <col min="2574" max="2574" width="4.83203125" style="23" customWidth="1"/>
    <col min="2575" max="2575" width="7" style="23" customWidth="1"/>
    <col min="2576" max="2576" width="7.5" style="23" customWidth="1"/>
    <col min="2577" max="2577" width="4.6640625" style="23" customWidth="1"/>
    <col min="2578" max="2578" width="5.1640625" style="23" customWidth="1"/>
    <col min="2579" max="2579" width="9.6640625" style="23" customWidth="1"/>
    <col min="2580" max="2580" width="7.33203125" style="23" customWidth="1"/>
    <col min="2581" max="2581" width="4.5" style="23" customWidth="1"/>
    <col min="2582" max="2825" width="11.5" style="23"/>
    <col min="2826" max="2826" width="7.33203125" style="23" customWidth="1"/>
    <col min="2827" max="2827" width="7.5" style="23" customWidth="1"/>
    <col min="2828" max="2828" width="7.6640625" style="23" customWidth="1"/>
    <col min="2829" max="2829" width="4.5" style="23" customWidth="1"/>
    <col min="2830" max="2830" width="4.83203125" style="23" customWidth="1"/>
    <col min="2831" max="2831" width="7" style="23" customWidth="1"/>
    <col min="2832" max="2832" width="7.5" style="23" customWidth="1"/>
    <col min="2833" max="2833" width="4.6640625" style="23" customWidth="1"/>
    <col min="2834" max="2834" width="5.1640625" style="23" customWidth="1"/>
    <col min="2835" max="2835" width="9.6640625" style="23" customWidth="1"/>
    <col min="2836" max="2836" width="7.33203125" style="23" customWidth="1"/>
    <col min="2837" max="2837" width="4.5" style="23" customWidth="1"/>
    <col min="2838" max="3081" width="11.5" style="23"/>
    <col min="3082" max="3082" width="7.33203125" style="23" customWidth="1"/>
    <col min="3083" max="3083" width="7.5" style="23" customWidth="1"/>
    <col min="3084" max="3084" width="7.6640625" style="23" customWidth="1"/>
    <col min="3085" max="3085" width="4.5" style="23" customWidth="1"/>
    <col min="3086" max="3086" width="4.83203125" style="23" customWidth="1"/>
    <col min="3087" max="3087" width="7" style="23" customWidth="1"/>
    <col min="3088" max="3088" width="7.5" style="23" customWidth="1"/>
    <col min="3089" max="3089" width="4.6640625" style="23" customWidth="1"/>
    <col min="3090" max="3090" width="5.1640625" style="23" customWidth="1"/>
    <col min="3091" max="3091" width="9.6640625" style="23" customWidth="1"/>
    <col min="3092" max="3092" width="7.33203125" style="23" customWidth="1"/>
    <col min="3093" max="3093" width="4.5" style="23" customWidth="1"/>
    <col min="3094" max="3337" width="11.5" style="23"/>
    <col min="3338" max="3338" width="7.33203125" style="23" customWidth="1"/>
    <col min="3339" max="3339" width="7.5" style="23" customWidth="1"/>
    <col min="3340" max="3340" width="7.6640625" style="23" customWidth="1"/>
    <col min="3341" max="3341" width="4.5" style="23" customWidth="1"/>
    <col min="3342" max="3342" width="4.83203125" style="23" customWidth="1"/>
    <col min="3343" max="3343" width="7" style="23" customWidth="1"/>
    <col min="3344" max="3344" width="7.5" style="23" customWidth="1"/>
    <col min="3345" max="3345" width="4.6640625" style="23" customWidth="1"/>
    <col min="3346" max="3346" width="5.1640625" style="23" customWidth="1"/>
    <col min="3347" max="3347" width="9.6640625" style="23" customWidth="1"/>
    <col min="3348" max="3348" width="7.33203125" style="23" customWidth="1"/>
    <col min="3349" max="3349" width="4.5" style="23" customWidth="1"/>
    <col min="3350" max="3593" width="11.5" style="23"/>
    <col min="3594" max="3594" width="7.33203125" style="23" customWidth="1"/>
    <col min="3595" max="3595" width="7.5" style="23" customWidth="1"/>
    <col min="3596" max="3596" width="7.6640625" style="23" customWidth="1"/>
    <col min="3597" max="3597" width="4.5" style="23" customWidth="1"/>
    <col min="3598" max="3598" width="4.83203125" style="23" customWidth="1"/>
    <col min="3599" max="3599" width="7" style="23" customWidth="1"/>
    <col min="3600" max="3600" width="7.5" style="23" customWidth="1"/>
    <col min="3601" max="3601" width="4.6640625" style="23" customWidth="1"/>
    <col min="3602" max="3602" width="5.1640625" style="23" customWidth="1"/>
    <col min="3603" max="3603" width="9.6640625" style="23" customWidth="1"/>
    <col min="3604" max="3604" width="7.33203125" style="23" customWidth="1"/>
    <col min="3605" max="3605" width="4.5" style="23" customWidth="1"/>
    <col min="3606" max="3849" width="11.5" style="23"/>
    <col min="3850" max="3850" width="7.33203125" style="23" customWidth="1"/>
    <col min="3851" max="3851" width="7.5" style="23" customWidth="1"/>
    <col min="3852" max="3852" width="7.6640625" style="23" customWidth="1"/>
    <col min="3853" max="3853" width="4.5" style="23" customWidth="1"/>
    <col min="3854" max="3854" width="4.83203125" style="23" customWidth="1"/>
    <col min="3855" max="3855" width="7" style="23" customWidth="1"/>
    <col min="3856" max="3856" width="7.5" style="23" customWidth="1"/>
    <col min="3857" max="3857" width="4.6640625" style="23" customWidth="1"/>
    <col min="3858" max="3858" width="5.1640625" style="23" customWidth="1"/>
    <col min="3859" max="3859" width="9.6640625" style="23" customWidth="1"/>
    <col min="3860" max="3860" width="7.33203125" style="23" customWidth="1"/>
    <col min="3861" max="3861" width="4.5" style="23" customWidth="1"/>
    <col min="3862" max="4105" width="11.5" style="23"/>
    <col min="4106" max="4106" width="7.33203125" style="23" customWidth="1"/>
    <col min="4107" max="4107" width="7.5" style="23" customWidth="1"/>
    <col min="4108" max="4108" width="7.6640625" style="23" customWidth="1"/>
    <col min="4109" max="4109" width="4.5" style="23" customWidth="1"/>
    <col min="4110" max="4110" width="4.83203125" style="23" customWidth="1"/>
    <col min="4111" max="4111" width="7" style="23" customWidth="1"/>
    <col min="4112" max="4112" width="7.5" style="23" customWidth="1"/>
    <col min="4113" max="4113" width="4.6640625" style="23" customWidth="1"/>
    <col min="4114" max="4114" width="5.1640625" style="23" customWidth="1"/>
    <col min="4115" max="4115" width="9.6640625" style="23" customWidth="1"/>
    <col min="4116" max="4116" width="7.33203125" style="23" customWidth="1"/>
    <col min="4117" max="4117" width="4.5" style="23" customWidth="1"/>
    <col min="4118" max="4361" width="11.5" style="23"/>
    <col min="4362" max="4362" width="7.33203125" style="23" customWidth="1"/>
    <col min="4363" max="4363" width="7.5" style="23" customWidth="1"/>
    <col min="4364" max="4364" width="7.6640625" style="23" customWidth="1"/>
    <col min="4365" max="4365" width="4.5" style="23" customWidth="1"/>
    <col min="4366" max="4366" width="4.83203125" style="23" customWidth="1"/>
    <col min="4367" max="4367" width="7" style="23" customWidth="1"/>
    <col min="4368" max="4368" width="7.5" style="23" customWidth="1"/>
    <col min="4369" max="4369" width="4.6640625" style="23" customWidth="1"/>
    <col min="4370" max="4370" width="5.1640625" style="23" customWidth="1"/>
    <col min="4371" max="4371" width="9.6640625" style="23" customWidth="1"/>
    <col min="4372" max="4372" width="7.33203125" style="23" customWidth="1"/>
    <col min="4373" max="4373" width="4.5" style="23" customWidth="1"/>
    <col min="4374" max="4617" width="11.5" style="23"/>
    <col min="4618" max="4618" width="7.33203125" style="23" customWidth="1"/>
    <col min="4619" max="4619" width="7.5" style="23" customWidth="1"/>
    <col min="4620" max="4620" width="7.6640625" style="23" customWidth="1"/>
    <col min="4621" max="4621" width="4.5" style="23" customWidth="1"/>
    <col min="4622" max="4622" width="4.83203125" style="23" customWidth="1"/>
    <col min="4623" max="4623" width="7" style="23" customWidth="1"/>
    <col min="4624" max="4624" width="7.5" style="23" customWidth="1"/>
    <col min="4625" max="4625" width="4.6640625" style="23" customWidth="1"/>
    <col min="4626" max="4626" width="5.1640625" style="23" customWidth="1"/>
    <col min="4627" max="4627" width="9.6640625" style="23" customWidth="1"/>
    <col min="4628" max="4628" width="7.33203125" style="23" customWidth="1"/>
    <col min="4629" max="4629" width="4.5" style="23" customWidth="1"/>
    <col min="4630" max="4873" width="11.5" style="23"/>
    <col min="4874" max="4874" width="7.33203125" style="23" customWidth="1"/>
    <col min="4875" max="4875" width="7.5" style="23" customWidth="1"/>
    <col min="4876" max="4876" width="7.6640625" style="23" customWidth="1"/>
    <col min="4877" max="4877" width="4.5" style="23" customWidth="1"/>
    <col min="4878" max="4878" width="4.83203125" style="23" customWidth="1"/>
    <col min="4879" max="4879" width="7" style="23" customWidth="1"/>
    <col min="4880" max="4880" width="7.5" style="23" customWidth="1"/>
    <col min="4881" max="4881" width="4.6640625" style="23" customWidth="1"/>
    <col min="4882" max="4882" width="5.1640625" style="23" customWidth="1"/>
    <col min="4883" max="4883" width="9.6640625" style="23" customWidth="1"/>
    <col min="4884" max="4884" width="7.33203125" style="23" customWidth="1"/>
    <col min="4885" max="4885" width="4.5" style="23" customWidth="1"/>
    <col min="4886" max="5129" width="11.5" style="23"/>
    <col min="5130" max="5130" width="7.33203125" style="23" customWidth="1"/>
    <col min="5131" max="5131" width="7.5" style="23" customWidth="1"/>
    <col min="5132" max="5132" width="7.6640625" style="23" customWidth="1"/>
    <col min="5133" max="5133" width="4.5" style="23" customWidth="1"/>
    <col min="5134" max="5134" width="4.83203125" style="23" customWidth="1"/>
    <col min="5135" max="5135" width="7" style="23" customWidth="1"/>
    <col min="5136" max="5136" width="7.5" style="23" customWidth="1"/>
    <col min="5137" max="5137" width="4.6640625" style="23" customWidth="1"/>
    <col min="5138" max="5138" width="5.1640625" style="23" customWidth="1"/>
    <col min="5139" max="5139" width="9.6640625" style="23" customWidth="1"/>
    <col min="5140" max="5140" width="7.33203125" style="23" customWidth="1"/>
    <col min="5141" max="5141" width="4.5" style="23" customWidth="1"/>
    <col min="5142" max="5385" width="11.5" style="23"/>
    <col min="5386" max="5386" width="7.33203125" style="23" customWidth="1"/>
    <col min="5387" max="5387" width="7.5" style="23" customWidth="1"/>
    <col min="5388" max="5388" width="7.6640625" style="23" customWidth="1"/>
    <col min="5389" max="5389" width="4.5" style="23" customWidth="1"/>
    <col min="5390" max="5390" width="4.83203125" style="23" customWidth="1"/>
    <col min="5391" max="5391" width="7" style="23" customWidth="1"/>
    <col min="5392" max="5392" width="7.5" style="23" customWidth="1"/>
    <col min="5393" max="5393" width="4.6640625" style="23" customWidth="1"/>
    <col min="5394" max="5394" width="5.1640625" style="23" customWidth="1"/>
    <col min="5395" max="5395" width="9.6640625" style="23" customWidth="1"/>
    <col min="5396" max="5396" width="7.33203125" style="23" customWidth="1"/>
    <col min="5397" max="5397" width="4.5" style="23" customWidth="1"/>
    <col min="5398" max="5641" width="11.5" style="23"/>
    <col min="5642" max="5642" width="7.33203125" style="23" customWidth="1"/>
    <col min="5643" max="5643" width="7.5" style="23" customWidth="1"/>
    <col min="5644" max="5644" width="7.6640625" style="23" customWidth="1"/>
    <col min="5645" max="5645" width="4.5" style="23" customWidth="1"/>
    <col min="5646" max="5646" width="4.83203125" style="23" customWidth="1"/>
    <col min="5647" max="5647" width="7" style="23" customWidth="1"/>
    <col min="5648" max="5648" width="7.5" style="23" customWidth="1"/>
    <col min="5649" max="5649" width="4.6640625" style="23" customWidth="1"/>
    <col min="5650" max="5650" width="5.1640625" style="23" customWidth="1"/>
    <col min="5651" max="5651" width="9.6640625" style="23" customWidth="1"/>
    <col min="5652" max="5652" width="7.33203125" style="23" customWidth="1"/>
    <col min="5653" max="5653" width="4.5" style="23" customWidth="1"/>
    <col min="5654" max="5897" width="11.5" style="23"/>
    <col min="5898" max="5898" width="7.33203125" style="23" customWidth="1"/>
    <col min="5899" max="5899" width="7.5" style="23" customWidth="1"/>
    <col min="5900" max="5900" width="7.6640625" style="23" customWidth="1"/>
    <col min="5901" max="5901" width="4.5" style="23" customWidth="1"/>
    <col min="5902" max="5902" width="4.83203125" style="23" customWidth="1"/>
    <col min="5903" max="5903" width="7" style="23" customWidth="1"/>
    <col min="5904" max="5904" width="7.5" style="23" customWidth="1"/>
    <col min="5905" max="5905" width="4.6640625" style="23" customWidth="1"/>
    <col min="5906" max="5906" width="5.1640625" style="23" customWidth="1"/>
    <col min="5907" max="5907" width="9.6640625" style="23" customWidth="1"/>
    <col min="5908" max="5908" width="7.33203125" style="23" customWidth="1"/>
    <col min="5909" max="5909" width="4.5" style="23" customWidth="1"/>
    <col min="5910" max="6153" width="11.5" style="23"/>
    <col min="6154" max="6154" width="7.33203125" style="23" customWidth="1"/>
    <col min="6155" max="6155" width="7.5" style="23" customWidth="1"/>
    <col min="6156" max="6156" width="7.6640625" style="23" customWidth="1"/>
    <col min="6157" max="6157" width="4.5" style="23" customWidth="1"/>
    <col min="6158" max="6158" width="4.83203125" style="23" customWidth="1"/>
    <col min="6159" max="6159" width="7" style="23" customWidth="1"/>
    <col min="6160" max="6160" width="7.5" style="23" customWidth="1"/>
    <col min="6161" max="6161" width="4.6640625" style="23" customWidth="1"/>
    <col min="6162" max="6162" width="5.1640625" style="23" customWidth="1"/>
    <col min="6163" max="6163" width="9.6640625" style="23" customWidth="1"/>
    <col min="6164" max="6164" width="7.33203125" style="23" customWidth="1"/>
    <col min="6165" max="6165" width="4.5" style="23" customWidth="1"/>
    <col min="6166" max="6409" width="11.5" style="23"/>
    <col min="6410" max="6410" width="7.33203125" style="23" customWidth="1"/>
    <col min="6411" max="6411" width="7.5" style="23" customWidth="1"/>
    <col min="6412" max="6412" width="7.6640625" style="23" customWidth="1"/>
    <col min="6413" max="6413" width="4.5" style="23" customWidth="1"/>
    <col min="6414" max="6414" width="4.83203125" style="23" customWidth="1"/>
    <col min="6415" max="6415" width="7" style="23" customWidth="1"/>
    <col min="6416" max="6416" width="7.5" style="23" customWidth="1"/>
    <col min="6417" max="6417" width="4.6640625" style="23" customWidth="1"/>
    <col min="6418" max="6418" width="5.1640625" style="23" customWidth="1"/>
    <col min="6419" max="6419" width="9.6640625" style="23" customWidth="1"/>
    <col min="6420" max="6420" width="7.33203125" style="23" customWidth="1"/>
    <col min="6421" max="6421" width="4.5" style="23" customWidth="1"/>
    <col min="6422" max="6665" width="11.5" style="23"/>
    <col min="6666" max="6666" width="7.33203125" style="23" customWidth="1"/>
    <col min="6667" max="6667" width="7.5" style="23" customWidth="1"/>
    <col min="6668" max="6668" width="7.6640625" style="23" customWidth="1"/>
    <col min="6669" max="6669" width="4.5" style="23" customWidth="1"/>
    <col min="6670" max="6670" width="4.83203125" style="23" customWidth="1"/>
    <col min="6671" max="6671" width="7" style="23" customWidth="1"/>
    <col min="6672" max="6672" width="7.5" style="23" customWidth="1"/>
    <col min="6673" max="6673" width="4.6640625" style="23" customWidth="1"/>
    <col min="6674" max="6674" width="5.1640625" style="23" customWidth="1"/>
    <col min="6675" max="6675" width="9.6640625" style="23" customWidth="1"/>
    <col min="6676" max="6676" width="7.33203125" style="23" customWidth="1"/>
    <col min="6677" max="6677" width="4.5" style="23" customWidth="1"/>
    <col min="6678" max="6921" width="11.5" style="23"/>
    <col min="6922" max="6922" width="7.33203125" style="23" customWidth="1"/>
    <col min="6923" max="6923" width="7.5" style="23" customWidth="1"/>
    <col min="6924" max="6924" width="7.6640625" style="23" customWidth="1"/>
    <col min="6925" max="6925" width="4.5" style="23" customWidth="1"/>
    <col min="6926" max="6926" width="4.83203125" style="23" customWidth="1"/>
    <col min="6927" max="6927" width="7" style="23" customWidth="1"/>
    <col min="6928" max="6928" width="7.5" style="23" customWidth="1"/>
    <col min="6929" max="6929" width="4.6640625" style="23" customWidth="1"/>
    <col min="6930" max="6930" width="5.1640625" style="23" customWidth="1"/>
    <col min="6931" max="6931" width="9.6640625" style="23" customWidth="1"/>
    <col min="6932" max="6932" width="7.33203125" style="23" customWidth="1"/>
    <col min="6933" max="6933" width="4.5" style="23" customWidth="1"/>
    <col min="6934" max="7177" width="11.5" style="23"/>
    <col min="7178" max="7178" width="7.33203125" style="23" customWidth="1"/>
    <col min="7179" max="7179" width="7.5" style="23" customWidth="1"/>
    <col min="7180" max="7180" width="7.6640625" style="23" customWidth="1"/>
    <col min="7181" max="7181" width="4.5" style="23" customWidth="1"/>
    <col min="7182" max="7182" width="4.83203125" style="23" customWidth="1"/>
    <col min="7183" max="7183" width="7" style="23" customWidth="1"/>
    <col min="7184" max="7184" width="7.5" style="23" customWidth="1"/>
    <col min="7185" max="7185" width="4.6640625" style="23" customWidth="1"/>
    <col min="7186" max="7186" width="5.1640625" style="23" customWidth="1"/>
    <col min="7187" max="7187" width="9.6640625" style="23" customWidth="1"/>
    <col min="7188" max="7188" width="7.33203125" style="23" customWidth="1"/>
    <col min="7189" max="7189" width="4.5" style="23" customWidth="1"/>
    <col min="7190" max="7433" width="11.5" style="23"/>
    <col min="7434" max="7434" width="7.33203125" style="23" customWidth="1"/>
    <col min="7435" max="7435" width="7.5" style="23" customWidth="1"/>
    <col min="7436" max="7436" width="7.6640625" style="23" customWidth="1"/>
    <col min="7437" max="7437" width="4.5" style="23" customWidth="1"/>
    <col min="7438" max="7438" width="4.83203125" style="23" customWidth="1"/>
    <col min="7439" max="7439" width="7" style="23" customWidth="1"/>
    <col min="7440" max="7440" width="7.5" style="23" customWidth="1"/>
    <col min="7441" max="7441" width="4.6640625" style="23" customWidth="1"/>
    <col min="7442" max="7442" width="5.1640625" style="23" customWidth="1"/>
    <col min="7443" max="7443" width="9.6640625" style="23" customWidth="1"/>
    <col min="7444" max="7444" width="7.33203125" style="23" customWidth="1"/>
    <col min="7445" max="7445" width="4.5" style="23" customWidth="1"/>
    <col min="7446" max="7689" width="11.5" style="23"/>
    <col min="7690" max="7690" width="7.33203125" style="23" customWidth="1"/>
    <col min="7691" max="7691" width="7.5" style="23" customWidth="1"/>
    <col min="7692" max="7692" width="7.6640625" style="23" customWidth="1"/>
    <col min="7693" max="7693" width="4.5" style="23" customWidth="1"/>
    <col min="7694" max="7694" width="4.83203125" style="23" customWidth="1"/>
    <col min="7695" max="7695" width="7" style="23" customWidth="1"/>
    <col min="7696" max="7696" width="7.5" style="23" customWidth="1"/>
    <col min="7697" max="7697" width="4.6640625" style="23" customWidth="1"/>
    <col min="7698" max="7698" width="5.1640625" style="23" customWidth="1"/>
    <col min="7699" max="7699" width="9.6640625" style="23" customWidth="1"/>
    <col min="7700" max="7700" width="7.33203125" style="23" customWidth="1"/>
    <col min="7701" max="7701" width="4.5" style="23" customWidth="1"/>
    <col min="7702" max="7945" width="11.5" style="23"/>
    <col min="7946" max="7946" width="7.33203125" style="23" customWidth="1"/>
    <col min="7947" max="7947" width="7.5" style="23" customWidth="1"/>
    <col min="7948" max="7948" width="7.6640625" style="23" customWidth="1"/>
    <col min="7949" max="7949" width="4.5" style="23" customWidth="1"/>
    <col min="7950" max="7950" width="4.83203125" style="23" customWidth="1"/>
    <col min="7951" max="7951" width="7" style="23" customWidth="1"/>
    <col min="7952" max="7952" width="7.5" style="23" customWidth="1"/>
    <col min="7953" max="7953" width="4.6640625" style="23" customWidth="1"/>
    <col min="7954" max="7954" width="5.1640625" style="23" customWidth="1"/>
    <col min="7955" max="7955" width="9.6640625" style="23" customWidth="1"/>
    <col min="7956" max="7956" width="7.33203125" style="23" customWidth="1"/>
    <col min="7957" max="7957" width="4.5" style="23" customWidth="1"/>
    <col min="7958" max="8201" width="11.5" style="23"/>
    <col min="8202" max="8202" width="7.33203125" style="23" customWidth="1"/>
    <col min="8203" max="8203" width="7.5" style="23" customWidth="1"/>
    <col min="8204" max="8204" width="7.6640625" style="23" customWidth="1"/>
    <col min="8205" max="8205" width="4.5" style="23" customWidth="1"/>
    <col min="8206" max="8206" width="4.83203125" style="23" customWidth="1"/>
    <col min="8207" max="8207" width="7" style="23" customWidth="1"/>
    <col min="8208" max="8208" width="7.5" style="23" customWidth="1"/>
    <col min="8209" max="8209" width="4.6640625" style="23" customWidth="1"/>
    <col min="8210" max="8210" width="5.1640625" style="23" customWidth="1"/>
    <col min="8211" max="8211" width="9.6640625" style="23" customWidth="1"/>
    <col min="8212" max="8212" width="7.33203125" style="23" customWidth="1"/>
    <col min="8213" max="8213" width="4.5" style="23" customWidth="1"/>
    <col min="8214" max="8457" width="11.5" style="23"/>
    <col min="8458" max="8458" width="7.33203125" style="23" customWidth="1"/>
    <col min="8459" max="8459" width="7.5" style="23" customWidth="1"/>
    <col min="8460" max="8460" width="7.6640625" style="23" customWidth="1"/>
    <col min="8461" max="8461" width="4.5" style="23" customWidth="1"/>
    <col min="8462" max="8462" width="4.83203125" style="23" customWidth="1"/>
    <col min="8463" max="8463" width="7" style="23" customWidth="1"/>
    <col min="8464" max="8464" width="7.5" style="23" customWidth="1"/>
    <col min="8465" max="8465" width="4.6640625" style="23" customWidth="1"/>
    <col min="8466" max="8466" width="5.1640625" style="23" customWidth="1"/>
    <col min="8467" max="8467" width="9.6640625" style="23" customWidth="1"/>
    <col min="8468" max="8468" width="7.33203125" style="23" customWidth="1"/>
    <col min="8469" max="8469" width="4.5" style="23" customWidth="1"/>
    <col min="8470" max="8713" width="11.5" style="23"/>
    <col min="8714" max="8714" width="7.33203125" style="23" customWidth="1"/>
    <col min="8715" max="8715" width="7.5" style="23" customWidth="1"/>
    <col min="8716" max="8716" width="7.6640625" style="23" customWidth="1"/>
    <col min="8717" max="8717" width="4.5" style="23" customWidth="1"/>
    <col min="8718" max="8718" width="4.83203125" style="23" customWidth="1"/>
    <col min="8719" max="8719" width="7" style="23" customWidth="1"/>
    <col min="8720" max="8720" width="7.5" style="23" customWidth="1"/>
    <col min="8721" max="8721" width="4.6640625" style="23" customWidth="1"/>
    <col min="8722" max="8722" width="5.1640625" style="23" customWidth="1"/>
    <col min="8723" max="8723" width="9.6640625" style="23" customWidth="1"/>
    <col min="8724" max="8724" width="7.33203125" style="23" customWidth="1"/>
    <col min="8725" max="8725" width="4.5" style="23" customWidth="1"/>
    <col min="8726" max="8969" width="11.5" style="23"/>
    <col min="8970" max="8970" width="7.33203125" style="23" customWidth="1"/>
    <col min="8971" max="8971" width="7.5" style="23" customWidth="1"/>
    <col min="8972" max="8972" width="7.6640625" style="23" customWidth="1"/>
    <col min="8973" max="8973" width="4.5" style="23" customWidth="1"/>
    <col min="8974" max="8974" width="4.83203125" style="23" customWidth="1"/>
    <col min="8975" max="8975" width="7" style="23" customWidth="1"/>
    <col min="8976" max="8976" width="7.5" style="23" customWidth="1"/>
    <col min="8977" max="8977" width="4.6640625" style="23" customWidth="1"/>
    <col min="8978" max="8978" width="5.1640625" style="23" customWidth="1"/>
    <col min="8979" max="8979" width="9.6640625" style="23" customWidth="1"/>
    <col min="8980" max="8980" width="7.33203125" style="23" customWidth="1"/>
    <col min="8981" max="8981" width="4.5" style="23" customWidth="1"/>
    <col min="8982" max="9225" width="11.5" style="23"/>
    <col min="9226" max="9226" width="7.33203125" style="23" customWidth="1"/>
    <col min="9227" max="9227" width="7.5" style="23" customWidth="1"/>
    <col min="9228" max="9228" width="7.6640625" style="23" customWidth="1"/>
    <col min="9229" max="9229" width="4.5" style="23" customWidth="1"/>
    <col min="9230" max="9230" width="4.83203125" style="23" customWidth="1"/>
    <col min="9231" max="9231" width="7" style="23" customWidth="1"/>
    <col min="9232" max="9232" width="7.5" style="23" customWidth="1"/>
    <col min="9233" max="9233" width="4.6640625" style="23" customWidth="1"/>
    <col min="9234" max="9234" width="5.1640625" style="23" customWidth="1"/>
    <col min="9235" max="9235" width="9.6640625" style="23" customWidth="1"/>
    <col min="9236" max="9236" width="7.33203125" style="23" customWidth="1"/>
    <col min="9237" max="9237" width="4.5" style="23" customWidth="1"/>
    <col min="9238" max="9481" width="11.5" style="23"/>
    <col min="9482" max="9482" width="7.33203125" style="23" customWidth="1"/>
    <col min="9483" max="9483" width="7.5" style="23" customWidth="1"/>
    <col min="9484" max="9484" width="7.6640625" style="23" customWidth="1"/>
    <col min="9485" max="9485" width="4.5" style="23" customWidth="1"/>
    <col min="9486" max="9486" width="4.83203125" style="23" customWidth="1"/>
    <col min="9487" max="9487" width="7" style="23" customWidth="1"/>
    <col min="9488" max="9488" width="7.5" style="23" customWidth="1"/>
    <col min="9489" max="9489" width="4.6640625" style="23" customWidth="1"/>
    <col min="9490" max="9490" width="5.1640625" style="23" customWidth="1"/>
    <col min="9491" max="9491" width="9.6640625" style="23" customWidth="1"/>
    <col min="9492" max="9492" width="7.33203125" style="23" customWidth="1"/>
    <col min="9493" max="9493" width="4.5" style="23" customWidth="1"/>
    <col min="9494" max="9737" width="11.5" style="23"/>
    <col min="9738" max="9738" width="7.33203125" style="23" customWidth="1"/>
    <col min="9739" max="9739" width="7.5" style="23" customWidth="1"/>
    <col min="9740" max="9740" width="7.6640625" style="23" customWidth="1"/>
    <col min="9741" max="9741" width="4.5" style="23" customWidth="1"/>
    <col min="9742" max="9742" width="4.83203125" style="23" customWidth="1"/>
    <col min="9743" max="9743" width="7" style="23" customWidth="1"/>
    <col min="9744" max="9744" width="7.5" style="23" customWidth="1"/>
    <col min="9745" max="9745" width="4.6640625" style="23" customWidth="1"/>
    <col min="9746" max="9746" width="5.1640625" style="23" customWidth="1"/>
    <col min="9747" max="9747" width="9.6640625" style="23" customWidth="1"/>
    <col min="9748" max="9748" width="7.33203125" style="23" customWidth="1"/>
    <col min="9749" max="9749" width="4.5" style="23" customWidth="1"/>
    <col min="9750" max="9993" width="11.5" style="23"/>
    <col min="9994" max="9994" width="7.33203125" style="23" customWidth="1"/>
    <col min="9995" max="9995" width="7.5" style="23" customWidth="1"/>
    <col min="9996" max="9996" width="7.6640625" style="23" customWidth="1"/>
    <col min="9997" max="9997" width="4.5" style="23" customWidth="1"/>
    <col min="9998" max="9998" width="4.83203125" style="23" customWidth="1"/>
    <col min="9999" max="9999" width="7" style="23" customWidth="1"/>
    <col min="10000" max="10000" width="7.5" style="23" customWidth="1"/>
    <col min="10001" max="10001" width="4.6640625" style="23" customWidth="1"/>
    <col min="10002" max="10002" width="5.1640625" style="23" customWidth="1"/>
    <col min="10003" max="10003" width="9.6640625" style="23" customWidth="1"/>
    <col min="10004" max="10004" width="7.33203125" style="23" customWidth="1"/>
    <col min="10005" max="10005" width="4.5" style="23" customWidth="1"/>
    <col min="10006" max="10249" width="11.5" style="23"/>
    <col min="10250" max="10250" width="7.33203125" style="23" customWidth="1"/>
    <col min="10251" max="10251" width="7.5" style="23" customWidth="1"/>
    <col min="10252" max="10252" width="7.6640625" style="23" customWidth="1"/>
    <col min="10253" max="10253" width="4.5" style="23" customWidth="1"/>
    <col min="10254" max="10254" width="4.83203125" style="23" customWidth="1"/>
    <col min="10255" max="10255" width="7" style="23" customWidth="1"/>
    <col min="10256" max="10256" width="7.5" style="23" customWidth="1"/>
    <col min="10257" max="10257" width="4.6640625" style="23" customWidth="1"/>
    <col min="10258" max="10258" width="5.1640625" style="23" customWidth="1"/>
    <col min="10259" max="10259" width="9.6640625" style="23" customWidth="1"/>
    <col min="10260" max="10260" width="7.33203125" style="23" customWidth="1"/>
    <col min="10261" max="10261" width="4.5" style="23" customWidth="1"/>
    <col min="10262" max="10505" width="11.5" style="23"/>
    <col min="10506" max="10506" width="7.33203125" style="23" customWidth="1"/>
    <col min="10507" max="10507" width="7.5" style="23" customWidth="1"/>
    <col min="10508" max="10508" width="7.6640625" style="23" customWidth="1"/>
    <col min="10509" max="10509" width="4.5" style="23" customWidth="1"/>
    <col min="10510" max="10510" width="4.83203125" style="23" customWidth="1"/>
    <col min="10511" max="10511" width="7" style="23" customWidth="1"/>
    <col min="10512" max="10512" width="7.5" style="23" customWidth="1"/>
    <col min="10513" max="10513" width="4.6640625" style="23" customWidth="1"/>
    <col min="10514" max="10514" width="5.1640625" style="23" customWidth="1"/>
    <col min="10515" max="10515" width="9.6640625" style="23" customWidth="1"/>
    <col min="10516" max="10516" width="7.33203125" style="23" customWidth="1"/>
    <col min="10517" max="10517" width="4.5" style="23" customWidth="1"/>
    <col min="10518" max="10761" width="11.5" style="23"/>
    <col min="10762" max="10762" width="7.33203125" style="23" customWidth="1"/>
    <col min="10763" max="10763" width="7.5" style="23" customWidth="1"/>
    <col min="10764" max="10764" width="7.6640625" style="23" customWidth="1"/>
    <col min="10765" max="10765" width="4.5" style="23" customWidth="1"/>
    <col min="10766" max="10766" width="4.83203125" style="23" customWidth="1"/>
    <col min="10767" max="10767" width="7" style="23" customWidth="1"/>
    <col min="10768" max="10768" width="7.5" style="23" customWidth="1"/>
    <col min="10769" max="10769" width="4.6640625" style="23" customWidth="1"/>
    <col min="10770" max="10770" width="5.1640625" style="23" customWidth="1"/>
    <col min="10771" max="10771" width="9.6640625" style="23" customWidth="1"/>
    <col min="10772" max="10772" width="7.33203125" style="23" customWidth="1"/>
    <col min="10773" max="10773" width="4.5" style="23" customWidth="1"/>
    <col min="10774" max="11017" width="11.5" style="23"/>
    <col min="11018" max="11018" width="7.33203125" style="23" customWidth="1"/>
    <col min="11019" max="11019" width="7.5" style="23" customWidth="1"/>
    <col min="11020" max="11020" width="7.6640625" style="23" customWidth="1"/>
    <col min="11021" max="11021" width="4.5" style="23" customWidth="1"/>
    <col min="11022" max="11022" width="4.83203125" style="23" customWidth="1"/>
    <col min="11023" max="11023" width="7" style="23" customWidth="1"/>
    <col min="11024" max="11024" width="7.5" style="23" customWidth="1"/>
    <col min="11025" max="11025" width="4.6640625" style="23" customWidth="1"/>
    <col min="11026" max="11026" width="5.1640625" style="23" customWidth="1"/>
    <col min="11027" max="11027" width="9.6640625" style="23" customWidth="1"/>
    <col min="11028" max="11028" width="7.33203125" style="23" customWidth="1"/>
    <col min="11029" max="11029" width="4.5" style="23" customWidth="1"/>
    <col min="11030" max="11273" width="11.5" style="23"/>
    <col min="11274" max="11274" width="7.33203125" style="23" customWidth="1"/>
    <col min="11275" max="11275" width="7.5" style="23" customWidth="1"/>
    <col min="11276" max="11276" width="7.6640625" style="23" customWidth="1"/>
    <col min="11277" max="11277" width="4.5" style="23" customWidth="1"/>
    <col min="11278" max="11278" width="4.83203125" style="23" customWidth="1"/>
    <col min="11279" max="11279" width="7" style="23" customWidth="1"/>
    <col min="11280" max="11280" width="7.5" style="23" customWidth="1"/>
    <col min="11281" max="11281" width="4.6640625" style="23" customWidth="1"/>
    <col min="11282" max="11282" width="5.1640625" style="23" customWidth="1"/>
    <col min="11283" max="11283" width="9.6640625" style="23" customWidth="1"/>
    <col min="11284" max="11284" width="7.33203125" style="23" customWidth="1"/>
    <col min="11285" max="11285" width="4.5" style="23" customWidth="1"/>
    <col min="11286" max="11529" width="11.5" style="23"/>
    <col min="11530" max="11530" width="7.33203125" style="23" customWidth="1"/>
    <col min="11531" max="11531" width="7.5" style="23" customWidth="1"/>
    <col min="11532" max="11532" width="7.6640625" style="23" customWidth="1"/>
    <col min="11533" max="11533" width="4.5" style="23" customWidth="1"/>
    <col min="11534" max="11534" width="4.83203125" style="23" customWidth="1"/>
    <col min="11535" max="11535" width="7" style="23" customWidth="1"/>
    <col min="11536" max="11536" width="7.5" style="23" customWidth="1"/>
    <col min="11537" max="11537" width="4.6640625" style="23" customWidth="1"/>
    <col min="11538" max="11538" width="5.1640625" style="23" customWidth="1"/>
    <col min="11539" max="11539" width="9.6640625" style="23" customWidth="1"/>
    <col min="11540" max="11540" width="7.33203125" style="23" customWidth="1"/>
    <col min="11541" max="11541" width="4.5" style="23" customWidth="1"/>
    <col min="11542" max="11785" width="11.5" style="23"/>
    <col min="11786" max="11786" width="7.33203125" style="23" customWidth="1"/>
    <col min="11787" max="11787" width="7.5" style="23" customWidth="1"/>
    <col min="11788" max="11788" width="7.6640625" style="23" customWidth="1"/>
    <col min="11789" max="11789" width="4.5" style="23" customWidth="1"/>
    <col min="11790" max="11790" width="4.83203125" style="23" customWidth="1"/>
    <col min="11791" max="11791" width="7" style="23" customWidth="1"/>
    <col min="11792" max="11792" width="7.5" style="23" customWidth="1"/>
    <col min="11793" max="11793" width="4.6640625" style="23" customWidth="1"/>
    <col min="11794" max="11794" width="5.1640625" style="23" customWidth="1"/>
    <col min="11795" max="11795" width="9.6640625" style="23" customWidth="1"/>
    <col min="11796" max="11796" width="7.33203125" style="23" customWidth="1"/>
    <col min="11797" max="11797" width="4.5" style="23" customWidth="1"/>
    <col min="11798" max="12041" width="11.5" style="23"/>
    <col min="12042" max="12042" width="7.33203125" style="23" customWidth="1"/>
    <col min="12043" max="12043" width="7.5" style="23" customWidth="1"/>
    <col min="12044" max="12044" width="7.6640625" style="23" customWidth="1"/>
    <col min="12045" max="12045" width="4.5" style="23" customWidth="1"/>
    <col min="12046" max="12046" width="4.83203125" style="23" customWidth="1"/>
    <col min="12047" max="12047" width="7" style="23" customWidth="1"/>
    <col min="12048" max="12048" width="7.5" style="23" customWidth="1"/>
    <col min="12049" max="12049" width="4.6640625" style="23" customWidth="1"/>
    <col min="12050" max="12050" width="5.1640625" style="23" customWidth="1"/>
    <col min="12051" max="12051" width="9.6640625" style="23" customWidth="1"/>
    <col min="12052" max="12052" width="7.33203125" style="23" customWidth="1"/>
    <col min="12053" max="12053" width="4.5" style="23" customWidth="1"/>
    <col min="12054" max="12297" width="11.5" style="23"/>
    <col min="12298" max="12298" width="7.33203125" style="23" customWidth="1"/>
    <col min="12299" max="12299" width="7.5" style="23" customWidth="1"/>
    <col min="12300" max="12300" width="7.6640625" style="23" customWidth="1"/>
    <col min="12301" max="12301" width="4.5" style="23" customWidth="1"/>
    <col min="12302" max="12302" width="4.83203125" style="23" customWidth="1"/>
    <col min="12303" max="12303" width="7" style="23" customWidth="1"/>
    <col min="12304" max="12304" width="7.5" style="23" customWidth="1"/>
    <col min="12305" max="12305" width="4.6640625" style="23" customWidth="1"/>
    <col min="12306" max="12306" width="5.1640625" style="23" customWidth="1"/>
    <col min="12307" max="12307" width="9.6640625" style="23" customWidth="1"/>
    <col min="12308" max="12308" width="7.33203125" style="23" customWidth="1"/>
    <col min="12309" max="12309" width="4.5" style="23" customWidth="1"/>
    <col min="12310" max="12553" width="11.5" style="23"/>
    <col min="12554" max="12554" width="7.33203125" style="23" customWidth="1"/>
    <col min="12555" max="12555" width="7.5" style="23" customWidth="1"/>
    <col min="12556" max="12556" width="7.6640625" style="23" customWidth="1"/>
    <col min="12557" max="12557" width="4.5" style="23" customWidth="1"/>
    <col min="12558" max="12558" width="4.83203125" style="23" customWidth="1"/>
    <col min="12559" max="12559" width="7" style="23" customWidth="1"/>
    <col min="12560" max="12560" width="7.5" style="23" customWidth="1"/>
    <col min="12561" max="12561" width="4.6640625" style="23" customWidth="1"/>
    <col min="12562" max="12562" width="5.1640625" style="23" customWidth="1"/>
    <col min="12563" max="12563" width="9.6640625" style="23" customWidth="1"/>
    <col min="12564" max="12564" width="7.33203125" style="23" customWidth="1"/>
    <col min="12565" max="12565" width="4.5" style="23" customWidth="1"/>
    <col min="12566" max="12809" width="11.5" style="23"/>
    <col min="12810" max="12810" width="7.33203125" style="23" customWidth="1"/>
    <col min="12811" max="12811" width="7.5" style="23" customWidth="1"/>
    <col min="12812" max="12812" width="7.6640625" style="23" customWidth="1"/>
    <col min="12813" max="12813" width="4.5" style="23" customWidth="1"/>
    <col min="12814" max="12814" width="4.83203125" style="23" customWidth="1"/>
    <col min="12815" max="12815" width="7" style="23" customWidth="1"/>
    <col min="12816" max="12816" width="7.5" style="23" customWidth="1"/>
    <col min="12817" max="12817" width="4.6640625" style="23" customWidth="1"/>
    <col min="12818" max="12818" width="5.1640625" style="23" customWidth="1"/>
    <col min="12819" max="12819" width="9.6640625" style="23" customWidth="1"/>
    <col min="12820" max="12820" width="7.33203125" style="23" customWidth="1"/>
    <col min="12821" max="12821" width="4.5" style="23" customWidth="1"/>
    <col min="12822" max="13065" width="11.5" style="23"/>
    <col min="13066" max="13066" width="7.33203125" style="23" customWidth="1"/>
    <col min="13067" max="13067" width="7.5" style="23" customWidth="1"/>
    <col min="13068" max="13068" width="7.6640625" style="23" customWidth="1"/>
    <col min="13069" max="13069" width="4.5" style="23" customWidth="1"/>
    <col min="13070" max="13070" width="4.83203125" style="23" customWidth="1"/>
    <col min="13071" max="13071" width="7" style="23" customWidth="1"/>
    <col min="13072" max="13072" width="7.5" style="23" customWidth="1"/>
    <col min="13073" max="13073" width="4.6640625" style="23" customWidth="1"/>
    <col min="13074" max="13074" width="5.1640625" style="23" customWidth="1"/>
    <col min="13075" max="13075" width="9.6640625" style="23" customWidth="1"/>
    <col min="13076" max="13076" width="7.33203125" style="23" customWidth="1"/>
    <col min="13077" max="13077" width="4.5" style="23" customWidth="1"/>
    <col min="13078" max="13321" width="11.5" style="23"/>
    <col min="13322" max="13322" width="7.33203125" style="23" customWidth="1"/>
    <col min="13323" max="13323" width="7.5" style="23" customWidth="1"/>
    <col min="13324" max="13324" width="7.6640625" style="23" customWidth="1"/>
    <col min="13325" max="13325" width="4.5" style="23" customWidth="1"/>
    <col min="13326" max="13326" width="4.83203125" style="23" customWidth="1"/>
    <col min="13327" max="13327" width="7" style="23" customWidth="1"/>
    <col min="13328" max="13328" width="7.5" style="23" customWidth="1"/>
    <col min="13329" max="13329" width="4.6640625" style="23" customWidth="1"/>
    <col min="13330" max="13330" width="5.1640625" style="23" customWidth="1"/>
    <col min="13331" max="13331" width="9.6640625" style="23" customWidth="1"/>
    <col min="13332" max="13332" width="7.33203125" style="23" customWidth="1"/>
    <col min="13333" max="13333" width="4.5" style="23" customWidth="1"/>
    <col min="13334" max="13577" width="11.5" style="23"/>
    <col min="13578" max="13578" width="7.33203125" style="23" customWidth="1"/>
    <col min="13579" max="13579" width="7.5" style="23" customWidth="1"/>
    <col min="13580" max="13580" width="7.6640625" style="23" customWidth="1"/>
    <col min="13581" max="13581" width="4.5" style="23" customWidth="1"/>
    <col min="13582" max="13582" width="4.83203125" style="23" customWidth="1"/>
    <col min="13583" max="13583" width="7" style="23" customWidth="1"/>
    <col min="13584" max="13584" width="7.5" style="23" customWidth="1"/>
    <col min="13585" max="13585" width="4.6640625" style="23" customWidth="1"/>
    <col min="13586" max="13586" width="5.1640625" style="23" customWidth="1"/>
    <col min="13587" max="13587" width="9.6640625" style="23" customWidth="1"/>
    <col min="13588" max="13588" width="7.33203125" style="23" customWidth="1"/>
    <col min="13589" max="13589" width="4.5" style="23" customWidth="1"/>
    <col min="13590" max="13833" width="11.5" style="23"/>
    <col min="13834" max="13834" width="7.33203125" style="23" customWidth="1"/>
    <col min="13835" max="13835" width="7.5" style="23" customWidth="1"/>
    <col min="13836" max="13836" width="7.6640625" style="23" customWidth="1"/>
    <col min="13837" max="13837" width="4.5" style="23" customWidth="1"/>
    <col min="13838" max="13838" width="4.83203125" style="23" customWidth="1"/>
    <col min="13839" max="13839" width="7" style="23" customWidth="1"/>
    <col min="13840" max="13840" width="7.5" style="23" customWidth="1"/>
    <col min="13841" max="13841" width="4.6640625" style="23" customWidth="1"/>
    <col min="13842" max="13842" width="5.1640625" style="23" customWidth="1"/>
    <col min="13843" max="13843" width="9.6640625" style="23" customWidth="1"/>
    <col min="13844" max="13844" width="7.33203125" style="23" customWidth="1"/>
    <col min="13845" max="13845" width="4.5" style="23" customWidth="1"/>
    <col min="13846" max="14089" width="11.5" style="23"/>
    <col min="14090" max="14090" width="7.33203125" style="23" customWidth="1"/>
    <col min="14091" max="14091" width="7.5" style="23" customWidth="1"/>
    <col min="14092" max="14092" width="7.6640625" style="23" customWidth="1"/>
    <col min="14093" max="14093" width="4.5" style="23" customWidth="1"/>
    <col min="14094" max="14094" width="4.83203125" style="23" customWidth="1"/>
    <col min="14095" max="14095" width="7" style="23" customWidth="1"/>
    <col min="14096" max="14096" width="7.5" style="23" customWidth="1"/>
    <col min="14097" max="14097" width="4.6640625" style="23" customWidth="1"/>
    <col min="14098" max="14098" width="5.1640625" style="23" customWidth="1"/>
    <col min="14099" max="14099" width="9.6640625" style="23" customWidth="1"/>
    <col min="14100" max="14100" width="7.33203125" style="23" customWidth="1"/>
    <col min="14101" max="14101" width="4.5" style="23" customWidth="1"/>
    <col min="14102" max="14345" width="11.5" style="23"/>
    <col min="14346" max="14346" width="7.33203125" style="23" customWidth="1"/>
    <col min="14347" max="14347" width="7.5" style="23" customWidth="1"/>
    <col min="14348" max="14348" width="7.6640625" style="23" customWidth="1"/>
    <col min="14349" max="14349" width="4.5" style="23" customWidth="1"/>
    <col min="14350" max="14350" width="4.83203125" style="23" customWidth="1"/>
    <col min="14351" max="14351" width="7" style="23" customWidth="1"/>
    <col min="14352" max="14352" width="7.5" style="23" customWidth="1"/>
    <col min="14353" max="14353" width="4.6640625" style="23" customWidth="1"/>
    <col min="14354" max="14354" width="5.1640625" style="23" customWidth="1"/>
    <col min="14355" max="14355" width="9.6640625" style="23" customWidth="1"/>
    <col min="14356" max="14356" width="7.33203125" style="23" customWidth="1"/>
    <col min="14357" max="14357" width="4.5" style="23" customWidth="1"/>
    <col min="14358" max="14601" width="11.5" style="23"/>
    <col min="14602" max="14602" width="7.33203125" style="23" customWidth="1"/>
    <col min="14603" max="14603" width="7.5" style="23" customWidth="1"/>
    <col min="14604" max="14604" width="7.6640625" style="23" customWidth="1"/>
    <col min="14605" max="14605" width="4.5" style="23" customWidth="1"/>
    <col min="14606" max="14606" width="4.83203125" style="23" customWidth="1"/>
    <col min="14607" max="14607" width="7" style="23" customWidth="1"/>
    <col min="14608" max="14608" width="7.5" style="23" customWidth="1"/>
    <col min="14609" max="14609" width="4.6640625" style="23" customWidth="1"/>
    <col min="14610" max="14610" width="5.1640625" style="23" customWidth="1"/>
    <col min="14611" max="14611" width="9.6640625" style="23" customWidth="1"/>
    <col min="14612" max="14612" width="7.33203125" style="23" customWidth="1"/>
    <col min="14613" max="14613" width="4.5" style="23" customWidth="1"/>
    <col min="14614" max="14857" width="11.5" style="23"/>
    <col min="14858" max="14858" width="7.33203125" style="23" customWidth="1"/>
    <col min="14859" max="14859" width="7.5" style="23" customWidth="1"/>
    <col min="14860" max="14860" width="7.6640625" style="23" customWidth="1"/>
    <col min="14861" max="14861" width="4.5" style="23" customWidth="1"/>
    <col min="14862" max="14862" width="4.83203125" style="23" customWidth="1"/>
    <col min="14863" max="14863" width="7" style="23" customWidth="1"/>
    <col min="14864" max="14864" width="7.5" style="23" customWidth="1"/>
    <col min="14865" max="14865" width="4.6640625" style="23" customWidth="1"/>
    <col min="14866" max="14866" width="5.1640625" style="23" customWidth="1"/>
    <col min="14867" max="14867" width="9.6640625" style="23" customWidth="1"/>
    <col min="14868" max="14868" width="7.33203125" style="23" customWidth="1"/>
    <col min="14869" max="14869" width="4.5" style="23" customWidth="1"/>
    <col min="14870" max="15113" width="11.5" style="23"/>
    <col min="15114" max="15114" width="7.33203125" style="23" customWidth="1"/>
    <col min="15115" max="15115" width="7.5" style="23" customWidth="1"/>
    <col min="15116" max="15116" width="7.6640625" style="23" customWidth="1"/>
    <col min="15117" max="15117" width="4.5" style="23" customWidth="1"/>
    <col min="15118" max="15118" width="4.83203125" style="23" customWidth="1"/>
    <col min="15119" max="15119" width="7" style="23" customWidth="1"/>
    <col min="15120" max="15120" width="7.5" style="23" customWidth="1"/>
    <col min="15121" max="15121" width="4.6640625" style="23" customWidth="1"/>
    <col min="15122" max="15122" width="5.1640625" style="23" customWidth="1"/>
    <col min="15123" max="15123" width="9.6640625" style="23" customWidth="1"/>
    <col min="15124" max="15124" width="7.33203125" style="23" customWidth="1"/>
    <col min="15125" max="15125" width="4.5" style="23" customWidth="1"/>
    <col min="15126" max="15369" width="11.5" style="23"/>
    <col min="15370" max="15370" width="7.33203125" style="23" customWidth="1"/>
    <col min="15371" max="15371" width="7.5" style="23" customWidth="1"/>
    <col min="15372" max="15372" width="7.6640625" style="23" customWidth="1"/>
    <col min="15373" max="15373" width="4.5" style="23" customWidth="1"/>
    <col min="15374" max="15374" width="4.83203125" style="23" customWidth="1"/>
    <col min="15375" max="15375" width="7" style="23" customWidth="1"/>
    <col min="15376" max="15376" width="7.5" style="23" customWidth="1"/>
    <col min="15377" max="15377" width="4.6640625" style="23" customWidth="1"/>
    <col min="15378" max="15378" width="5.1640625" style="23" customWidth="1"/>
    <col min="15379" max="15379" width="9.6640625" style="23" customWidth="1"/>
    <col min="15380" max="15380" width="7.33203125" style="23" customWidth="1"/>
    <col min="15381" max="15381" width="4.5" style="23" customWidth="1"/>
    <col min="15382" max="15625" width="11.5" style="23"/>
    <col min="15626" max="15626" width="7.33203125" style="23" customWidth="1"/>
    <col min="15627" max="15627" width="7.5" style="23" customWidth="1"/>
    <col min="15628" max="15628" width="7.6640625" style="23" customWidth="1"/>
    <col min="15629" max="15629" width="4.5" style="23" customWidth="1"/>
    <col min="15630" max="15630" width="4.83203125" style="23" customWidth="1"/>
    <col min="15631" max="15631" width="7" style="23" customWidth="1"/>
    <col min="15632" max="15632" width="7.5" style="23" customWidth="1"/>
    <col min="15633" max="15633" width="4.6640625" style="23" customWidth="1"/>
    <col min="15634" max="15634" width="5.1640625" style="23" customWidth="1"/>
    <col min="15635" max="15635" width="9.6640625" style="23" customWidth="1"/>
    <col min="15636" max="15636" width="7.33203125" style="23" customWidth="1"/>
    <col min="15637" max="15637" width="4.5" style="23" customWidth="1"/>
    <col min="15638" max="15881" width="11.5" style="23"/>
    <col min="15882" max="15882" width="7.33203125" style="23" customWidth="1"/>
    <col min="15883" max="15883" width="7.5" style="23" customWidth="1"/>
    <col min="15884" max="15884" width="7.6640625" style="23" customWidth="1"/>
    <col min="15885" max="15885" width="4.5" style="23" customWidth="1"/>
    <col min="15886" max="15886" width="4.83203125" style="23" customWidth="1"/>
    <col min="15887" max="15887" width="7" style="23" customWidth="1"/>
    <col min="15888" max="15888" width="7.5" style="23" customWidth="1"/>
    <col min="15889" max="15889" width="4.6640625" style="23" customWidth="1"/>
    <col min="15890" max="15890" width="5.1640625" style="23" customWidth="1"/>
    <col min="15891" max="15891" width="9.6640625" style="23" customWidth="1"/>
    <col min="15892" max="15892" width="7.33203125" style="23" customWidth="1"/>
    <col min="15893" max="15893" width="4.5" style="23" customWidth="1"/>
    <col min="15894" max="16137" width="11.5" style="23"/>
    <col min="16138" max="16138" width="7.33203125" style="23" customWidth="1"/>
    <col min="16139" max="16139" width="7.5" style="23" customWidth="1"/>
    <col min="16140" max="16140" width="7.6640625" style="23" customWidth="1"/>
    <col min="16141" max="16141" width="4.5" style="23" customWidth="1"/>
    <col min="16142" max="16142" width="4.83203125" style="23" customWidth="1"/>
    <col min="16143" max="16143" width="7" style="23" customWidth="1"/>
    <col min="16144" max="16144" width="7.5" style="23" customWidth="1"/>
    <col min="16145" max="16145" width="4.6640625" style="23" customWidth="1"/>
    <col min="16146" max="16146" width="5.1640625" style="23" customWidth="1"/>
    <col min="16147" max="16147" width="9.6640625" style="23" customWidth="1"/>
    <col min="16148" max="16148" width="7.33203125" style="23" customWidth="1"/>
    <col min="16149" max="16149" width="4.5" style="23" customWidth="1"/>
    <col min="16150" max="16384" width="11.5" style="23"/>
  </cols>
  <sheetData>
    <row r="1" spans="2:29" ht="19" thickBot="1" x14ac:dyDescent="0.25"/>
    <row r="2" spans="2:29" ht="19" thickTop="1" x14ac:dyDescent="0.2">
      <c r="B2" s="25"/>
      <c r="C2" s="26"/>
      <c r="D2" s="26"/>
      <c r="E2" s="83"/>
      <c r="F2" s="26"/>
      <c r="G2" s="26"/>
      <c r="H2" s="26"/>
      <c r="I2" s="27"/>
      <c r="J2" s="83"/>
      <c r="K2" s="27"/>
      <c r="L2" s="89"/>
      <c r="M2" s="27"/>
      <c r="N2" s="83"/>
      <c r="O2" s="26"/>
      <c r="P2" s="89"/>
      <c r="Q2" s="26"/>
      <c r="R2" s="26"/>
      <c r="S2" s="26"/>
      <c r="T2" s="26"/>
      <c r="U2" s="27"/>
      <c r="V2" s="83"/>
      <c r="W2" s="27"/>
      <c r="X2" s="89"/>
      <c r="Y2" s="26"/>
      <c r="Z2" s="26"/>
      <c r="AA2" s="27"/>
      <c r="AB2" s="26"/>
      <c r="AC2" s="28"/>
    </row>
    <row r="3" spans="2:29" ht="23" x14ac:dyDescent="0.25">
      <c r="B3" s="29"/>
      <c r="C3" s="111" t="s">
        <v>139</v>
      </c>
      <c r="D3" s="112"/>
      <c r="E3" s="113"/>
      <c r="F3" s="112"/>
      <c r="G3" s="112"/>
      <c r="H3" s="30"/>
      <c r="I3" s="61"/>
      <c r="J3" s="69"/>
      <c r="K3" s="61"/>
      <c r="L3" s="52"/>
      <c r="M3" s="61"/>
      <c r="N3" s="69"/>
      <c r="O3" s="30"/>
      <c r="P3" s="52"/>
      <c r="Q3" s="30"/>
      <c r="R3" s="30"/>
      <c r="S3" s="30"/>
      <c r="T3" s="30"/>
      <c r="U3" s="61"/>
      <c r="V3" s="86"/>
      <c r="W3" s="32"/>
      <c r="X3" s="90"/>
      <c r="Y3" s="31"/>
      <c r="Z3" s="31"/>
      <c r="AA3" s="32"/>
      <c r="AB3" s="31"/>
      <c r="AC3" s="33"/>
    </row>
    <row r="4" spans="2:29" x14ac:dyDescent="0.2">
      <c r="B4" s="29"/>
      <c r="C4" s="30"/>
      <c r="D4" s="30"/>
      <c r="E4" s="69"/>
      <c r="F4" s="30"/>
      <c r="G4" s="30"/>
      <c r="H4" s="30"/>
      <c r="I4" s="61"/>
      <c r="J4" s="69"/>
      <c r="K4" s="61"/>
      <c r="L4" s="52"/>
      <c r="M4" s="61"/>
      <c r="N4" s="69"/>
      <c r="O4" s="30"/>
      <c r="P4" s="52"/>
      <c r="Q4" s="30"/>
      <c r="R4" s="30"/>
      <c r="S4" s="30"/>
      <c r="T4" s="30"/>
      <c r="U4" s="61"/>
      <c r="V4" s="86"/>
      <c r="W4" s="32"/>
      <c r="X4" s="90"/>
      <c r="Y4" s="31"/>
      <c r="Z4" s="31"/>
      <c r="AA4" s="32"/>
      <c r="AB4" s="31"/>
      <c r="AC4" s="33"/>
    </row>
    <row r="5" spans="2:29" s="39" customFormat="1" ht="19" thickBot="1" x14ac:dyDescent="0.25">
      <c r="B5" s="34"/>
      <c r="C5" s="35" t="s">
        <v>35</v>
      </c>
      <c r="D5" s="35"/>
      <c r="E5" s="71"/>
      <c r="F5" s="35"/>
      <c r="G5" s="35"/>
      <c r="H5" s="35"/>
      <c r="I5" s="73"/>
      <c r="J5" s="71"/>
      <c r="K5" s="73"/>
      <c r="L5" s="70"/>
      <c r="M5" s="73"/>
      <c r="N5" s="71"/>
      <c r="O5" s="35"/>
      <c r="P5" s="70"/>
      <c r="Q5" s="35"/>
      <c r="R5" s="35"/>
      <c r="S5" s="35"/>
      <c r="T5" s="35"/>
      <c r="U5" s="73"/>
      <c r="V5" s="86"/>
      <c r="W5" s="32"/>
      <c r="X5" s="90"/>
      <c r="Y5" s="31"/>
      <c r="Z5" s="31"/>
      <c r="AA5" s="32"/>
      <c r="AB5" s="36"/>
      <c r="AC5" s="38"/>
    </row>
    <row r="6" spans="2:29" s="48" customFormat="1" x14ac:dyDescent="0.2">
      <c r="B6" s="40"/>
      <c r="C6" s="41"/>
      <c r="D6" s="13"/>
      <c r="E6" s="18"/>
      <c r="F6" s="42"/>
      <c r="G6" s="43"/>
      <c r="H6" s="43"/>
      <c r="I6" s="43"/>
      <c r="J6" s="84"/>
      <c r="K6" s="43"/>
      <c r="L6" s="43"/>
      <c r="M6" s="18"/>
      <c r="N6" s="17"/>
      <c r="O6" s="13"/>
      <c r="P6" s="17"/>
      <c r="Q6" s="18"/>
      <c r="R6" s="18"/>
      <c r="S6" s="18"/>
      <c r="T6" s="18"/>
      <c r="U6" s="42"/>
      <c r="V6" s="92"/>
      <c r="W6" s="13"/>
      <c r="X6" s="79"/>
      <c r="Y6" s="84"/>
      <c r="Z6" s="79"/>
      <c r="AA6" s="43"/>
      <c r="AB6" s="44"/>
      <c r="AC6" s="47"/>
    </row>
    <row r="7" spans="2:29" s="48" customFormat="1" x14ac:dyDescent="0.2">
      <c r="B7" s="40"/>
      <c r="C7" s="78"/>
      <c r="D7" s="107" t="s">
        <v>97</v>
      </c>
      <c r="E7" s="107"/>
      <c r="F7" s="107"/>
      <c r="G7" s="107"/>
      <c r="H7" s="107"/>
      <c r="I7" s="16"/>
      <c r="J7" s="19"/>
      <c r="K7" s="114" t="s">
        <v>88</v>
      </c>
      <c r="L7" s="50"/>
      <c r="M7" s="50"/>
      <c r="N7" s="85"/>
      <c r="O7" s="114" t="s">
        <v>88</v>
      </c>
      <c r="P7" s="50"/>
      <c r="Q7" s="19"/>
      <c r="R7" s="14"/>
      <c r="S7" s="19" t="s">
        <v>93</v>
      </c>
      <c r="T7" s="14"/>
      <c r="U7" s="19"/>
      <c r="V7" s="53"/>
      <c r="W7" s="114" t="s">
        <v>94</v>
      </c>
      <c r="X7" s="16"/>
      <c r="Y7" s="85"/>
      <c r="Z7" s="80"/>
      <c r="AA7" s="85" t="s">
        <v>95</v>
      </c>
      <c r="AB7" s="51"/>
      <c r="AC7" s="47"/>
    </row>
    <row r="8" spans="2:29" ht="20" x14ac:dyDescent="0.25">
      <c r="B8" s="29"/>
      <c r="C8" s="49"/>
      <c r="D8" s="135" t="s">
        <v>98</v>
      </c>
      <c r="E8" s="136"/>
      <c r="F8" s="135"/>
      <c r="G8" s="135"/>
      <c r="H8" s="135"/>
      <c r="I8" s="14" t="s">
        <v>69</v>
      </c>
      <c r="J8" s="19" t="s">
        <v>42</v>
      </c>
      <c r="K8" s="20">
        <v>58.8</v>
      </c>
      <c r="L8" s="50" t="s">
        <v>5</v>
      </c>
      <c r="M8" s="50" t="s">
        <v>72</v>
      </c>
      <c r="N8" s="85" t="s">
        <v>42</v>
      </c>
      <c r="O8" s="108">
        <f>POWER(10,F39/10)/1000</f>
        <v>758.57757502918423</v>
      </c>
      <c r="P8" s="50" t="s">
        <v>7</v>
      </c>
      <c r="Q8" s="80" t="s">
        <v>11</v>
      </c>
      <c r="R8" s="19" t="s">
        <v>42</v>
      </c>
      <c r="S8" s="110">
        <v>7</v>
      </c>
      <c r="T8" s="16" t="s">
        <v>12</v>
      </c>
      <c r="U8" s="14" t="s">
        <v>70</v>
      </c>
      <c r="V8" s="19" t="s">
        <v>42</v>
      </c>
      <c r="W8" s="22">
        <v>10</v>
      </c>
      <c r="X8" s="54" t="s">
        <v>71</v>
      </c>
      <c r="Y8" s="80" t="s">
        <v>85</v>
      </c>
      <c r="Z8" s="85" t="s">
        <v>42</v>
      </c>
      <c r="AA8" s="109">
        <v>3</v>
      </c>
      <c r="AB8" s="51" t="s">
        <v>14</v>
      </c>
      <c r="AC8" s="33"/>
    </row>
    <row r="9" spans="2:29" ht="20" x14ac:dyDescent="0.25">
      <c r="B9" s="29"/>
      <c r="C9" s="49"/>
      <c r="D9" s="135" t="s">
        <v>99</v>
      </c>
      <c r="E9" s="135"/>
      <c r="F9" s="135"/>
      <c r="G9" s="135"/>
      <c r="H9" s="135"/>
      <c r="I9" s="14" t="s">
        <v>69</v>
      </c>
      <c r="J9" s="19" t="s">
        <v>42</v>
      </c>
      <c r="K9" s="20">
        <v>60</v>
      </c>
      <c r="L9" s="50" t="s">
        <v>5</v>
      </c>
      <c r="M9" s="50" t="s">
        <v>72</v>
      </c>
      <c r="N9" s="85" t="s">
        <v>42</v>
      </c>
      <c r="O9" s="108">
        <f>POWER(10,F40/10)/1000</f>
        <v>1000</v>
      </c>
      <c r="P9" s="50" t="s">
        <v>7</v>
      </c>
      <c r="Q9" s="80" t="s">
        <v>11</v>
      </c>
      <c r="R9" s="19" t="s">
        <v>42</v>
      </c>
      <c r="S9" s="110">
        <v>960</v>
      </c>
      <c r="T9" s="16" t="s">
        <v>12</v>
      </c>
      <c r="U9" s="14" t="s">
        <v>70</v>
      </c>
      <c r="V9" s="19" t="s">
        <v>42</v>
      </c>
      <c r="W9" s="22">
        <v>60</v>
      </c>
      <c r="X9" s="54" t="s">
        <v>71</v>
      </c>
      <c r="Y9" s="80" t="s">
        <v>85</v>
      </c>
      <c r="Z9" s="85" t="s">
        <v>42</v>
      </c>
      <c r="AA9" s="109">
        <v>10</v>
      </c>
      <c r="AB9" s="51" t="s">
        <v>14</v>
      </c>
      <c r="AC9" s="33"/>
    </row>
    <row r="10" spans="2:29" ht="20" x14ac:dyDescent="0.25">
      <c r="B10" s="29"/>
      <c r="C10" s="49"/>
      <c r="D10" s="135" t="s">
        <v>100</v>
      </c>
      <c r="E10" s="135"/>
      <c r="F10" s="135"/>
      <c r="G10" s="135"/>
      <c r="H10" s="135"/>
      <c r="I10" s="14" t="s">
        <v>69</v>
      </c>
      <c r="J10" s="19" t="s">
        <v>42</v>
      </c>
      <c r="K10" s="20">
        <v>29</v>
      </c>
      <c r="L10" s="50" t="s">
        <v>5</v>
      </c>
      <c r="M10" s="50" t="s">
        <v>72</v>
      </c>
      <c r="N10" s="85" t="s">
        <v>42</v>
      </c>
      <c r="O10" s="108">
        <f>POWER(10,F41/10)/1000</f>
        <v>0.79432823472428205</v>
      </c>
      <c r="P10" s="50" t="s">
        <v>7</v>
      </c>
      <c r="Q10" s="80" t="s">
        <v>11</v>
      </c>
      <c r="R10" s="19" t="s">
        <v>42</v>
      </c>
      <c r="S10" s="110">
        <v>860</v>
      </c>
      <c r="T10" s="16" t="s">
        <v>12</v>
      </c>
      <c r="U10" s="14" t="s">
        <v>70</v>
      </c>
      <c r="V10" s="19" t="s">
        <v>42</v>
      </c>
      <c r="W10" s="22">
        <v>10</v>
      </c>
      <c r="X10" s="54" t="s">
        <v>71</v>
      </c>
      <c r="Y10" s="80" t="s">
        <v>85</v>
      </c>
      <c r="Z10" s="85" t="s">
        <v>42</v>
      </c>
      <c r="AA10" s="109">
        <v>0.01</v>
      </c>
      <c r="AB10" s="51" t="s">
        <v>14</v>
      </c>
      <c r="AC10" s="33"/>
    </row>
    <row r="11" spans="2:29" ht="20" x14ac:dyDescent="0.25">
      <c r="B11" s="29"/>
      <c r="C11" s="49"/>
      <c r="D11" s="135" t="s">
        <v>101</v>
      </c>
      <c r="E11" s="135"/>
      <c r="F11" s="135"/>
      <c r="G11" s="135"/>
      <c r="H11" s="135"/>
      <c r="I11" s="14" t="s">
        <v>69</v>
      </c>
      <c r="J11" s="19" t="s">
        <v>42</v>
      </c>
      <c r="K11" s="20">
        <v>24</v>
      </c>
      <c r="L11" s="50" t="s">
        <v>5</v>
      </c>
      <c r="M11" s="50" t="s">
        <v>72</v>
      </c>
      <c r="N11" s="85" t="s">
        <v>42</v>
      </c>
      <c r="O11" s="108">
        <f>POWER(10,F42/10)/1000</f>
        <v>0.25118864315095807</v>
      </c>
      <c r="P11" s="50" t="s">
        <v>7</v>
      </c>
      <c r="Q11" s="80" t="s">
        <v>11</v>
      </c>
      <c r="R11" s="19" t="s">
        <v>42</v>
      </c>
      <c r="S11" s="110">
        <v>1800</v>
      </c>
      <c r="T11" s="16" t="s">
        <v>12</v>
      </c>
      <c r="U11" s="14" t="s">
        <v>70</v>
      </c>
      <c r="V11" s="19" t="s">
        <v>42</v>
      </c>
      <c r="W11" s="22">
        <v>4.2</v>
      </c>
      <c r="X11" s="54" t="s">
        <v>71</v>
      </c>
      <c r="Y11" s="80" t="s">
        <v>85</v>
      </c>
      <c r="Z11" s="85" t="s">
        <v>42</v>
      </c>
      <c r="AA11" s="109">
        <v>0.01</v>
      </c>
      <c r="AB11" s="51" t="s">
        <v>14</v>
      </c>
      <c r="AC11" s="33"/>
    </row>
    <row r="12" spans="2:29" ht="20" x14ac:dyDescent="0.25">
      <c r="B12" s="29"/>
      <c r="C12" s="49"/>
      <c r="D12" s="135" t="s">
        <v>102</v>
      </c>
      <c r="E12" s="135"/>
      <c r="F12" s="135"/>
      <c r="G12" s="135"/>
      <c r="H12" s="135"/>
      <c r="I12" s="14" t="s">
        <v>69</v>
      </c>
      <c r="J12" s="19" t="s">
        <v>42</v>
      </c>
      <c r="K12" s="20">
        <v>120</v>
      </c>
      <c r="L12" s="50" t="s">
        <v>5</v>
      </c>
      <c r="M12" s="50" t="s">
        <v>72</v>
      </c>
      <c r="N12" s="85" t="s">
        <v>42</v>
      </c>
      <c r="O12" s="108">
        <f>POWER(10,F43/10)/1000</f>
        <v>1000000000</v>
      </c>
      <c r="P12" s="50" t="s">
        <v>7</v>
      </c>
      <c r="Q12" s="80" t="s">
        <v>11</v>
      </c>
      <c r="R12" s="19" t="s">
        <v>42</v>
      </c>
      <c r="S12" s="110">
        <v>5700</v>
      </c>
      <c r="T12" s="16" t="s">
        <v>12</v>
      </c>
      <c r="U12" s="14" t="s">
        <v>70</v>
      </c>
      <c r="V12" s="19" t="s">
        <v>42</v>
      </c>
      <c r="W12" s="22">
        <v>0.1</v>
      </c>
      <c r="X12" s="54" t="s">
        <v>71</v>
      </c>
      <c r="Y12" s="80" t="s">
        <v>85</v>
      </c>
      <c r="Z12" s="85" t="s">
        <v>42</v>
      </c>
      <c r="AA12" s="109">
        <v>1000</v>
      </c>
      <c r="AB12" s="51" t="s">
        <v>14</v>
      </c>
      <c r="AC12" s="33"/>
    </row>
    <row r="13" spans="2:29" ht="19" thickBot="1" x14ac:dyDescent="0.25">
      <c r="B13" s="29"/>
      <c r="C13" s="55"/>
      <c r="D13" s="56"/>
      <c r="E13" s="64"/>
      <c r="F13" s="57"/>
      <c r="G13" s="58"/>
      <c r="H13" s="56"/>
      <c r="I13" s="56"/>
      <c r="J13" s="64"/>
      <c r="K13" s="56"/>
      <c r="L13" s="56"/>
      <c r="M13" s="64"/>
      <c r="N13" s="81"/>
      <c r="O13" s="58"/>
      <c r="P13" s="81"/>
      <c r="Q13" s="64"/>
      <c r="R13" s="64"/>
      <c r="S13" s="64"/>
      <c r="T13" s="64"/>
      <c r="U13" s="57"/>
      <c r="V13" s="93"/>
      <c r="W13" s="58"/>
      <c r="X13" s="81"/>
      <c r="Y13" s="64"/>
      <c r="Z13" s="81"/>
      <c r="AA13" s="58"/>
      <c r="AB13" s="59"/>
      <c r="AC13" s="33"/>
    </row>
    <row r="14" spans="2:29" x14ac:dyDescent="0.2">
      <c r="B14" s="29"/>
      <c r="C14" s="31"/>
      <c r="D14" s="31"/>
      <c r="E14" s="31"/>
      <c r="F14" s="31"/>
      <c r="G14" s="31"/>
      <c r="H14" s="31"/>
      <c r="I14" s="31"/>
      <c r="J14" s="86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2"/>
      <c r="AB14" s="31"/>
      <c r="AC14" s="33"/>
    </row>
    <row r="15" spans="2:29" ht="19" thickBot="1" x14ac:dyDescent="0.25">
      <c r="B15" s="29"/>
      <c r="C15" s="35" t="s">
        <v>78</v>
      </c>
      <c r="D15" s="35"/>
      <c r="E15" s="71"/>
      <c r="F15" s="60"/>
      <c r="G15" s="35"/>
      <c r="H15" s="35"/>
      <c r="I15" s="73"/>
      <c r="J15" s="71"/>
      <c r="K15" s="73"/>
      <c r="L15" s="70"/>
      <c r="M15" s="73"/>
      <c r="N15" s="71"/>
      <c r="O15" s="60"/>
      <c r="P15" s="94"/>
      <c r="Q15" s="35"/>
      <c r="R15" s="35"/>
      <c r="S15" s="35"/>
      <c r="T15" s="35"/>
      <c r="U15" s="61"/>
      <c r="V15" s="86"/>
      <c r="W15" s="32"/>
      <c r="X15" s="90"/>
      <c r="Y15" s="31"/>
      <c r="Z15" s="31"/>
      <c r="AA15" s="32"/>
      <c r="AB15" s="31"/>
      <c r="AC15" s="33"/>
    </row>
    <row r="16" spans="2:29" x14ac:dyDescent="0.2">
      <c r="B16" s="29"/>
      <c r="C16" s="41"/>
      <c r="D16" s="13"/>
      <c r="E16" s="18"/>
      <c r="F16" s="42"/>
      <c r="G16" s="43"/>
      <c r="H16" s="43"/>
      <c r="I16" s="79"/>
      <c r="J16" s="18"/>
      <c r="K16" s="17"/>
      <c r="L16" s="44"/>
      <c r="M16" s="73"/>
      <c r="N16" s="71"/>
      <c r="O16" s="60"/>
      <c r="P16" s="94"/>
      <c r="Q16" s="35"/>
      <c r="R16" s="35"/>
      <c r="S16" s="35"/>
      <c r="T16" s="35"/>
      <c r="U16" s="61"/>
      <c r="V16" s="86"/>
      <c r="W16" s="32"/>
      <c r="X16" s="90"/>
      <c r="Y16" s="31"/>
      <c r="Z16" s="31"/>
      <c r="AA16" s="32"/>
      <c r="AB16" s="31"/>
      <c r="AC16" s="33"/>
    </row>
    <row r="17" spans="2:29" x14ac:dyDescent="0.2">
      <c r="B17" s="29"/>
      <c r="C17" s="78"/>
      <c r="D17" s="16"/>
      <c r="E17" s="19"/>
      <c r="F17" s="115" t="s">
        <v>41</v>
      </c>
      <c r="G17" s="50"/>
      <c r="H17" s="50"/>
      <c r="I17" s="80"/>
      <c r="J17" s="19"/>
      <c r="K17" s="115" t="s">
        <v>41</v>
      </c>
      <c r="L17" s="51"/>
      <c r="M17" s="73"/>
      <c r="N17" s="71"/>
      <c r="O17" s="60"/>
      <c r="P17" s="94"/>
      <c r="Q17" s="35"/>
      <c r="R17" s="35"/>
      <c r="S17" s="35"/>
      <c r="T17" s="35"/>
      <c r="U17" s="61"/>
      <c r="V17" s="86"/>
      <c r="W17" s="32"/>
      <c r="X17" s="90"/>
      <c r="Y17" s="31"/>
      <c r="Z17" s="31"/>
      <c r="AA17" s="32"/>
      <c r="AB17" s="31"/>
      <c r="AC17" s="33"/>
    </row>
    <row r="18" spans="2:29" ht="22" x14ac:dyDescent="0.25">
      <c r="B18" s="29"/>
      <c r="C18" s="78"/>
      <c r="D18" s="80" t="s">
        <v>74</v>
      </c>
      <c r="E18" s="19" t="s">
        <v>42</v>
      </c>
      <c r="F18" s="106">
        <f>K74</f>
        <v>6.7072983769198777E-3</v>
      </c>
      <c r="G18" s="16" t="s">
        <v>48</v>
      </c>
      <c r="H18" s="107"/>
      <c r="I18" s="80" t="s">
        <v>74</v>
      </c>
      <c r="J18" s="19" t="s">
        <v>42</v>
      </c>
      <c r="K18" s="106">
        <f>10*F18</f>
        <v>6.7072983769198777E-2</v>
      </c>
      <c r="L18" s="51" t="s">
        <v>46</v>
      </c>
      <c r="M18" s="73"/>
      <c r="N18" s="71"/>
      <c r="O18" s="60"/>
      <c r="P18" s="94"/>
      <c r="Q18" s="35"/>
      <c r="R18" s="35"/>
      <c r="S18" s="35"/>
      <c r="T18" s="35"/>
      <c r="U18" s="61"/>
      <c r="V18" s="86"/>
      <c r="W18" s="32"/>
      <c r="X18" s="90"/>
      <c r="Y18" s="31"/>
      <c r="Z18" s="31"/>
      <c r="AA18" s="32"/>
      <c r="AB18" s="31"/>
      <c r="AC18" s="33"/>
    </row>
    <row r="19" spans="2:29" ht="22" x14ac:dyDescent="0.25">
      <c r="B19" s="29"/>
      <c r="C19" s="78"/>
      <c r="D19" s="80" t="s">
        <v>74</v>
      </c>
      <c r="E19" s="19" t="s">
        <v>42</v>
      </c>
      <c r="F19" s="106">
        <f>K75</f>
        <v>7.9577471545947667E-4</v>
      </c>
      <c r="G19" s="16" t="s">
        <v>48</v>
      </c>
      <c r="H19" s="107"/>
      <c r="I19" s="80" t="s">
        <v>74</v>
      </c>
      <c r="J19" s="19" t="s">
        <v>42</v>
      </c>
      <c r="K19" s="106">
        <f>10*F19</f>
        <v>7.9577471545947669E-3</v>
      </c>
      <c r="L19" s="51" t="s">
        <v>46</v>
      </c>
      <c r="M19" s="73"/>
      <c r="N19" s="71"/>
      <c r="O19" s="60"/>
      <c r="P19" s="94"/>
      <c r="Q19" s="35"/>
      <c r="R19" s="35"/>
      <c r="S19" s="35"/>
      <c r="T19" s="35"/>
      <c r="U19" s="61"/>
      <c r="V19" s="86"/>
      <c r="W19" s="32"/>
      <c r="X19" s="90"/>
      <c r="Y19" s="31"/>
      <c r="Z19" s="31"/>
      <c r="AA19" s="32"/>
      <c r="AB19" s="31"/>
      <c r="AC19" s="33"/>
    </row>
    <row r="20" spans="2:29" ht="22" x14ac:dyDescent="0.25">
      <c r="B20" s="29"/>
      <c r="C20" s="78"/>
      <c r="D20" s="80" t="s">
        <v>74</v>
      </c>
      <c r="E20" s="19" t="s">
        <v>42</v>
      </c>
      <c r="F20" s="106">
        <f>K76</f>
        <v>0.63210632496914387</v>
      </c>
      <c r="G20" s="16" t="s">
        <v>77</v>
      </c>
      <c r="H20" s="107"/>
      <c r="I20" s="80" t="s">
        <v>74</v>
      </c>
      <c r="J20" s="19" t="s">
        <v>42</v>
      </c>
      <c r="K20" s="106">
        <f>10*F20</f>
        <v>6.3210632496914387</v>
      </c>
      <c r="L20" s="51" t="s">
        <v>76</v>
      </c>
      <c r="M20" s="73"/>
      <c r="N20" s="71"/>
      <c r="O20" s="60"/>
      <c r="P20" s="94"/>
      <c r="Q20" s="35"/>
      <c r="R20" s="35"/>
      <c r="S20" s="35"/>
      <c r="T20" s="35"/>
      <c r="U20" s="61"/>
      <c r="V20" s="86"/>
      <c r="W20" s="32"/>
      <c r="X20" s="90"/>
      <c r="Y20" s="31"/>
      <c r="Z20" s="31"/>
      <c r="AA20" s="32"/>
      <c r="AB20" s="31"/>
      <c r="AC20" s="33"/>
    </row>
    <row r="21" spans="2:29" ht="22" x14ac:dyDescent="0.25">
      <c r="B21" s="29"/>
      <c r="C21" s="78"/>
      <c r="D21" s="80" t="s">
        <v>74</v>
      </c>
      <c r="E21" s="19" t="s">
        <v>42</v>
      </c>
      <c r="F21" s="106">
        <f>K77</f>
        <v>0.19988957103010566</v>
      </c>
      <c r="G21" s="16" t="s">
        <v>77</v>
      </c>
      <c r="H21" s="107"/>
      <c r="I21" s="80" t="s">
        <v>74</v>
      </c>
      <c r="J21" s="19" t="s">
        <v>42</v>
      </c>
      <c r="K21" s="106">
        <f>10*F21</f>
        <v>1.9988957103010565</v>
      </c>
      <c r="L21" s="51" t="s">
        <v>76</v>
      </c>
      <c r="M21" s="73"/>
      <c r="N21" s="71"/>
      <c r="O21" s="60"/>
      <c r="P21" s="94"/>
      <c r="Q21" s="35"/>
      <c r="R21" s="35"/>
      <c r="S21" s="35"/>
      <c r="T21" s="35"/>
      <c r="U21" s="61"/>
      <c r="V21" s="86"/>
      <c r="W21" s="32"/>
      <c r="X21" s="90"/>
      <c r="Y21" s="31"/>
      <c r="Z21" s="31"/>
      <c r="AA21" s="32"/>
      <c r="AB21" s="31"/>
      <c r="AC21" s="33"/>
    </row>
    <row r="22" spans="2:29" ht="22" x14ac:dyDescent="0.25">
      <c r="B22" s="29"/>
      <c r="C22" s="78"/>
      <c r="D22" s="80" t="s">
        <v>74</v>
      </c>
      <c r="E22" s="19" t="s">
        <v>42</v>
      </c>
      <c r="F22" s="106">
        <f>K78</f>
        <v>7.9577471545947673E-2</v>
      </c>
      <c r="G22" s="16" t="s">
        <v>77</v>
      </c>
      <c r="H22" s="107"/>
      <c r="I22" s="80" t="s">
        <v>74</v>
      </c>
      <c r="J22" s="19" t="s">
        <v>42</v>
      </c>
      <c r="K22" s="106">
        <f>10*F22</f>
        <v>0.79577471545947676</v>
      </c>
      <c r="L22" s="51" t="s">
        <v>76</v>
      </c>
      <c r="M22" s="73"/>
      <c r="N22" s="71"/>
      <c r="O22" s="60"/>
      <c r="P22" s="94"/>
      <c r="Q22" s="35"/>
      <c r="R22" s="35"/>
      <c r="S22" s="35"/>
      <c r="T22" s="35"/>
      <c r="U22" s="61"/>
      <c r="V22" s="86"/>
      <c r="W22" s="32"/>
      <c r="X22" s="90"/>
      <c r="Y22" s="31"/>
      <c r="Z22" s="31"/>
      <c r="AA22" s="32"/>
      <c r="AB22" s="31"/>
      <c r="AC22" s="33"/>
    </row>
    <row r="23" spans="2:29" ht="19" thickBot="1" x14ac:dyDescent="0.25">
      <c r="B23" s="29"/>
      <c r="C23" s="55"/>
      <c r="D23" s="56"/>
      <c r="E23" s="64"/>
      <c r="F23" s="57"/>
      <c r="G23" s="58"/>
      <c r="H23" s="56"/>
      <c r="I23" s="81"/>
      <c r="J23" s="64"/>
      <c r="K23" s="81"/>
      <c r="L23" s="59"/>
      <c r="M23" s="73"/>
      <c r="N23" s="71"/>
      <c r="O23" s="60"/>
      <c r="P23" s="94"/>
      <c r="Q23" s="35"/>
      <c r="R23" s="35"/>
      <c r="S23" s="35"/>
      <c r="T23" s="35"/>
      <c r="U23" s="61"/>
      <c r="V23" s="86"/>
      <c r="W23" s="32"/>
      <c r="X23" s="90"/>
      <c r="Y23" s="31"/>
      <c r="Z23" s="31"/>
      <c r="AA23" s="32"/>
      <c r="AB23" s="31"/>
      <c r="AC23" s="33"/>
    </row>
    <row r="24" spans="2:29" ht="19" thickBot="1" x14ac:dyDescent="0.25">
      <c r="B24" s="29"/>
      <c r="C24" s="35" t="s">
        <v>84</v>
      </c>
      <c r="D24" s="35"/>
      <c r="E24" s="71"/>
      <c r="F24" s="60"/>
      <c r="G24" s="35"/>
      <c r="H24" s="35"/>
      <c r="I24" s="73"/>
      <c r="J24" s="71"/>
      <c r="K24" s="73"/>
      <c r="L24" s="35"/>
      <c r="M24" s="73"/>
      <c r="N24" s="71"/>
      <c r="O24" s="60"/>
      <c r="P24" s="94"/>
      <c r="Q24" s="35"/>
      <c r="R24" s="35"/>
      <c r="S24" s="35"/>
      <c r="T24" s="35"/>
      <c r="U24" s="61"/>
      <c r="V24" s="86"/>
      <c r="W24" s="32"/>
      <c r="X24" s="90"/>
      <c r="Y24" s="31"/>
      <c r="Z24" s="31"/>
      <c r="AA24" s="32"/>
      <c r="AB24" s="31"/>
      <c r="AC24" s="33"/>
    </row>
    <row r="25" spans="2:29" x14ac:dyDescent="0.2">
      <c r="B25" s="29"/>
      <c r="C25" s="41"/>
      <c r="D25" s="13"/>
      <c r="E25" s="18"/>
      <c r="F25" s="42"/>
      <c r="G25" s="43"/>
      <c r="H25" s="43"/>
      <c r="I25" s="79"/>
      <c r="J25" s="18"/>
      <c r="K25" s="17"/>
      <c r="L25" s="44"/>
      <c r="M25" s="73"/>
      <c r="N25" s="71"/>
      <c r="O25" s="60"/>
      <c r="P25" s="94"/>
      <c r="Q25" s="35"/>
      <c r="R25" s="35"/>
      <c r="S25" s="35"/>
      <c r="T25" s="35"/>
      <c r="U25" s="61"/>
      <c r="V25" s="86"/>
      <c r="W25" s="32"/>
      <c r="X25" s="90"/>
      <c r="Y25" s="31"/>
      <c r="Z25" s="31"/>
      <c r="AA25" s="32"/>
      <c r="AB25" s="31"/>
      <c r="AC25" s="33"/>
    </row>
    <row r="26" spans="2:29" x14ac:dyDescent="0.2">
      <c r="B26" s="29"/>
      <c r="C26" s="78"/>
      <c r="D26" s="16"/>
      <c r="E26" s="19"/>
      <c r="F26" s="115" t="s">
        <v>41</v>
      </c>
      <c r="G26" s="50"/>
      <c r="H26" s="50"/>
      <c r="I26" s="80"/>
      <c r="J26" s="19"/>
      <c r="K26" s="115" t="s">
        <v>41</v>
      </c>
      <c r="L26" s="51"/>
      <c r="M26" s="73"/>
      <c r="N26" s="71"/>
      <c r="O26" s="60"/>
      <c r="P26" s="94"/>
      <c r="Q26" s="35"/>
      <c r="R26" s="35"/>
      <c r="S26" s="35"/>
      <c r="T26" s="35"/>
      <c r="U26" s="61"/>
      <c r="V26" s="86"/>
      <c r="W26" s="32"/>
      <c r="X26" s="90"/>
      <c r="Y26" s="31"/>
      <c r="Z26" s="31"/>
      <c r="AA26" s="32"/>
      <c r="AB26" s="31"/>
      <c r="AC26" s="33"/>
    </row>
    <row r="27" spans="2:29" ht="22" x14ac:dyDescent="0.25">
      <c r="B27" s="29"/>
      <c r="C27" s="78"/>
      <c r="D27" s="80" t="s">
        <v>80</v>
      </c>
      <c r="E27" s="19" t="s">
        <v>42</v>
      </c>
      <c r="F27" s="106">
        <f>$W8*F18/100</f>
        <v>6.7072983769198772E-4</v>
      </c>
      <c r="G27" s="16" t="s">
        <v>48</v>
      </c>
      <c r="H27" s="107"/>
      <c r="I27" s="80" t="s">
        <v>80</v>
      </c>
      <c r="J27" s="19" t="s">
        <v>42</v>
      </c>
      <c r="K27" s="106">
        <f>$W8*K18/100</f>
        <v>6.7072983769198777E-3</v>
      </c>
      <c r="L27" s="51" t="s">
        <v>46</v>
      </c>
      <c r="M27" s="73"/>
      <c r="N27" s="71"/>
      <c r="O27" s="60"/>
      <c r="P27" s="94"/>
      <c r="Q27" s="35"/>
      <c r="R27" s="35"/>
      <c r="S27" s="35"/>
      <c r="T27" s="35"/>
      <c r="U27" s="61"/>
      <c r="V27" s="86"/>
      <c r="W27" s="32"/>
      <c r="X27" s="90"/>
      <c r="Y27" s="31"/>
      <c r="Z27" s="31"/>
      <c r="AA27" s="32"/>
      <c r="AB27" s="31"/>
      <c r="AC27" s="33"/>
    </row>
    <row r="28" spans="2:29" ht="22" x14ac:dyDescent="0.25">
      <c r="B28" s="29"/>
      <c r="C28" s="78"/>
      <c r="D28" s="80" t="s">
        <v>80</v>
      </c>
      <c r="E28" s="19" t="s">
        <v>42</v>
      </c>
      <c r="F28" s="106">
        <f>$W9*F19/100</f>
        <v>4.7746482927568597E-4</v>
      </c>
      <c r="G28" s="16" t="s">
        <v>48</v>
      </c>
      <c r="H28" s="107"/>
      <c r="I28" s="80" t="s">
        <v>80</v>
      </c>
      <c r="J28" s="19" t="s">
        <v>42</v>
      </c>
      <c r="K28" s="106">
        <f>$W9*K19/100</f>
        <v>4.7746482927568598E-3</v>
      </c>
      <c r="L28" s="51" t="s">
        <v>46</v>
      </c>
      <c r="M28" s="73"/>
      <c r="N28" s="71"/>
      <c r="O28" s="60"/>
      <c r="P28" s="94"/>
      <c r="Q28" s="35"/>
      <c r="R28" s="35"/>
      <c r="S28" s="35"/>
      <c r="T28" s="35"/>
      <c r="U28" s="61"/>
      <c r="V28" s="86"/>
      <c r="W28" s="32"/>
      <c r="X28" s="90"/>
      <c r="Y28" s="31"/>
      <c r="Z28" s="31"/>
      <c r="AA28" s="32"/>
      <c r="AB28" s="31"/>
      <c r="AC28" s="33"/>
    </row>
    <row r="29" spans="2:29" ht="22" x14ac:dyDescent="0.25">
      <c r="B29" s="29"/>
      <c r="C29" s="78"/>
      <c r="D29" s="80" t="s">
        <v>80</v>
      </c>
      <c r="E29" s="19" t="s">
        <v>42</v>
      </c>
      <c r="F29" s="106">
        <f>$W10*F20/100</f>
        <v>6.3210632496914387E-2</v>
      </c>
      <c r="G29" s="16" t="s">
        <v>77</v>
      </c>
      <c r="H29" s="107"/>
      <c r="I29" s="80" t="s">
        <v>80</v>
      </c>
      <c r="J29" s="19" t="s">
        <v>42</v>
      </c>
      <c r="K29" s="106">
        <f>$W10*K20/100</f>
        <v>0.63210632496914387</v>
      </c>
      <c r="L29" s="51" t="s">
        <v>76</v>
      </c>
      <c r="M29" s="73"/>
      <c r="N29" s="71"/>
      <c r="O29" s="60"/>
      <c r="P29" s="94"/>
      <c r="Q29" s="35"/>
      <c r="R29" s="35"/>
      <c r="S29" s="35"/>
      <c r="T29" s="35"/>
      <c r="U29" s="61"/>
      <c r="V29" s="86"/>
      <c r="W29" s="32"/>
      <c r="X29" s="90"/>
      <c r="Y29" s="31"/>
      <c r="Z29" s="31"/>
      <c r="AA29" s="32"/>
      <c r="AB29" s="31"/>
      <c r="AC29" s="33"/>
    </row>
    <row r="30" spans="2:29" ht="22" x14ac:dyDescent="0.25">
      <c r="B30" s="29"/>
      <c r="C30" s="78"/>
      <c r="D30" s="80" t="s">
        <v>80</v>
      </c>
      <c r="E30" s="19" t="s">
        <v>42</v>
      </c>
      <c r="F30" s="106">
        <f>$W11*F21/100</f>
        <v>8.3953619832644374E-3</v>
      </c>
      <c r="G30" s="16" t="s">
        <v>77</v>
      </c>
      <c r="H30" s="107"/>
      <c r="I30" s="80" t="s">
        <v>80</v>
      </c>
      <c r="J30" s="19" t="s">
        <v>42</v>
      </c>
      <c r="K30" s="106">
        <f>$W11*K21/100</f>
        <v>8.3953619832644377E-2</v>
      </c>
      <c r="L30" s="51" t="s">
        <v>76</v>
      </c>
      <c r="M30" s="73"/>
      <c r="N30" s="71"/>
      <c r="O30" s="60"/>
      <c r="P30" s="94"/>
      <c r="Q30" s="35"/>
      <c r="R30" s="35"/>
      <c r="S30" s="35"/>
      <c r="T30" s="35"/>
      <c r="U30" s="61"/>
      <c r="V30" s="86"/>
      <c r="W30" s="32"/>
      <c r="X30" s="90"/>
      <c r="Y30" s="31"/>
      <c r="Z30" s="31"/>
      <c r="AA30" s="32"/>
      <c r="AB30" s="31"/>
      <c r="AC30" s="33"/>
    </row>
    <row r="31" spans="2:29" ht="22" x14ac:dyDescent="0.25">
      <c r="B31" s="29"/>
      <c r="C31" s="78"/>
      <c r="D31" s="80" t="s">
        <v>80</v>
      </c>
      <c r="E31" s="19" t="s">
        <v>42</v>
      </c>
      <c r="F31" s="106">
        <f>$W12*F22/100</f>
        <v>7.9577471545947675E-5</v>
      </c>
      <c r="G31" s="16" t="s">
        <v>77</v>
      </c>
      <c r="H31" s="107"/>
      <c r="I31" s="80" t="s">
        <v>80</v>
      </c>
      <c r="J31" s="19" t="s">
        <v>42</v>
      </c>
      <c r="K31" s="106">
        <f>$W12*K22/100</f>
        <v>7.9577471545947689E-4</v>
      </c>
      <c r="L31" s="51" t="s">
        <v>76</v>
      </c>
      <c r="M31" s="73"/>
      <c r="N31" s="71"/>
      <c r="O31" s="60"/>
      <c r="P31" s="94"/>
      <c r="Q31" s="35"/>
      <c r="R31" s="35"/>
      <c r="S31" s="35"/>
      <c r="T31" s="35"/>
      <c r="U31" s="61"/>
      <c r="V31" s="86"/>
      <c r="W31" s="32"/>
      <c r="X31" s="90"/>
      <c r="Y31" s="31"/>
      <c r="Z31" s="31"/>
      <c r="AA31" s="32"/>
      <c r="AB31" s="31"/>
      <c r="AC31" s="33"/>
    </row>
    <row r="32" spans="2:29" ht="19" thickBot="1" x14ac:dyDescent="0.25">
      <c r="B32" s="29"/>
      <c r="C32" s="55"/>
      <c r="D32" s="56"/>
      <c r="E32" s="64"/>
      <c r="F32" s="57"/>
      <c r="G32" s="58"/>
      <c r="H32" s="56"/>
      <c r="I32" s="81"/>
      <c r="J32" s="64"/>
      <c r="K32" s="81"/>
      <c r="L32" s="59"/>
      <c r="M32" s="73"/>
      <c r="N32" s="71"/>
      <c r="O32" s="60"/>
      <c r="P32" s="94"/>
      <c r="Q32" s="35"/>
      <c r="R32" s="35"/>
      <c r="S32" s="35"/>
      <c r="T32" s="35"/>
      <c r="U32" s="61"/>
      <c r="V32" s="86"/>
      <c r="W32" s="32"/>
      <c r="X32" s="90"/>
      <c r="Y32" s="31"/>
      <c r="Z32" s="31"/>
      <c r="AA32" s="32"/>
      <c r="AB32" s="31"/>
      <c r="AC32" s="33"/>
    </row>
    <row r="33" spans="2:29" ht="19" thickBot="1" x14ac:dyDescent="0.25">
      <c r="B33" s="74"/>
      <c r="C33" s="75"/>
      <c r="D33" s="75"/>
      <c r="E33" s="87"/>
      <c r="F33" s="75"/>
      <c r="G33" s="75"/>
      <c r="H33" s="75"/>
      <c r="I33" s="76"/>
      <c r="J33" s="87"/>
      <c r="K33" s="76"/>
      <c r="L33" s="91"/>
      <c r="M33" s="76"/>
      <c r="N33" s="87"/>
      <c r="O33" s="75"/>
      <c r="P33" s="91"/>
      <c r="Q33" s="75"/>
      <c r="R33" s="75"/>
      <c r="S33" s="75"/>
      <c r="T33" s="75"/>
      <c r="U33" s="76"/>
      <c r="V33" s="87"/>
      <c r="W33" s="76"/>
      <c r="X33" s="91"/>
      <c r="Y33" s="75"/>
      <c r="Z33" s="75"/>
      <c r="AA33" s="76"/>
      <c r="AB33" s="75"/>
      <c r="AC33" s="77"/>
    </row>
    <row r="34" spans="2:29" ht="19" thickTop="1" x14ac:dyDescent="0.2"/>
    <row r="37" spans="2:29" s="95" customFormat="1" ht="20" x14ac:dyDescent="0.2">
      <c r="C37" s="95" t="s">
        <v>81</v>
      </c>
      <c r="E37" s="96"/>
      <c r="I37" s="97"/>
      <c r="J37" s="96"/>
      <c r="K37" s="97"/>
      <c r="L37" s="98"/>
      <c r="M37" s="97"/>
      <c r="N37" s="96"/>
      <c r="P37" s="98"/>
      <c r="U37" s="97"/>
      <c r="V37" s="96"/>
      <c r="W37" s="97"/>
      <c r="X37" s="98"/>
      <c r="AA37" s="97"/>
    </row>
    <row r="38" spans="2:29" s="95" customFormat="1" ht="20" x14ac:dyDescent="0.2">
      <c r="E38" s="96"/>
      <c r="I38" s="97"/>
      <c r="J38" s="96"/>
      <c r="K38" s="97"/>
      <c r="L38" s="98"/>
      <c r="M38" s="97"/>
      <c r="N38" s="96"/>
      <c r="P38" s="98"/>
      <c r="U38" s="97"/>
      <c r="V38" s="96"/>
      <c r="W38" s="97"/>
      <c r="X38" s="98"/>
      <c r="AA38" s="97"/>
    </row>
    <row r="39" spans="2:29" s="95" customFormat="1" ht="20" x14ac:dyDescent="0.2">
      <c r="E39" s="96"/>
      <c r="F39" s="95">
        <f>IF(K8=E39,-1000,K8)</f>
        <v>58.8</v>
      </c>
      <c r="I39" s="97"/>
      <c r="J39" s="96"/>
      <c r="K39" s="97"/>
      <c r="L39" s="98"/>
      <c r="M39" s="97"/>
      <c r="N39" s="96"/>
      <c r="P39" s="98"/>
      <c r="U39" s="97"/>
      <c r="V39" s="96"/>
      <c r="W39" s="97"/>
      <c r="X39" s="98"/>
      <c r="AA39" s="97"/>
    </row>
    <row r="40" spans="2:29" s="95" customFormat="1" ht="20" x14ac:dyDescent="0.2">
      <c r="E40" s="96"/>
      <c r="F40" s="95">
        <f>IF(K9=E40,-1000,K9)</f>
        <v>60</v>
      </c>
      <c r="I40" s="97"/>
      <c r="J40" s="96"/>
      <c r="K40" s="97"/>
      <c r="L40" s="98"/>
      <c r="M40" s="97"/>
      <c r="N40" s="96"/>
      <c r="P40" s="98"/>
      <c r="U40" s="97"/>
      <c r="V40" s="96"/>
      <c r="W40" s="97"/>
      <c r="X40" s="98"/>
      <c r="AA40" s="97"/>
    </row>
    <row r="41" spans="2:29" s="95" customFormat="1" ht="20" x14ac:dyDescent="0.2">
      <c r="E41" s="96"/>
      <c r="F41" s="95">
        <f>IF(K10=E41,-1000,K10)</f>
        <v>29</v>
      </c>
      <c r="I41" s="97"/>
      <c r="J41" s="96"/>
      <c r="K41" s="97"/>
      <c r="L41" s="98"/>
      <c r="M41" s="97"/>
      <c r="N41" s="96"/>
      <c r="P41" s="98"/>
      <c r="U41" s="97"/>
      <c r="V41" s="96"/>
      <c r="W41" s="97"/>
      <c r="X41" s="98"/>
      <c r="AA41" s="97"/>
    </row>
    <row r="42" spans="2:29" s="95" customFormat="1" ht="20" x14ac:dyDescent="0.2">
      <c r="E42" s="96"/>
      <c r="F42" s="95">
        <f>IF(K11=E42,-1000,K11)</f>
        <v>24</v>
      </c>
      <c r="I42" s="97"/>
      <c r="J42" s="96"/>
      <c r="K42" s="97"/>
      <c r="L42" s="98"/>
      <c r="M42" s="97"/>
      <c r="N42" s="96"/>
      <c r="P42" s="98"/>
      <c r="U42" s="97"/>
      <c r="V42" s="96"/>
      <c r="W42" s="97"/>
      <c r="X42" s="98"/>
      <c r="AA42" s="97"/>
    </row>
    <row r="43" spans="2:29" s="95" customFormat="1" ht="20" x14ac:dyDescent="0.2">
      <c r="E43" s="96"/>
      <c r="F43" s="95">
        <f>IF(K12=E43,-1000,K12)</f>
        <v>120</v>
      </c>
      <c r="I43" s="97"/>
      <c r="J43" s="96"/>
      <c r="K43" s="97"/>
      <c r="L43" s="98"/>
      <c r="M43" s="97"/>
      <c r="N43" s="96"/>
      <c r="P43" s="98"/>
      <c r="U43" s="97"/>
      <c r="V43" s="96"/>
      <c r="W43" s="97"/>
      <c r="X43" s="98"/>
      <c r="AA43" s="97"/>
    </row>
    <row r="45" spans="2:29" x14ac:dyDescent="0.2">
      <c r="E45" s="23"/>
      <c r="I45" s="23"/>
      <c r="K45" s="23"/>
    </row>
    <row r="46" spans="2:29" ht="20" x14ac:dyDescent="0.2">
      <c r="D46" s="7" t="s">
        <v>65</v>
      </c>
      <c r="E46" s="23"/>
      <c r="F46" s="82"/>
      <c r="I46" s="23"/>
      <c r="K46" s="82"/>
      <c r="L46" s="24"/>
      <c r="M46" s="23"/>
    </row>
    <row r="47" spans="2:29" x14ac:dyDescent="0.2">
      <c r="E47" s="23"/>
      <c r="F47" s="82"/>
      <c r="I47" s="23"/>
      <c r="K47" s="82"/>
      <c r="L47" s="24"/>
      <c r="M47" s="23"/>
    </row>
    <row r="48" spans="2:29" x14ac:dyDescent="0.2">
      <c r="C48" s="24"/>
      <c r="D48" s="24" t="s">
        <v>11</v>
      </c>
      <c r="E48" s="24" t="s">
        <v>15</v>
      </c>
      <c r="F48" s="24" t="s">
        <v>16</v>
      </c>
      <c r="G48" s="24"/>
      <c r="H48" s="24"/>
      <c r="K48" s="24" t="s">
        <v>17</v>
      </c>
      <c r="L48" s="24" t="s">
        <v>18</v>
      </c>
      <c r="M48" s="23"/>
    </row>
    <row r="49" spans="3:13" x14ac:dyDescent="0.2">
      <c r="C49" s="24"/>
      <c r="D49" s="24" t="s">
        <v>12</v>
      </c>
      <c r="E49" s="24" t="s">
        <v>10</v>
      </c>
      <c r="F49" s="24" t="s">
        <v>19</v>
      </c>
      <c r="G49" s="24"/>
      <c r="H49" s="24"/>
      <c r="K49" s="24" t="s">
        <v>20</v>
      </c>
      <c r="L49" s="24" t="s">
        <v>21</v>
      </c>
      <c r="M49" s="23"/>
    </row>
    <row r="50" spans="3:13" x14ac:dyDescent="0.2">
      <c r="C50" s="24"/>
      <c r="D50" s="24">
        <v>0.3</v>
      </c>
      <c r="E50" s="24">
        <v>614</v>
      </c>
      <c r="F50" s="24">
        <v>1.63</v>
      </c>
      <c r="G50" s="24"/>
      <c r="H50" s="24"/>
      <c r="K50" s="24">
        <v>100</v>
      </c>
      <c r="L50" s="24">
        <v>6</v>
      </c>
      <c r="M50" s="23"/>
    </row>
    <row r="51" spans="3:13" x14ac:dyDescent="0.2">
      <c r="C51" s="24"/>
      <c r="D51" s="24">
        <v>3</v>
      </c>
      <c r="E51" s="24">
        <f>1842/D51</f>
        <v>614</v>
      </c>
      <c r="F51" s="24">
        <f>4.89/D51</f>
        <v>1.63</v>
      </c>
      <c r="G51" s="24"/>
      <c r="H51" s="24"/>
      <c r="K51" s="24">
        <f>900/(D51*D51)</f>
        <v>100</v>
      </c>
      <c r="L51" s="24">
        <v>6</v>
      </c>
      <c r="M51" s="23"/>
    </row>
    <row r="52" spans="3:13" x14ac:dyDescent="0.2">
      <c r="C52" s="24"/>
      <c r="D52" s="24">
        <v>30</v>
      </c>
      <c r="E52" s="24">
        <f>1842/D52</f>
        <v>61.4</v>
      </c>
      <c r="F52" s="24">
        <f>4.89/D52</f>
        <v>0.16299999999999998</v>
      </c>
      <c r="G52" s="24"/>
      <c r="H52" s="24"/>
      <c r="K52" s="24">
        <f>900/(D52*D52)</f>
        <v>1</v>
      </c>
      <c r="L52" s="24">
        <v>6</v>
      </c>
      <c r="M52" s="23"/>
    </row>
    <row r="53" spans="3:13" x14ac:dyDescent="0.2">
      <c r="C53" s="24"/>
      <c r="D53" s="24">
        <v>300</v>
      </c>
      <c r="E53" s="24">
        <f>E52</f>
        <v>61.4</v>
      </c>
      <c r="F53" s="24">
        <f>F52</f>
        <v>0.16299999999999998</v>
      </c>
      <c r="G53" s="24"/>
      <c r="H53" s="24"/>
      <c r="K53" s="24">
        <f>D53/300</f>
        <v>1</v>
      </c>
      <c r="L53" s="24">
        <v>6</v>
      </c>
      <c r="M53" s="23"/>
    </row>
    <row r="54" spans="3:13" x14ac:dyDescent="0.2">
      <c r="C54" s="24"/>
      <c r="D54" s="24">
        <v>1500</v>
      </c>
      <c r="E54" s="24"/>
      <c r="F54" s="24"/>
      <c r="G54" s="24"/>
      <c r="H54" s="24"/>
      <c r="K54" s="24">
        <f>D54/300</f>
        <v>5</v>
      </c>
      <c r="L54" s="24">
        <v>6</v>
      </c>
      <c r="M54" s="23"/>
    </row>
    <row r="55" spans="3:13" x14ac:dyDescent="0.2">
      <c r="C55" s="24"/>
      <c r="D55" s="24">
        <v>100000</v>
      </c>
      <c r="E55" s="24"/>
      <c r="F55" s="24"/>
      <c r="G55" s="24"/>
      <c r="H55" s="24"/>
      <c r="K55" s="24">
        <v>5</v>
      </c>
      <c r="L55" s="24">
        <v>6</v>
      </c>
      <c r="M55" s="23"/>
    </row>
    <row r="56" spans="3:13" x14ac:dyDescent="0.2">
      <c r="E56" s="23"/>
      <c r="F56" s="82"/>
      <c r="I56" s="23"/>
      <c r="K56" s="82"/>
      <c r="L56" s="24"/>
      <c r="M56" s="23"/>
    </row>
    <row r="57" spans="3:13" x14ac:dyDescent="0.2">
      <c r="E57" s="23"/>
      <c r="F57" s="82"/>
      <c r="I57" s="23"/>
      <c r="K57" s="82"/>
      <c r="L57" s="24"/>
      <c r="M57" s="23"/>
    </row>
    <row r="58" spans="3:13" ht="20" x14ac:dyDescent="0.2">
      <c r="D58" s="7" t="s">
        <v>66</v>
      </c>
      <c r="E58" s="23"/>
      <c r="F58" s="82"/>
      <c r="I58" s="23"/>
      <c r="K58" s="82"/>
      <c r="L58" s="24"/>
      <c r="M58" s="23"/>
    </row>
    <row r="59" spans="3:13" x14ac:dyDescent="0.2">
      <c r="E59" s="23"/>
      <c r="F59" s="82"/>
      <c r="I59" s="23"/>
      <c r="K59" s="82"/>
      <c r="L59" s="24"/>
      <c r="M59" s="23"/>
    </row>
    <row r="60" spans="3:13" x14ac:dyDescent="0.2">
      <c r="D60" s="24" t="s">
        <v>11</v>
      </c>
      <c r="E60" s="24" t="s">
        <v>15</v>
      </c>
      <c r="F60" s="24" t="s">
        <v>16</v>
      </c>
      <c r="G60" s="24"/>
      <c r="H60" s="24"/>
      <c r="K60" s="24" t="s">
        <v>17</v>
      </c>
      <c r="L60" s="24" t="s">
        <v>18</v>
      </c>
    </row>
    <row r="61" spans="3:13" x14ac:dyDescent="0.2">
      <c r="D61" s="24" t="s">
        <v>12</v>
      </c>
      <c r="E61" s="24" t="s">
        <v>10</v>
      </c>
      <c r="F61" s="24" t="s">
        <v>19</v>
      </c>
      <c r="G61" s="24"/>
      <c r="H61" s="24"/>
      <c r="K61" s="24" t="s">
        <v>20</v>
      </c>
      <c r="L61" s="24" t="s">
        <v>21</v>
      </c>
    </row>
    <row r="62" spans="3:13" x14ac:dyDescent="0.2">
      <c r="D62" s="24">
        <v>0.3</v>
      </c>
      <c r="E62" s="24">
        <v>614</v>
      </c>
      <c r="F62" s="24">
        <v>1.63</v>
      </c>
      <c r="G62" s="24"/>
      <c r="H62" s="24"/>
      <c r="K62" s="24">
        <v>100</v>
      </c>
      <c r="L62" s="24">
        <v>30</v>
      </c>
    </row>
    <row r="63" spans="3:13" x14ac:dyDescent="0.2">
      <c r="D63" s="24">
        <v>1.34</v>
      </c>
      <c r="E63" s="24">
        <f>824/D63</f>
        <v>614.92537313432831</v>
      </c>
      <c r="F63" s="103">
        <f>2.19/D63</f>
        <v>1.6343283582089552</v>
      </c>
      <c r="G63" s="24"/>
      <c r="H63" s="24"/>
      <c r="K63" s="105">
        <f>180/(D63*D63)</f>
        <v>100.24504343951881</v>
      </c>
      <c r="L63" s="24">
        <v>30</v>
      </c>
    </row>
    <row r="64" spans="3:13" x14ac:dyDescent="0.2">
      <c r="D64" s="24">
        <v>30</v>
      </c>
      <c r="E64" s="24">
        <f>824/D64</f>
        <v>27.466666666666665</v>
      </c>
      <c r="F64" s="24">
        <f>0.073</f>
        <v>7.2999999999999995E-2</v>
      </c>
      <c r="G64" s="24"/>
      <c r="H64" s="24"/>
      <c r="K64" s="24">
        <f>180/(D64*D64)</f>
        <v>0.2</v>
      </c>
      <c r="L64" s="24">
        <v>30</v>
      </c>
    </row>
    <row r="65" spans="4:27" x14ac:dyDescent="0.2">
      <c r="D65" s="24">
        <v>300</v>
      </c>
      <c r="E65" s="24">
        <f>E64</f>
        <v>27.466666666666665</v>
      </c>
      <c r="F65" s="24">
        <f>F64</f>
        <v>7.2999999999999995E-2</v>
      </c>
      <c r="G65" s="24"/>
      <c r="H65" s="24"/>
      <c r="K65" s="24">
        <f>D65/1500</f>
        <v>0.2</v>
      </c>
      <c r="L65" s="24">
        <v>30</v>
      </c>
    </row>
    <row r="66" spans="4:27" x14ac:dyDescent="0.2">
      <c r="D66" s="24">
        <v>1500</v>
      </c>
      <c r="E66" s="24"/>
      <c r="F66" s="24"/>
      <c r="G66" s="24"/>
      <c r="H66" s="24"/>
      <c r="K66" s="24">
        <f>D66/1500</f>
        <v>1</v>
      </c>
      <c r="L66" s="24">
        <v>30</v>
      </c>
    </row>
    <row r="67" spans="4:27" x14ac:dyDescent="0.2">
      <c r="D67" s="24">
        <v>100000</v>
      </c>
      <c r="E67" s="24"/>
      <c r="F67" s="24"/>
      <c r="G67" s="24"/>
      <c r="H67" s="24"/>
      <c r="K67" s="24">
        <v>1</v>
      </c>
      <c r="L67" s="24">
        <v>30</v>
      </c>
    </row>
    <row r="68" spans="4:27" x14ac:dyDescent="0.2">
      <c r="D68" s="24"/>
      <c r="E68" s="24"/>
      <c r="F68" s="24"/>
      <c r="G68" s="24"/>
      <c r="H68" s="24"/>
      <c r="L68" s="24"/>
    </row>
    <row r="69" spans="4:27" x14ac:dyDescent="0.2">
      <c r="E69" s="23"/>
      <c r="F69" s="82"/>
      <c r="I69" s="23"/>
      <c r="K69" s="82"/>
      <c r="L69" s="24"/>
      <c r="M69" s="23"/>
    </row>
    <row r="70" spans="4:27" x14ac:dyDescent="0.2">
      <c r="E70" s="23"/>
      <c r="F70" s="82"/>
      <c r="I70" s="23"/>
      <c r="K70" s="82"/>
      <c r="L70" s="24"/>
      <c r="M70" s="88"/>
      <c r="N70" s="24"/>
      <c r="O70" s="82"/>
      <c r="P70" s="23"/>
      <c r="Q70" s="88"/>
      <c r="R70" s="88"/>
      <c r="S70" s="88"/>
      <c r="T70" s="88"/>
    </row>
    <row r="71" spans="4:27" x14ac:dyDescent="0.2">
      <c r="D71" s="23" t="s">
        <v>29</v>
      </c>
      <c r="E71" s="23"/>
      <c r="F71" s="82"/>
      <c r="I71" s="23"/>
      <c r="K71" s="82"/>
      <c r="L71" s="24"/>
      <c r="M71" s="88"/>
      <c r="N71" s="24"/>
      <c r="O71" s="82"/>
      <c r="P71" s="23"/>
      <c r="Q71" s="88"/>
      <c r="R71" s="88"/>
      <c r="S71" s="88"/>
      <c r="T71" s="88"/>
      <c r="W71" s="23"/>
    </row>
    <row r="72" spans="4:27" s="99" customFormat="1" ht="38" x14ac:dyDescent="0.2">
      <c r="D72" s="101" t="s">
        <v>11</v>
      </c>
      <c r="E72" s="101" t="s">
        <v>82</v>
      </c>
      <c r="F72" s="101" t="s">
        <v>23</v>
      </c>
      <c r="G72" s="101" t="s">
        <v>11</v>
      </c>
      <c r="H72" s="101"/>
      <c r="I72" s="101" t="s">
        <v>83</v>
      </c>
      <c r="J72" s="100"/>
      <c r="K72" s="101" t="s">
        <v>73</v>
      </c>
      <c r="L72" s="101" t="s">
        <v>79</v>
      </c>
      <c r="M72" s="101" t="s">
        <v>86</v>
      </c>
      <c r="N72" s="101"/>
      <c r="O72" s="100"/>
      <c r="Q72" s="102"/>
      <c r="R72" s="102"/>
      <c r="S72" s="102"/>
      <c r="T72" s="102"/>
      <c r="U72" s="101"/>
      <c r="V72" s="100"/>
      <c r="X72" s="102"/>
      <c r="AA72" s="101"/>
    </row>
    <row r="73" spans="4:27" s="99" customFormat="1" ht="19" x14ac:dyDescent="0.2">
      <c r="D73" s="101" t="s">
        <v>12</v>
      </c>
      <c r="E73" s="101" t="s">
        <v>5</v>
      </c>
      <c r="F73" s="101" t="s">
        <v>14</v>
      </c>
      <c r="G73" s="101" t="s">
        <v>12</v>
      </c>
      <c r="H73" s="101"/>
      <c r="I73" s="101" t="s">
        <v>7</v>
      </c>
      <c r="J73" s="100"/>
      <c r="K73" s="101" t="s">
        <v>75</v>
      </c>
      <c r="L73" s="101" t="s">
        <v>87</v>
      </c>
      <c r="M73" s="101" t="s">
        <v>14</v>
      </c>
      <c r="N73" s="101"/>
      <c r="O73" s="100"/>
      <c r="Q73" s="102"/>
      <c r="R73" s="102"/>
      <c r="S73" s="102"/>
      <c r="T73" s="102"/>
      <c r="U73" s="101"/>
      <c r="V73" s="100"/>
      <c r="X73" s="102"/>
      <c r="AA73" s="101"/>
    </row>
    <row r="74" spans="4:27" x14ac:dyDescent="0.2">
      <c r="D74" s="24">
        <f>S8</f>
        <v>7</v>
      </c>
      <c r="E74" s="105">
        <f>F39</f>
        <v>58.8</v>
      </c>
      <c r="F74" s="104">
        <f>300/D74</f>
        <v>42.857142857142854</v>
      </c>
      <c r="G74" s="24">
        <f>D74</f>
        <v>7</v>
      </c>
      <c r="H74" s="24"/>
      <c r="I74" s="24">
        <f>POWER(10, E74/10)/1000</f>
        <v>758.57757502918423</v>
      </c>
      <c r="K74" s="104">
        <f>I74/(4*PI() *M74*M74)/1000</f>
        <v>6.7072983769198777E-3</v>
      </c>
      <c r="L74" s="104">
        <f>K74*W8/100</f>
        <v>6.7072983769198772E-4</v>
      </c>
      <c r="M74" s="24">
        <f>AA8</f>
        <v>3</v>
      </c>
      <c r="N74" s="24"/>
      <c r="O74" s="82"/>
      <c r="P74" s="23"/>
      <c r="Q74" s="88"/>
      <c r="R74" s="88"/>
      <c r="S74" s="88"/>
      <c r="T74" s="88"/>
      <c r="W74" s="23"/>
    </row>
    <row r="75" spans="4:27" x14ac:dyDescent="0.2">
      <c r="D75" s="24">
        <f>S9</f>
        <v>960</v>
      </c>
      <c r="E75" s="105">
        <f t="shared" ref="E75:E78" si="0">F40</f>
        <v>60</v>
      </c>
      <c r="F75" s="104">
        <f>300/D75</f>
        <v>0.3125</v>
      </c>
      <c r="G75" s="24">
        <f t="shared" ref="G75:G78" si="1">D75</f>
        <v>960</v>
      </c>
      <c r="H75" s="24"/>
      <c r="I75" s="24">
        <f t="shared" ref="I75:I78" si="2">POWER(10, E75/10)/1000</f>
        <v>1000</v>
      </c>
      <c r="K75" s="104">
        <f>I75/(4*PI() *M75*M75)/1000</f>
        <v>7.9577471545947667E-4</v>
      </c>
      <c r="L75" s="104">
        <f>K75*W9/100</f>
        <v>4.7746482927568597E-4</v>
      </c>
      <c r="M75" s="24">
        <f>AA9</f>
        <v>10</v>
      </c>
      <c r="N75" s="24"/>
      <c r="O75" s="82"/>
      <c r="P75" s="23"/>
      <c r="Q75" s="88"/>
      <c r="R75" s="88"/>
      <c r="S75" s="88"/>
      <c r="T75" s="88"/>
      <c r="W75" s="23"/>
    </row>
    <row r="76" spans="4:27" x14ac:dyDescent="0.2">
      <c r="D76" s="24">
        <f>S10</f>
        <v>860</v>
      </c>
      <c r="E76" s="105">
        <f t="shared" si="0"/>
        <v>29</v>
      </c>
      <c r="F76" s="104">
        <f>300/D76</f>
        <v>0.34883720930232559</v>
      </c>
      <c r="G76" s="24">
        <f t="shared" si="1"/>
        <v>860</v>
      </c>
      <c r="H76" s="24"/>
      <c r="I76" s="24">
        <f t="shared" si="2"/>
        <v>0.79432823472428205</v>
      </c>
      <c r="K76" s="104">
        <f>I76/(4*PI() *M76*M76)/1000</f>
        <v>0.63210632496914387</v>
      </c>
      <c r="L76" s="104">
        <f>K76*W10/100</f>
        <v>6.3210632496914387E-2</v>
      </c>
      <c r="M76" s="24">
        <f>AA10</f>
        <v>0.01</v>
      </c>
      <c r="N76" s="24"/>
      <c r="O76" s="82"/>
      <c r="P76" s="23"/>
      <c r="Q76" s="88"/>
      <c r="R76" s="88"/>
      <c r="S76" s="88"/>
      <c r="T76" s="88"/>
      <c r="W76" s="23"/>
    </row>
    <row r="77" spans="4:27" x14ac:dyDescent="0.2">
      <c r="D77" s="24">
        <f>S11</f>
        <v>1800</v>
      </c>
      <c r="E77" s="105">
        <f t="shared" si="0"/>
        <v>24</v>
      </c>
      <c r="F77" s="104">
        <f>300/D77</f>
        <v>0.16666666666666666</v>
      </c>
      <c r="G77" s="24">
        <f t="shared" si="1"/>
        <v>1800</v>
      </c>
      <c r="H77" s="24"/>
      <c r="I77" s="24">
        <f t="shared" si="2"/>
        <v>0.25118864315095807</v>
      </c>
      <c r="K77" s="104">
        <f>I77/(4*PI() *M77*M77)/1000</f>
        <v>0.19988957103010566</v>
      </c>
      <c r="L77" s="104">
        <f>K77*W11/100</f>
        <v>8.3953619832644374E-3</v>
      </c>
      <c r="M77" s="24">
        <f>AA11</f>
        <v>0.01</v>
      </c>
      <c r="N77" s="24"/>
      <c r="O77" s="82"/>
      <c r="P77" s="23"/>
      <c r="Q77" s="88"/>
      <c r="R77" s="88"/>
      <c r="S77" s="88"/>
      <c r="T77" s="88"/>
      <c r="W77" s="23"/>
    </row>
    <row r="78" spans="4:27" x14ac:dyDescent="0.2">
      <c r="D78" s="24">
        <f>S12</f>
        <v>5700</v>
      </c>
      <c r="E78" s="105">
        <f t="shared" si="0"/>
        <v>120</v>
      </c>
      <c r="F78" s="104">
        <f>300/D78</f>
        <v>5.2631578947368418E-2</v>
      </c>
      <c r="G78" s="24">
        <f t="shared" si="1"/>
        <v>5700</v>
      </c>
      <c r="H78" s="24"/>
      <c r="I78" s="24">
        <f t="shared" si="2"/>
        <v>1000000000</v>
      </c>
      <c r="K78" s="104">
        <f>I78/(4*PI() *M78*M78)/1000</f>
        <v>7.9577471545947673E-2</v>
      </c>
      <c r="L78" s="104">
        <f>K78*W12/100</f>
        <v>7.9577471545947675E-5</v>
      </c>
      <c r="M78" s="24">
        <f>AA12</f>
        <v>1000</v>
      </c>
      <c r="N78" s="24"/>
      <c r="O78" s="82"/>
      <c r="P78" s="23"/>
      <c r="Q78" s="88"/>
      <c r="R78" s="88"/>
      <c r="S78" s="88"/>
      <c r="T78" s="88"/>
      <c r="W78" s="23"/>
    </row>
    <row r="79" spans="4:27" x14ac:dyDescent="0.2">
      <c r="D79" s="24"/>
      <c r="E79" s="105"/>
      <c r="F79" s="104"/>
      <c r="G79" s="24"/>
      <c r="H79" s="24"/>
      <c r="K79" s="104"/>
      <c r="L79" s="104"/>
      <c r="N79" s="24"/>
      <c r="O79" s="82"/>
      <c r="P79" s="23"/>
      <c r="Q79" s="88"/>
      <c r="R79" s="88"/>
      <c r="S79" s="88"/>
      <c r="T79" s="88"/>
      <c r="W79" s="23"/>
    </row>
    <row r="80" spans="4:27" x14ac:dyDescent="0.2">
      <c r="D80" s="24"/>
      <c r="E80" s="24"/>
      <c r="F80" s="104"/>
      <c r="G80" s="24"/>
      <c r="H80" s="24"/>
      <c r="L80" s="24"/>
      <c r="N80" s="24"/>
      <c r="O80" s="82"/>
      <c r="P80" s="23"/>
      <c r="Q80" s="88"/>
      <c r="R80" s="88"/>
      <c r="S80" s="88"/>
      <c r="T80" s="88"/>
      <c r="W80" s="23"/>
    </row>
    <row r="81" spans="4:23" x14ac:dyDescent="0.2">
      <c r="D81" s="24"/>
      <c r="E81" s="24"/>
      <c r="F81" s="104"/>
      <c r="G81" s="24"/>
      <c r="H81" s="24"/>
      <c r="L81" s="24"/>
      <c r="N81" s="24"/>
      <c r="O81" s="82"/>
      <c r="P81" s="23"/>
      <c r="Q81" s="88"/>
      <c r="R81" s="88"/>
      <c r="S81" s="88"/>
      <c r="T81" s="88"/>
      <c r="W81" s="23"/>
    </row>
    <row r="82" spans="4:23" x14ac:dyDescent="0.2">
      <c r="D82" s="24"/>
      <c r="E82" s="24"/>
      <c r="F82" s="104"/>
      <c r="G82" s="24"/>
      <c r="H82" s="24"/>
      <c r="L82" s="24"/>
      <c r="N82" s="24"/>
      <c r="O82" s="82"/>
      <c r="P82" s="23"/>
      <c r="Q82" s="88"/>
      <c r="R82" s="88"/>
      <c r="S82" s="88"/>
      <c r="T82" s="88"/>
      <c r="W82" s="23"/>
    </row>
    <row r="83" spans="4:23" x14ac:dyDescent="0.2">
      <c r="E83" s="23"/>
      <c r="I83" s="23"/>
      <c r="K83" s="23"/>
      <c r="L83" s="23"/>
      <c r="M83" s="23"/>
      <c r="N83" s="23"/>
      <c r="P83" s="23"/>
      <c r="W83" s="23"/>
    </row>
    <row r="84" spans="4:23" x14ac:dyDescent="0.2">
      <c r="E84" s="23"/>
      <c r="F84" s="82"/>
      <c r="I84" s="23"/>
      <c r="K84" s="82"/>
      <c r="L84" s="24"/>
      <c r="M84" s="23"/>
    </row>
    <row r="85" spans="4:23" x14ac:dyDescent="0.2">
      <c r="E85" s="23"/>
      <c r="F85" s="82"/>
      <c r="I85" s="23"/>
      <c r="K85" s="82"/>
      <c r="L85" s="24"/>
      <c r="M85" s="23"/>
    </row>
    <row r="127" spans="5:16" x14ac:dyDescent="0.2">
      <c r="E127" s="23"/>
      <c r="I127" s="23"/>
      <c r="K127" s="23"/>
      <c r="L127" s="23"/>
      <c r="M127" s="23"/>
      <c r="N127" s="23"/>
      <c r="P127" s="23"/>
    </row>
    <row r="128" spans="5:16" x14ac:dyDescent="0.2">
      <c r="E128" s="23"/>
      <c r="I128" s="23"/>
      <c r="K128" s="23"/>
      <c r="L128" s="23"/>
      <c r="M128" s="23"/>
      <c r="N128" s="23"/>
      <c r="P128" s="23"/>
    </row>
    <row r="129" spans="5:16" x14ac:dyDescent="0.2">
      <c r="E129" s="23"/>
      <c r="I129" s="23"/>
      <c r="K129" s="23"/>
      <c r="L129" s="23"/>
      <c r="M129" s="23"/>
      <c r="N129" s="23"/>
      <c r="P129" s="23"/>
    </row>
    <row r="130" spans="5:16" x14ac:dyDescent="0.2">
      <c r="E130" s="23"/>
      <c r="I130" s="23"/>
      <c r="K130" s="23"/>
      <c r="L130" s="23"/>
      <c r="M130" s="23"/>
      <c r="N130" s="23"/>
      <c r="P130" s="23"/>
    </row>
    <row r="131" spans="5:16" x14ac:dyDescent="0.2">
      <c r="E131" s="23"/>
      <c r="I131" s="23"/>
      <c r="K131" s="23"/>
      <c r="L131" s="23"/>
      <c r="M131" s="23"/>
      <c r="N131" s="23"/>
      <c r="P131" s="23"/>
    </row>
    <row r="132" spans="5:16" x14ac:dyDescent="0.2">
      <c r="E132" s="23"/>
      <c r="I132" s="23"/>
      <c r="K132" s="23"/>
      <c r="L132" s="23"/>
      <c r="M132" s="23"/>
      <c r="N132" s="23"/>
      <c r="P132" s="23"/>
    </row>
    <row r="133" spans="5:16" x14ac:dyDescent="0.2">
      <c r="E133" s="23"/>
      <c r="I133" s="23"/>
      <c r="K133" s="23"/>
      <c r="L133" s="23"/>
      <c r="M133" s="23"/>
      <c r="N133" s="23"/>
      <c r="P133" s="23"/>
    </row>
    <row r="134" spans="5:16" x14ac:dyDescent="0.2">
      <c r="E134" s="23"/>
      <c r="I134" s="23"/>
      <c r="K134" s="23"/>
      <c r="L134" s="23"/>
      <c r="M134" s="23"/>
      <c r="N134" s="23"/>
      <c r="P134" s="23"/>
    </row>
    <row r="135" spans="5:16" x14ac:dyDescent="0.2">
      <c r="E135" s="23"/>
      <c r="I135" s="23"/>
      <c r="K135" s="23"/>
      <c r="L135" s="23"/>
      <c r="M135" s="23"/>
      <c r="N135" s="23"/>
      <c r="P135" s="23"/>
    </row>
    <row r="136" spans="5:16" x14ac:dyDescent="0.2">
      <c r="E136" s="23"/>
      <c r="I136" s="23"/>
      <c r="K136" s="23"/>
      <c r="L136" s="23"/>
      <c r="M136" s="23"/>
      <c r="N136" s="23"/>
      <c r="P136" s="23"/>
    </row>
    <row r="137" spans="5:16" x14ac:dyDescent="0.2">
      <c r="E137" s="23"/>
      <c r="I137" s="23"/>
      <c r="K137" s="23"/>
      <c r="L137" s="23"/>
      <c r="M137" s="23"/>
      <c r="N137" s="23"/>
      <c r="P137" s="23"/>
    </row>
  </sheetData>
  <sheetProtection sheet="1" objects="1" scenarios="1" selectLockedCell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8849-09E0-684C-B46C-7ACEC4B2833A}">
  <dimension ref="B1:AA151"/>
  <sheetViews>
    <sheetView zoomScale="140" zoomScaleNormal="140" workbookViewId="0">
      <selection activeCell="F20" sqref="F20"/>
    </sheetView>
  </sheetViews>
  <sheetFormatPr baseColWidth="10" defaultColWidth="11.5" defaultRowHeight="18" x14ac:dyDescent="0.2"/>
  <cols>
    <col min="1" max="1" width="3" style="23" customWidth="1"/>
    <col min="2" max="2" width="3.83203125" style="23" customWidth="1"/>
    <col min="3" max="3" width="2.83203125" style="23" customWidth="1"/>
    <col min="4" max="4" width="11.6640625" style="23" customWidth="1"/>
    <col min="5" max="5" width="8.83203125" style="82" customWidth="1"/>
    <col min="6" max="6" width="15.83203125" style="23" customWidth="1"/>
    <col min="7" max="7" width="10.83203125" style="23" customWidth="1"/>
    <col min="8" max="8" width="7.1640625" style="23" customWidth="1"/>
    <col min="9" max="9" width="8.1640625" style="24" customWidth="1"/>
    <col min="10" max="10" width="4.33203125" style="82" customWidth="1"/>
    <col min="11" max="11" width="13.5" style="24" customWidth="1"/>
    <col min="12" max="12" width="8.6640625" style="88" customWidth="1"/>
    <col min="13" max="13" width="8" style="24" customWidth="1"/>
    <col min="14" max="14" width="5.5" style="82" customWidth="1"/>
    <col min="15" max="15" width="21.33203125" style="23" customWidth="1"/>
    <col min="16" max="16" width="4" style="88" customWidth="1"/>
    <col min="17" max="17" width="4" style="23" customWidth="1"/>
    <col min="18" max="18" width="6" style="23" customWidth="1"/>
    <col min="19" max="19" width="14.1640625" style="23" customWidth="1"/>
    <col min="20" max="20" width="6.33203125" style="23" customWidth="1"/>
    <col min="21" max="21" width="4.5" style="24" customWidth="1"/>
    <col min="22" max="22" width="9.1640625" style="82" customWidth="1"/>
    <col min="23" max="23" width="6.5" style="24" customWidth="1"/>
    <col min="24" max="24" width="27.6640625" style="88" customWidth="1"/>
    <col min="25" max="25" width="3.83203125" style="23" customWidth="1"/>
    <col min="26" max="26" width="12.6640625" style="23" customWidth="1"/>
    <col min="27" max="27" width="3.33203125" style="23" customWidth="1"/>
    <col min="28" max="263" width="11.5" style="23"/>
    <col min="264" max="264" width="7.33203125" style="23" customWidth="1"/>
    <col min="265" max="265" width="7.5" style="23" customWidth="1"/>
    <col min="266" max="266" width="7.6640625" style="23" customWidth="1"/>
    <col min="267" max="267" width="4.5" style="23" customWidth="1"/>
    <col min="268" max="268" width="4.83203125" style="23" customWidth="1"/>
    <col min="269" max="269" width="7" style="23" customWidth="1"/>
    <col min="270" max="270" width="7.5" style="23" customWidth="1"/>
    <col min="271" max="271" width="4.6640625" style="23" customWidth="1"/>
    <col min="272" max="272" width="5.1640625" style="23" customWidth="1"/>
    <col min="273" max="273" width="9.6640625" style="23" customWidth="1"/>
    <col min="274" max="274" width="7.33203125" style="23" customWidth="1"/>
    <col min="275" max="275" width="4.5" style="23" customWidth="1"/>
    <col min="276" max="519" width="11.5" style="23"/>
    <col min="520" max="520" width="7.33203125" style="23" customWidth="1"/>
    <col min="521" max="521" width="7.5" style="23" customWidth="1"/>
    <col min="522" max="522" width="7.6640625" style="23" customWidth="1"/>
    <col min="523" max="523" width="4.5" style="23" customWidth="1"/>
    <col min="524" max="524" width="4.83203125" style="23" customWidth="1"/>
    <col min="525" max="525" width="7" style="23" customWidth="1"/>
    <col min="526" max="526" width="7.5" style="23" customWidth="1"/>
    <col min="527" max="527" width="4.6640625" style="23" customWidth="1"/>
    <col min="528" max="528" width="5.1640625" style="23" customWidth="1"/>
    <col min="529" max="529" width="9.6640625" style="23" customWidth="1"/>
    <col min="530" max="530" width="7.33203125" style="23" customWidth="1"/>
    <col min="531" max="531" width="4.5" style="23" customWidth="1"/>
    <col min="532" max="775" width="11.5" style="23"/>
    <col min="776" max="776" width="7.33203125" style="23" customWidth="1"/>
    <col min="777" max="777" width="7.5" style="23" customWidth="1"/>
    <col min="778" max="778" width="7.6640625" style="23" customWidth="1"/>
    <col min="779" max="779" width="4.5" style="23" customWidth="1"/>
    <col min="780" max="780" width="4.83203125" style="23" customWidth="1"/>
    <col min="781" max="781" width="7" style="23" customWidth="1"/>
    <col min="782" max="782" width="7.5" style="23" customWidth="1"/>
    <col min="783" max="783" width="4.6640625" style="23" customWidth="1"/>
    <col min="784" max="784" width="5.1640625" style="23" customWidth="1"/>
    <col min="785" max="785" width="9.6640625" style="23" customWidth="1"/>
    <col min="786" max="786" width="7.33203125" style="23" customWidth="1"/>
    <col min="787" max="787" width="4.5" style="23" customWidth="1"/>
    <col min="788" max="1031" width="11.5" style="23"/>
    <col min="1032" max="1032" width="7.33203125" style="23" customWidth="1"/>
    <col min="1033" max="1033" width="7.5" style="23" customWidth="1"/>
    <col min="1034" max="1034" width="7.6640625" style="23" customWidth="1"/>
    <col min="1035" max="1035" width="4.5" style="23" customWidth="1"/>
    <col min="1036" max="1036" width="4.83203125" style="23" customWidth="1"/>
    <col min="1037" max="1037" width="7" style="23" customWidth="1"/>
    <col min="1038" max="1038" width="7.5" style="23" customWidth="1"/>
    <col min="1039" max="1039" width="4.6640625" style="23" customWidth="1"/>
    <col min="1040" max="1040" width="5.1640625" style="23" customWidth="1"/>
    <col min="1041" max="1041" width="9.6640625" style="23" customWidth="1"/>
    <col min="1042" max="1042" width="7.33203125" style="23" customWidth="1"/>
    <col min="1043" max="1043" width="4.5" style="23" customWidth="1"/>
    <col min="1044" max="1287" width="11.5" style="23"/>
    <col min="1288" max="1288" width="7.33203125" style="23" customWidth="1"/>
    <col min="1289" max="1289" width="7.5" style="23" customWidth="1"/>
    <col min="1290" max="1290" width="7.6640625" style="23" customWidth="1"/>
    <col min="1291" max="1291" width="4.5" style="23" customWidth="1"/>
    <col min="1292" max="1292" width="4.83203125" style="23" customWidth="1"/>
    <col min="1293" max="1293" width="7" style="23" customWidth="1"/>
    <col min="1294" max="1294" width="7.5" style="23" customWidth="1"/>
    <col min="1295" max="1295" width="4.6640625" style="23" customWidth="1"/>
    <col min="1296" max="1296" width="5.1640625" style="23" customWidth="1"/>
    <col min="1297" max="1297" width="9.6640625" style="23" customWidth="1"/>
    <col min="1298" max="1298" width="7.33203125" style="23" customWidth="1"/>
    <col min="1299" max="1299" width="4.5" style="23" customWidth="1"/>
    <col min="1300" max="1543" width="11.5" style="23"/>
    <col min="1544" max="1544" width="7.33203125" style="23" customWidth="1"/>
    <col min="1545" max="1545" width="7.5" style="23" customWidth="1"/>
    <col min="1546" max="1546" width="7.6640625" style="23" customWidth="1"/>
    <col min="1547" max="1547" width="4.5" style="23" customWidth="1"/>
    <col min="1548" max="1548" width="4.83203125" style="23" customWidth="1"/>
    <col min="1549" max="1549" width="7" style="23" customWidth="1"/>
    <col min="1550" max="1550" width="7.5" style="23" customWidth="1"/>
    <col min="1551" max="1551" width="4.6640625" style="23" customWidth="1"/>
    <col min="1552" max="1552" width="5.1640625" style="23" customWidth="1"/>
    <col min="1553" max="1553" width="9.6640625" style="23" customWidth="1"/>
    <col min="1554" max="1554" width="7.33203125" style="23" customWidth="1"/>
    <col min="1555" max="1555" width="4.5" style="23" customWidth="1"/>
    <col min="1556" max="1799" width="11.5" style="23"/>
    <col min="1800" max="1800" width="7.33203125" style="23" customWidth="1"/>
    <col min="1801" max="1801" width="7.5" style="23" customWidth="1"/>
    <col min="1802" max="1802" width="7.6640625" style="23" customWidth="1"/>
    <col min="1803" max="1803" width="4.5" style="23" customWidth="1"/>
    <col min="1804" max="1804" width="4.83203125" style="23" customWidth="1"/>
    <col min="1805" max="1805" width="7" style="23" customWidth="1"/>
    <col min="1806" max="1806" width="7.5" style="23" customWidth="1"/>
    <col min="1807" max="1807" width="4.6640625" style="23" customWidth="1"/>
    <col min="1808" max="1808" width="5.1640625" style="23" customWidth="1"/>
    <col min="1809" max="1809" width="9.6640625" style="23" customWidth="1"/>
    <col min="1810" max="1810" width="7.33203125" style="23" customWidth="1"/>
    <col min="1811" max="1811" width="4.5" style="23" customWidth="1"/>
    <col min="1812" max="2055" width="11.5" style="23"/>
    <col min="2056" max="2056" width="7.33203125" style="23" customWidth="1"/>
    <col min="2057" max="2057" width="7.5" style="23" customWidth="1"/>
    <col min="2058" max="2058" width="7.6640625" style="23" customWidth="1"/>
    <col min="2059" max="2059" width="4.5" style="23" customWidth="1"/>
    <col min="2060" max="2060" width="4.83203125" style="23" customWidth="1"/>
    <col min="2061" max="2061" width="7" style="23" customWidth="1"/>
    <col min="2062" max="2062" width="7.5" style="23" customWidth="1"/>
    <col min="2063" max="2063" width="4.6640625" style="23" customWidth="1"/>
    <col min="2064" max="2064" width="5.1640625" style="23" customWidth="1"/>
    <col min="2065" max="2065" width="9.6640625" style="23" customWidth="1"/>
    <col min="2066" max="2066" width="7.33203125" style="23" customWidth="1"/>
    <col min="2067" max="2067" width="4.5" style="23" customWidth="1"/>
    <col min="2068" max="2311" width="11.5" style="23"/>
    <col min="2312" max="2312" width="7.33203125" style="23" customWidth="1"/>
    <col min="2313" max="2313" width="7.5" style="23" customWidth="1"/>
    <col min="2314" max="2314" width="7.6640625" style="23" customWidth="1"/>
    <col min="2315" max="2315" width="4.5" style="23" customWidth="1"/>
    <col min="2316" max="2316" width="4.83203125" style="23" customWidth="1"/>
    <col min="2317" max="2317" width="7" style="23" customWidth="1"/>
    <col min="2318" max="2318" width="7.5" style="23" customWidth="1"/>
    <col min="2319" max="2319" width="4.6640625" style="23" customWidth="1"/>
    <col min="2320" max="2320" width="5.1640625" style="23" customWidth="1"/>
    <col min="2321" max="2321" width="9.6640625" style="23" customWidth="1"/>
    <col min="2322" max="2322" width="7.33203125" style="23" customWidth="1"/>
    <col min="2323" max="2323" width="4.5" style="23" customWidth="1"/>
    <col min="2324" max="2567" width="11.5" style="23"/>
    <col min="2568" max="2568" width="7.33203125" style="23" customWidth="1"/>
    <col min="2569" max="2569" width="7.5" style="23" customWidth="1"/>
    <col min="2570" max="2570" width="7.6640625" style="23" customWidth="1"/>
    <col min="2571" max="2571" width="4.5" style="23" customWidth="1"/>
    <col min="2572" max="2572" width="4.83203125" style="23" customWidth="1"/>
    <col min="2573" max="2573" width="7" style="23" customWidth="1"/>
    <col min="2574" max="2574" width="7.5" style="23" customWidth="1"/>
    <col min="2575" max="2575" width="4.6640625" style="23" customWidth="1"/>
    <col min="2576" max="2576" width="5.1640625" style="23" customWidth="1"/>
    <col min="2577" max="2577" width="9.6640625" style="23" customWidth="1"/>
    <col min="2578" max="2578" width="7.33203125" style="23" customWidth="1"/>
    <col min="2579" max="2579" width="4.5" style="23" customWidth="1"/>
    <col min="2580" max="2823" width="11.5" style="23"/>
    <col min="2824" max="2824" width="7.33203125" style="23" customWidth="1"/>
    <col min="2825" max="2825" width="7.5" style="23" customWidth="1"/>
    <col min="2826" max="2826" width="7.6640625" style="23" customWidth="1"/>
    <col min="2827" max="2827" width="4.5" style="23" customWidth="1"/>
    <col min="2828" max="2828" width="4.83203125" style="23" customWidth="1"/>
    <col min="2829" max="2829" width="7" style="23" customWidth="1"/>
    <col min="2830" max="2830" width="7.5" style="23" customWidth="1"/>
    <col min="2831" max="2831" width="4.6640625" style="23" customWidth="1"/>
    <col min="2832" max="2832" width="5.1640625" style="23" customWidth="1"/>
    <col min="2833" max="2833" width="9.6640625" style="23" customWidth="1"/>
    <col min="2834" max="2834" width="7.33203125" style="23" customWidth="1"/>
    <col min="2835" max="2835" width="4.5" style="23" customWidth="1"/>
    <col min="2836" max="3079" width="11.5" style="23"/>
    <col min="3080" max="3080" width="7.33203125" style="23" customWidth="1"/>
    <col min="3081" max="3081" width="7.5" style="23" customWidth="1"/>
    <col min="3082" max="3082" width="7.6640625" style="23" customWidth="1"/>
    <col min="3083" max="3083" width="4.5" style="23" customWidth="1"/>
    <col min="3084" max="3084" width="4.83203125" style="23" customWidth="1"/>
    <col min="3085" max="3085" width="7" style="23" customWidth="1"/>
    <col min="3086" max="3086" width="7.5" style="23" customWidth="1"/>
    <col min="3087" max="3087" width="4.6640625" style="23" customWidth="1"/>
    <col min="3088" max="3088" width="5.1640625" style="23" customWidth="1"/>
    <col min="3089" max="3089" width="9.6640625" style="23" customWidth="1"/>
    <col min="3090" max="3090" width="7.33203125" style="23" customWidth="1"/>
    <col min="3091" max="3091" width="4.5" style="23" customWidth="1"/>
    <col min="3092" max="3335" width="11.5" style="23"/>
    <col min="3336" max="3336" width="7.33203125" style="23" customWidth="1"/>
    <col min="3337" max="3337" width="7.5" style="23" customWidth="1"/>
    <col min="3338" max="3338" width="7.6640625" style="23" customWidth="1"/>
    <col min="3339" max="3339" width="4.5" style="23" customWidth="1"/>
    <col min="3340" max="3340" width="4.83203125" style="23" customWidth="1"/>
    <col min="3341" max="3341" width="7" style="23" customWidth="1"/>
    <col min="3342" max="3342" width="7.5" style="23" customWidth="1"/>
    <col min="3343" max="3343" width="4.6640625" style="23" customWidth="1"/>
    <col min="3344" max="3344" width="5.1640625" style="23" customWidth="1"/>
    <col min="3345" max="3345" width="9.6640625" style="23" customWidth="1"/>
    <col min="3346" max="3346" width="7.33203125" style="23" customWidth="1"/>
    <col min="3347" max="3347" width="4.5" style="23" customWidth="1"/>
    <col min="3348" max="3591" width="11.5" style="23"/>
    <col min="3592" max="3592" width="7.33203125" style="23" customWidth="1"/>
    <col min="3593" max="3593" width="7.5" style="23" customWidth="1"/>
    <col min="3594" max="3594" width="7.6640625" style="23" customWidth="1"/>
    <col min="3595" max="3595" width="4.5" style="23" customWidth="1"/>
    <col min="3596" max="3596" width="4.83203125" style="23" customWidth="1"/>
    <col min="3597" max="3597" width="7" style="23" customWidth="1"/>
    <col min="3598" max="3598" width="7.5" style="23" customWidth="1"/>
    <col min="3599" max="3599" width="4.6640625" style="23" customWidth="1"/>
    <col min="3600" max="3600" width="5.1640625" style="23" customWidth="1"/>
    <col min="3601" max="3601" width="9.6640625" style="23" customWidth="1"/>
    <col min="3602" max="3602" width="7.33203125" style="23" customWidth="1"/>
    <col min="3603" max="3603" width="4.5" style="23" customWidth="1"/>
    <col min="3604" max="3847" width="11.5" style="23"/>
    <col min="3848" max="3848" width="7.33203125" style="23" customWidth="1"/>
    <col min="3849" max="3849" width="7.5" style="23" customWidth="1"/>
    <col min="3850" max="3850" width="7.6640625" style="23" customWidth="1"/>
    <col min="3851" max="3851" width="4.5" style="23" customWidth="1"/>
    <col min="3852" max="3852" width="4.83203125" style="23" customWidth="1"/>
    <col min="3853" max="3853" width="7" style="23" customWidth="1"/>
    <col min="3854" max="3854" width="7.5" style="23" customWidth="1"/>
    <col min="3855" max="3855" width="4.6640625" style="23" customWidth="1"/>
    <col min="3856" max="3856" width="5.1640625" style="23" customWidth="1"/>
    <col min="3857" max="3857" width="9.6640625" style="23" customWidth="1"/>
    <col min="3858" max="3858" width="7.33203125" style="23" customWidth="1"/>
    <col min="3859" max="3859" width="4.5" style="23" customWidth="1"/>
    <col min="3860" max="4103" width="11.5" style="23"/>
    <col min="4104" max="4104" width="7.33203125" style="23" customWidth="1"/>
    <col min="4105" max="4105" width="7.5" style="23" customWidth="1"/>
    <col min="4106" max="4106" width="7.6640625" style="23" customWidth="1"/>
    <col min="4107" max="4107" width="4.5" style="23" customWidth="1"/>
    <col min="4108" max="4108" width="4.83203125" style="23" customWidth="1"/>
    <col min="4109" max="4109" width="7" style="23" customWidth="1"/>
    <col min="4110" max="4110" width="7.5" style="23" customWidth="1"/>
    <col min="4111" max="4111" width="4.6640625" style="23" customWidth="1"/>
    <col min="4112" max="4112" width="5.1640625" style="23" customWidth="1"/>
    <col min="4113" max="4113" width="9.6640625" style="23" customWidth="1"/>
    <col min="4114" max="4114" width="7.33203125" style="23" customWidth="1"/>
    <col min="4115" max="4115" width="4.5" style="23" customWidth="1"/>
    <col min="4116" max="4359" width="11.5" style="23"/>
    <col min="4360" max="4360" width="7.33203125" style="23" customWidth="1"/>
    <col min="4361" max="4361" width="7.5" style="23" customWidth="1"/>
    <col min="4362" max="4362" width="7.6640625" style="23" customWidth="1"/>
    <col min="4363" max="4363" width="4.5" style="23" customWidth="1"/>
    <col min="4364" max="4364" width="4.83203125" style="23" customWidth="1"/>
    <col min="4365" max="4365" width="7" style="23" customWidth="1"/>
    <col min="4366" max="4366" width="7.5" style="23" customWidth="1"/>
    <col min="4367" max="4367" width="4.6640625" style="23" customWidth="1"/>
    <col min="4368" max="4368" width="5.1640625" style="23" customWidth="1"/>
    <col min="4369" max="4369" width="9.6640625" style="23" customWidth="1"/>
    <col min="4370" max="4370" width="7.33203125" style="23" customWidth="1"/>
    <col min="4371" max="4371" width="4.5" style="23" customWidth="1"/>
    <col min="4372" max="4615" width="11.5" style="23"/>
    <col min="4616" max="4616" width="7.33203125" style="23" customWidth="1"/>
    <col min="4617" max="4617" width="7.5" style="23" customWidth="1"/>
    <col min="4618" max="4618" width="7.6640625" style="23" customWidth="1"/>
    <col min="4619" max="4619" width="4.5" style="23" customWidth="1"/>
    <col min="4620" max="4620" width="4.83203125" style="23" customWidth="1"/>
    <col min="4621" max="4621" width="7" style="23" customWidth="1"/>
    <col min="4622" max="4622" width="7.5" style="23" customWidth="1"/>
    <col min="4623" max="4623" width="4.6640625" style="23" customWidth="1"/>
    <col min="4624" max="4624" width="5.1640625" style="23" customWidth="1"/>
    <col min="4625" max="4625" width="9.6640625" style="23" customWidth="1"/>
    <col min="4626" max="4626" width="7.33203125" style="23" customWidth="1"/>
    <col min="4627" max="4627" width="4.5" style="23" customWidth="1"/>
    <col min="4628" max="4871" width="11.5" style="23"/>
    <col min="4872" max="4872" width="7.33203125" style="23" customWidth="1"/>
    <col min="4873" max="4873" width="7.5" style="23" customWidth="1"/>
    <col min="4874" max="4874" width="7.6640625" style="23" customWidth="1"/>
    <col min="4875" max="4875" width="4.5" style="23" customWidth="1"/>
    <col min="4876" max="4876" width="4.83203125" style="23" customWidth="1"/>
    <col min="4877" max="4877" width="7" style="23" customWidth="1"/>
    <col min="4878" max="4878" width="7.5" style="23" customWidth="1"/>
    <col min="4879" max="4879" width="4.6640625" style="23" customWidth="1"/>
    <col min="4880" max="4880" width="5.1640625" style="23" customWidth="1"/>
    <col min="4881" max="4881" width="9.6640625" style="23" customWidth="1"/>
    <col min="4882" max="4882" width="7.33203125" style="23" customWidth="1"/>
    <col min="4883" max="4883" width="4.5" style="23" customWidth="1"/>
    <col min="4884" max="5127" width="11.5" style="23"/>
    <col min="5128" max="5128" width="7.33203125" style="23" customWidth="1"/>
    <col min="5129" max="5129" width="7.5" style="23" customWidth="1"/>
    <col min="5130" max="5130" width="7.6640625" style="23" customWidth="1"/>
    <col min="5131" max="5131" width="4.5" style="23" customWidth="1"/>
    <col min="5132" max="5132" width="4.83203125" style="23" customWidth="1"/>
    <col min="5133" max="5133" width="7" style="23" customWidth="1"/>
    <col min="5134" max="5134" width="7.5" style="23" customWidth="1"/>
    <col min="5135" max="5135" width="4.6640625" style="23" customWidth="1"/>
    <col min="5136" max="5136" width="5.1640625" style="23" customWidth="1"/>
    <col min="5137" max="5137" width="9.6640625" style="23" customWidth="1"/>
    <col min="5138" max="5138" width="7.33203125" style="23" customWidth="1"/>
    <col min="5139" max="5139" width="4.5" style="23" customWidth="1"/>
    <col min="5140" max="5383" width="11.5" style="23"/>
    <col min="5384" max="5384" width="7.33203125" style="23" customWidth="1"/>
    <col min="5385" max="5385" width="7.5" style="23" customWidth="1"/>
    <col min="5386" max="5386" width="7.6640625" style="23" customWidth="1"/>
    <col min="5387" max="5387" width="4.5" style="23" customWidth="1"/>
    <col min="5388" max="5388" width="4.83203125" style="23" customWidth="1"/>
    <col min="5389" max="5389" width="7" style="23" customWidth="1"/>
    <col min="5390" max="5390" width="7.5" style="23" customWidth="1"/>
    <col min="5391" max="5391" width="4.6640625" style="23" customWidth="1"/>
    <col min="5392" max="5392" width="5.1640625" style="23" customWidth="1"/>
    <col min="5393" max="5393" width="9.6640625" style="23" customWidth="1"/>
    <col min="5394" max="5394" width="7.33203125" style="23" customWidth="1"/>
    <col min="5395" max="5395" width="4.5" style="23" customWidth="1"/>
    <col min="5396" max="5639" width="11.5" style="23"/>
    <col min="5640" max="5640" width="7.33203125" style="23" customWidth="1"/>
    <col min="5641" max="5641" width="7.5" style="23" customWidth="1"/>
    <col min="5642" max="5642" width="7.6640625" style="23" customWidth="1"/>
    <col min="5643" max="5643" width="4.5" style="23" customWidth="1"/>
    <col min="5644" max="5644" width="4.83203125" style="23" customWidth="1"/>
    <col min="5645" max="5645" width="7" style="23" customWidth="1"/>
    <col min="5646" max="5646" width="7.5" style="23" customWidth="1"/>
    <col min="5647" max="5647" width="4.6640625" style="23" customWidth="1"/>
    <col min="5648" max="5648" width="5.1640625" style="23" customWidth="1"/>
    <col min="5649" max="5649" width="9.6640625" style="23" customWidth="1"/>
    <col min="5650" max="5650" width="7.33203125" style="23" customWidth="1"/>
    <col min="5651" max="5651" width="4.5" style="23" customWidth="1"/>
    <col min="5652" max="5895" width="11.5" style="23"/>
    <col min="5896" max="5896" width="7.33203125" style="23" customWidth="1"/>
    <col min="5897" max="5897" width="7.5" style="23" customWidth="1"/>
    <col min="5898" max="5898" width="7.6640625" style="23" customWidth="1"/>
    <col min="5899" max="5899" width="4.5" style="23" customWidth="1"/>
    <col min="5900" max="5900" width="4.83203125" style="23" customWidth="1"/>
    <col min="5901" max="5901" width="7" style="23" customWidth="1"/>
    <col min="5902" max="5902" width="7.5" style="23" customWidth="1"/>
    <col min="5903" max="5903" width="4.6640625" style="23" customWidth="1"/>
    <col min="5904" max="5904" width="5.1640625" style="23" customWidth="1"/>
    <col min="5905" max="5905" width="9.6640625" style="23" customWidth="1"/>
    <col min="5906" max="5906" width="7.33203125" style="23" customWidth="1"/>
    <col min="5907" max="5907" width="4.5" style="23" customWidth="1"/>
    <col min="5908" max="6151" width="11.5" style="23"/>
    <col min="6152" max="6152" width="7.33203125" style="23" customWidth="1"/>
    <col min="6153" max="6153" width="7.5" style="23" customWidth="1"/>
    <col min="6154" max="6154" width="7.6640625" style="23" customWidth="1"/>
    <col min="6155" max="6155" width="4.5" style="23" customWidth="1"/>
    <col min="6156" max="6156" width="4.83203125" style="23" customWidth="1"/>
    <col min="6157" max="6157" width="7" style="23" customWidth="1"/>
    <col min="6158" max="6158" width="7.5" style="23" customWidth="1"/>
    <col min="6159" max="6159" width="4.6640625" style="23" customWidth="1"/>
    <col min="6160" max="6160" width="5.1640625" style="23" customWidth="1"/>
    <col min="6161" max="6161" width="9.6640625" style="23" customWidth="1"/>
    <col min="6162" max="6162" width="7.33203125" style="23" customWidth="1"/>
    <col min="6163" max="6163" width="4.5" style="23" customWidth="1"/>
    <col min="6164" max="6407" width="11.5" style="23"/>
    <col min="6408" max="6408" width="7.33203125" style="23" customWidth="1"/>
    <col min="6409" max="6409" width="7.5" style="23" customWidth="1"/>
    <col min="6410" max="6410" width="7.6640625" style="23" customWidth="1"/>
    <col min="6411" max="6411" width="4.5" style="23" customWidth="1"/>
    <col min="6412" max="6412" width="4.83203125" style="23" customWidth="1"/>
    <col min="6413" max="6413" width="7" style="23" customWidth="1"/>
    <col min="6414" max="6414" width="7.5" style="23" customWidth="1"/>
    <col min="6415" max="6415" width="4.6640625" style="23" customWidth="1"/>
    <col min="6416" max="6416" width="5.1640625" style="23" customWidth="1"/>
    <col min="6417" max="6417" width="9.6640625" style="23" customWidth="1"/>
    <col min="6418" max="6418" width="7.33203125" style="23" customWidth="1"/>
    <col min="6419" max="6419" width="4.5" style="23" customWidth="1"/>
    <col min="6420" max="6663" width="11.5" style="23"/>
    <col min="6664" max="6664" width="7.33203125" style="23" customWidth="1"/>
    <col min="6665" max="6665" width="7.5" style="23" customWidth="1"/>
    <col min="6666" max="6666" width="7.6640625" style="23" customWidth="1"/>
    <col min="6667" max="6667" width="4.5" style="23" customWidth="1"/>
    <col min="6668" max="6668" width="4.83203125" style="23" customWidth="1"/>
    <col min="6669" max="6669" width="7" style="23" customWidth="1"/>
    <col min="6670" max="6670" width="7.5" style="23" customWidth="1"/>
    <col min="6671" max="6671" width="4.6640625" style="23" customWidth="1"/>
    <col min="6672" max="6672" width="5.1640625" style="23" customWidth="1"/>
    <col min="6673" max="6673" width="9.6640625" style="23" customWidth="1"/>
    <col min="6674" max="6674" width="7.33203125" style="23" customWidth="1"/>
    <col min="6675" max="6675" width="4.5" style="23" customWidth="1"/>
    <col min="6676" max="6919" width="11.5" style="23"/>
    <col min="6920" max="6920" width="7.33203125" style="23" customWidth="1"/>
    <col min="6921" max="6921" width="7.5" style="23" customWidth="1"/>
    <col min="6922" max="6922" width="7.6640625" style="23" customWidth="1"/>
    <col min="6923" max="6923" width="4.5" style="23" customWidth="1"/>
    <col min="6924" max="6924" width="4.83203125" style="23" customWidth="1"/>
    <col min="6925" max="6925" width="7" style="23" customWidth="1"/>
    <col min="6926" max="6926" width="7.5" style="23" customWidth="1"/>
    <col min="6927" max="6927" width="4.6640625" style="23" customWidth="1"/>
    <col min="6928" max="6928" width="5.1640625" style="23" customWidth="1"/>
    <col min="6929" max="6929" width="9.6640625" style="23" customWidth="1"/>
    <col min="6930" max="6930" width="7.33203125" style="23" customWidth="1"/>
    <col min="6931" max="6931" width="4.5" style="23" customWidth="1"/>
    <col min="6932" max="7175" width="11.5" style="23"/>
    <col min="7176" max="7176" width="7.33203125" style="23" customWidth="1"/>
    <col min="7177" max="7177" width="7.5" style="23" customWidth="1"/>
    <col min="7178" max="7178" width="7.6640625" style="23" customWidth="1"/>
    <col min="7179" max="7179" width="4.5" style="23" customWidth="1"/>
    <col min="7180" max="7180" width="4.83203125" style="23" customWidth="1"/>
    <col min="7181" max="7181" width="7" style="23" customWidth="1"/>
    <col min="7182" max="7182" width="7.5" style="23" customWidth="1"/>
    <col min="7183" max="7183" width="4.6640625" style="23" customWidth="1"/>
    <col min="7184" max="7184" width="5.1640625" style="23" customWidth="1"/>
    <col min="7185" max="7185" width="9.6640625" style="23" customWidth="1"/>
    <col min="7186" max="7186" width="7.33203125" style="23" customWidth="1"/>
    <col min="7187" max="7187" width="4.5" style="23" customWidth="1"/>
    <col min="7188" max="7431" width="11.5" style="23"/>
    <col min="7432" max="7432" width="7.33203125" style="23" customWidth="1"/>
    <col min="7433" max="7433" width="7.5" style="23" customWidth="1"/>
    <col min="7434" max="7434" width="7.6640625" style="23" customWidth="1"/>
    <col min="7435" max="7435" width="4.5" style="23" customWidth="1"/>
    <col min="7436" max="7436" width="4.83203125" style="23" customWidth="1"/>
    <col min="7437" max="7437" width="7" style="23" customWidth="1"/>
    <col min="7438" max="7438" width="7.5" style="23" customWidth="1"/>
    <col min="7439" max="7439" width="4.6640625" style="23" customWidth="1"/>
    <col min="7440" max="7440" width="5.1640625" style="23" customWidth="1"/>
    <col min="7441" max="7441" width="9.6640625" style="23" customWidth="1"/>
    <col min="7442" max="7442" width="7.33203125" style="23" customWidth="1"/>
    <col min="7443" max="7443" width="4.5" style="23" customWidth="1"/>
    <col min="7444" max="7687" width="11.5" style="23"/>
    <col min="7688" max="7688" width="7.33203125" style="23" customWidth="1"/>
    <col min="7689" max="7689" width="7.5" style="23" customWidth="1"/>
    <col min="7690" max="7690" width="7.6640625" style="23" customWidth="1"/>
    <col min="7691" max="7691" width="4.5" style="23" customWidth="1"/>
    <col min="7692" max="7692" width="4.83203125" style="23" customWidth="1"/>
    <col min="7693" max="7693" width="7" style="23" customWidth="1"/>
    <col min="7694" max="7694" width="7.5" style="23" customWidth="1"/>
    <col min="7695" max="7695" width="4.6640625" style="23" customWidth="1"/>
    <col min="7696" max="7696" width="5.1640625" style="23" customWidth="1"/>
    <col min="7697" max="7697" width="9.6640625" style="23" customWidth="1"/>
    <col min="7698" max="7698" width="7.33203125" style="23" customWidth="1"/>
    <col min="7699" max="7699" width="4.5" style="23" customWidth="1"/>
    <col min="7700" max="7943" width="11.5" style="23"/>
    <col min="7944" max="7944" width="7.33203125" style="23" customWidth="1"/>
    <col min="7945" max="7945" width="7.5" style="23" customWidth="1"/>
    <col min="7946" max="7946" width="7.6640625" style="23" customWidth="1"/>
    <col min="7947" max="7947" width="4.5" style="23" customWidth="1"/>
    <col min="7948" max="7948" width="4.83203125" style="23" customWidth="1"/>
    <col min="7949" max="7949" width="7" style="23" customWidth="1"/>
    <col min="7950" max="7950" width="7.5" style="23" customWidth="1"/>
    <col min="7951" max="7951" width="4.6640625" style="23" customWidth="1"/>
    <col min="7952" max="7952" width="5.1640625" style="23" customWidth="1"/>
    <col min="7953" max="7953" width="9.6640625" style="23" customWidth="1"/>
    <col min="7954" max="7954" width="7.33203125" style="23" customWidth="1"/>
    <col min="7955" max="7955" width="4.5" style="23" customWidth="1"/>
    <col min="7956" max="8199" width="11.5" style="23"/>
    <col min="8200" max="8200" width="7.33203125" style="23" customWidth="1"/>
    <col min="8201" max="8201" width="7.5" style="23" customWidth="1"/>
    <col min="8202" max="8202" width="7.6640625" style="23" customWidth="1"/>
    <col min="8203" max="8203" width="4.5" style="23" customWidth="1"/>
    <col min="8204" max="8204" width="4.83203125" style="23" customWidth="1"/>
    <col min="8205" max="8205" width="7" style="23" customWidth="1"/>
    <col min="8206" max="8206" width="7.5" style="23" customWidth="1"/>
    <col min="8207" max="8207" width="4.6640625" style="23" customWidth="1"/>
    <col min="8208" max="8208" width="5.1640625" style="23" customWidth="1"/>
    <col min="8209" max="8209" width="9.6640625" style="23" customWidth="1"/>
    <col min="8210" max="8210" width="7.33203125" style="23" customWidth="1"/>
    <col min="8211" max="8211" width="4.5" style="23" customWidth="1"/>
    <col min="8212" max="8455" width="11.5" style="23"/>
    <col min="8456" max="8456" width="7.33203125" style="23" customWidth="1"/>
    <col min="8457" max="8457" width="7.5" style="23" customWidth="1"/>
    <col min="8458" max="8458" width="7.6640625" style="23" customWidth="1"/>
    <col min="8459" max="8459" width="4.5" style="23" customWidth="1"/>
    <col min="8460" max="8460" width="4.83203125" style="23" customWidth="1"/>
    <col min="8461" max="8461" width="7" style="23" customWidth="1"/>
    <col min="8462" max="8462" width="7.5" style="23" customWidth="1"/>
    <col min="8463" max="8463" width="4.6640625" style="23" customWidth="1"/>
    <col min="8464" max="8464" width="5.1640625" style="23" customWidth="1"/>
    <col min="8465" max="8465" width="9.6640625" style="23" customWidth="1"/>
    <col min="8466" max="8466" width="7.33203125" style="23" customWidth="1"/>
    <col min="8467" max="8467" width="4.5" style="23" customWidth="1"/>
    <col min="8468" max="8711" width="11.5" style="23"/>
    <col min="8712" max="8712" width="7.33203125" style="23" customWidth="1"/>
    <col min="8713" max="8713" width="7.5" style="23" customWidth="1"/>
    <col min="8714" max="8714" width="7.6640625" style="23" customWidth="1"/>
    <col min="8715" max="8715" width="4.5" style="23" customWidth="1"/>
    <col min="8716" max="8716" width="4.83203125" style="23" customWidth="1"/>
    <col min="8717" max="8717" width="7" style="23" customWidth="1"/>
    <col min="8718" max="8718" width="7.5" style="23" customWidth="1"/>
    <col min="8719" max="8719" width="4.6640625" style="23" customWidth="1"/>
    <col min="8720" max="8720" width="5.1640625" style="23" customWidth="1"/>
    <col min="8721" max="8721" width="9.6640625" style="23" customWidth="1"/>
    <col min="8722" max="8722" width="7.33203125" style="23" customWidth="1"/>
    <col min="8723" max="8723" width="4.5" style="23" customWidth="1"/>
    <col min="8724" max="8967" width="11.5" style="23"/>
    <col min="8968" max="8968" width="7.33203125" style="23" customWidth="1"/>
    <col min="8969" max="8969" width="7.5" style="23" customWidth="1"/>
    <col min="8970" max="8970" width="7.6640625" style="23" customWidth="1"/>
    <col min="8971" max="8971" width="4.5" style="23" customWidth="1"/>
    <col min="8972" max="8972" width="4.83203125" style="23" customWidth="1"/>
    <col min="8973" max="8973" width="7" style="23" customWidth="1"/>
    <col min="8974" max="8974" width="7.5" style="23" customWidth="1"/>
    <col min="8975" max="8975" width="4.6640625" style="23" customWidth="1"/>
    <col min="8976" max="8976" width="5.1640625" style="23" customWidth="1"/>
    <col min="8977" max="8977" width="9.6640625" style="23" customWidth="1"/>
    <col min="8978" max="8978" width="7.33203125" style="23" customWidth="1"/>
    <col min="8979" max="8979" width="4.5" style="23" customWidth="1"/>
    <col min="8980" max="9223" width="11.5" style="23"/>
    <col min="9224" max="9224" width="7.33203125" style="23" customWidth="1"/>
    <col min="9225" max="9225" width="7.5" style="23" customWidth="1"/>
    <col min="9226" max="9226" width="7.6640625" style="23" customWidth="1"/>
    <col min="9227" max="9227" width="4.5" style="23" customWidth="1"/>
    <col min="9228" max="9228" width="4.83203125" style="23" customWidth="1"/>
    <col min="9229" max="9229" width="7" style="23" customWidth="1"/>
    <col min="9230" max="9230" width="7.5" style="23" customWidth="1"/>
    <col min="9231" max="9231" width="4.6640625" style="23" customWidth="1"/>
    <col min="9232" max="9232" width="5.1640625" style="23" customWidth="1"/>
    <col min="9233" max="9233" width="9.6640625" style="23" customWidth="1"/>
    <col min="9234" max="9234" width="7.33203125" style="23" customWidth="1"/>
    <col min="9235" max="9235" width="4.5" style="23" customWidth="1"/>
    <col min="9236" max="9479" width="11.5" style="23"/>
    <col min="9480" max="9480" width="7.33203125" style="23" customWidth="1"/>
    <col min="9481" max="9481" width="7.5" style="23" customWidth="1"/>
    <col min="9482" max="9482" width="7.6640625" style="23" customWidth="1"/>
    <col min="9483" max="9483" width="4.5" style="23" customWidth="1"/>
    <col min="9484" max="9484" width="4.83203125" style="23" customWidth="1"/>
    <col min="9485" max="9485" width="7" style="23" customWidth="1"/>
    <col min="9486" max="9486" width="7.5" style="23" customWidth="1"/>
    <col min="9487" max="9487" width="4.6640625" style="23" customWidth="1"/>
    <col min="9488" max="9488" width="5.1640625" style="23" customWidth="1"/>
    <col min="9489" max="9489" width="9.6640625" style="23" customWidth="1"/>
    <col min="9490" max="9490" width="7.33203125" style="23" customWidth="1"/>
    <col min="9491" max="9491" width="4.5" style="23" customWidth="1"/>
    <col min="9492" max="9735" width="11.5" style="23"/>
    <col min="9736" max="9736" width="7.33203125" style="23" customWidth="1"/>
    <col min="9737" max="9737" width="7.5" style="23" customWidth="1"/>
    <col min="9738" max="9738" width="7.6640625" style="23" customWidth="1"/>
    <col min="9739" max="9739" width="4.5" style="23" customWidth="1"/>
    <col min="9740" max="9740" width="4.83203125" style="23" customWidth="1"/>
    <col min="9741" max="9741" width="7" style="23" customWidth="1"/>
    <col min="9742" max="9742" width="7.5" style="23" customWidth="1"/>
    <col min="9743" max="9743" width="4.6640625" style="23" customWidth="1"/>
    <col min="9744" max="9744" width="5.1640625" style="23" customWidth="1"/>
    <col min="9745" max="9745" width="9.6640625" style="23" customWidth="1"/>
    <col min="9746" max="9746" width="7.33203125" style="23" customWidth="1"/>
    <col min="9747" max="9747" width="4.5" style="23" customWidth="1"/>
    <col min="9748" max="9991" width="11.5" style="23"/>
    <col min="9992" max="9992" width="7.33203125" style="23" customWidth="1"/>
    <col min="9993" max="9993" width="7.5" style="23" customWidth="1"/>
    <col min="9994" max="9994" width="7.6640625" style="23" customWidth="1"/>
    <col min="9995" max="9995" width="4.5" style="23" customWidth="1"/>
    <col min="9996" max="9996" width="4.83203125" style="23" customWidth="1"/>
    <col min="9997" max="9997" width="7" style="23" customWidth="1"/>
    <col min="9998" max="9998" width="7.5" style="23" customWidth="1"/>
    <col min="9999" max="9999" width="4.6640625" style="23" customWidth="1"/>
    <col min="10000" max="10000" width="5.1640625" style="23" customWidth="1"/>
    <col min="10001" max="10001" width="9.6640625" style="23" customWidth="1"/>
    <col min="10002" max="10002" width="7.33203125" style="23" customWidth="1"/>
    <col min="10003" max="10003" width="4.5" style="23" customWidth="1"/>
    <col min="10004" max="10247" width="11.5" style="23"/>
    <col min="10248" max="10248" width="7.33203125" style="23" customWidth="1"/>
    <col min="10249" max="10249" width="7.5" style="23" customWidth="1"/>
    <col min="10250" max="10250" width="7.6640625" style="23" customWidth="1"/>
    <col min="10251" max="10251" width="4.5" style="23" customWidth="1"/>
    <col min="10252" max="10252" width="4.83203125" style="23" customWidth="1"/>
    <col min="10253" max="10253" width="7" style="23" customWidth="1"/>
    <col min="10254" max="10254" width="7.5" style="23" customWidth="1"/>
    <col min="10255" max="10255" width="4.6640625" style="23" customWidth="1"/>
    <col min="10256" max="10256" width="5.1640625" style="23" customWidth="1"/>
    <col min="10257" max="10257" width="9.6640625" style="23" customWidth="1"/>
    <col min="10258" max="10258" width="7.33203125" style="23" customWidth="1"/>
    <col min="10259" max="10259" width="4.5" style="23" customWidth="1"/>
    <col min="10260" max="10503" width="11.5" style="23"/>
    <col min="10504" max="10504" width="7.33203125" style="23" customWidth="1"/>
    <col min="10505" max="10505" width="7.5" style="23" customWidth="1"/>
    <col min="10506" max="10506" width="7.6640625" style="23" customWidth="1"/>
    <col min="10507" max="10507" width="4.5" style="23" customWidth="1"/>
    <col min="10508" max="10508" width="4.83203125" style="23" customWidth="1"/>
    <col min="10509" max="10509" width="7" style="23" customWidth="1"/>
    <col min="10510" max="10510" width="7.5" style="23" customWidth="1"/>
    <col min="10511" max="10511" width="4.6640625" style="23" customWidth="1"/>
    <col min="10512" max="10512" width="5.1640625" style="23" customWidth="1"/>
    <col min="10513" max="10513" width="9.6640625" style="23" customWidth="1"/>
    <col min="10514" max="10514" width="7.33203125" style="23" customWidth="1"/>
    <col min="10515" max="10515" width="4.5" style="23" customWidth="1"/>
    <col min="10516" max="10759" width="11.5" style="23"/>
    <col min="10760" max="10760" width="7.33203125" style="23" customWidth="1"/>
    <col min="10761" max="10761" width="7.5" style="23" customWidth="1"/>
    <col min="10762" max="10762" width="7.6640625" style="23" customWidth="1"/>
    <col min="10763" max="10763" width="4.5" style="23" customWidth="1"/>
    <col min="10764" max="10764" width="4.83203125" style="23" customWidth="1"/>
    <col min="10765" max="10765" width="7" style="23" customWidth="1"/>
    <col min="10766" max="10766" width="7.5" style="23" customWidth="1"/>
    <col min="10767" max="10767" width="4.6640625" style="23" customWidth="1"/>
    <col min="10768" max="10768" width="5.1640625" style="23" customWidth="1"/>
    <col min="10769" max="10769" width="9.6640625" style="23" customWidth="1"/>
    <col min="10770" max="10770" width="7.33203125" style="23" customWidth="1"/>
    <col min="10771" max="10771" width="4.5" style="23" customWidth="1"/>
    <col min="10772" max="11015" width="11.5" style="23"/>
    <col min="11016" max="11016" width="7.33203125" style="23" customWidth="1"/>
    <col min="11017" max="11017" width="7.5" style="23" customWidth="1"/>
    <col min="11018" max="11018" width="7.6640625" style="23" customWidth="1"/>
    <col min="11019" max="11019" width="4.5" style="23" customWidth="1"/>
    <col min="11020" max="11020" width="4.83203125" style="23" customWidth="1"/>
    <col min="11021" max="11021" width="7" style="23" customWidth="1"/>
    <col min="11022" max="11022" width="7.5" style="23" customWidth="1"/>
    <col min="11023" max="11023" width="4.6640625" style="23" customWidth="1"/>
    <col min="11024" max="11024" width="5.1640625" style="23" customWidth="1"/>
    <col min="11025" max="11025" width="9.6640625" style="23" customWidth="1"/>
    <col min="11026" max="11026" width="7.33203125" style="23" customWidth="1"/>
    <col min="11027" max="11027" width="4.5" style="23" customWidth="1"/>
    <col min="11028" max="11271" width="11.5" style="23"/>
    <col min="11272" max="11272" width="7.33203125" style="23" customWidth="1"/>
    <col min="11273" max="11273" width="7.5" style="23" customWidth="1"/>
    <col min="11274" max="11274" width="7.6640625" style="23" customWidth="1"/>
    <col min="11275" max="11275" width="4.5" style="23" customWidth="1"/>
    <col min="11276" max="11276" width="4.83203125" style="23" customWidth="1"/>
    <col min="11277" max="11277" width="7" style="23" customWidth="1"/>
    <col min="11278" max="11278" width="7.5" style="23" customWidth="1"/>
    <col min="11279" max="11279" width="4.6640625" style="23" customWidth="1"/>
    <col min="11280" max="11280" width="5.1640625" style="23" customWidth="1"/>
    <col min="11281" max="11281" width="9.6640625" style="23" customWidth="1"/>
    <col min="11282" max="11282" width="7.33203125" style="23" customWidth="1"/>
    <col min="11283" max="11283" width="4.5" style="23" customWidth="1"/>
    <col min="11284" max="11527" width="11.5" style="23"/>
    <col min="11528" max="11528" width="7.33203125" style="23" customWidth="1"/>
    <col min="11529" max="11529" width="7.5" style="23" customWidth="1"/>
    <col min="11530" max="11530" width="7.6640625" style="23" customWidth="1"/>
    <col min="11531" max="11531" width="4.5" style="23" customWidth="1"/>
    <col min="11532" max="11532" width="4.83203125" style="23" customWidth="1"/>
    <col min="11533" max="11533" width="7" style="23" customWidth="1"/>
    <col min="11534" max="11534" width="7.5" style="23" customWidth="1"/>
    <col min="11535" max="11535" width="4.6640625" style="23" customWidth="1"/>
    <col min="11536" max="11536" width="5.1640625" style="23" customWidth="1"/>
    <col min="11537" max="11537" width="9.6640625" style="23" customWidth="1"/>
    <col min="11538" max="11538" width="7.33203125" style="23" customWidth="1"/>
    <col min="11539" max="11539" width="4.5" style="23" customWidth="1"/>
    <col min="11540" max="11783" width="11.5" style="23"/>
    <col min="11784" max="11784" width="7.33203125" style="23" customWidth="1"/>
    <col min="11785" max="11785" width="7.5" style="23" customWidth="1"/>
    <col min="11786" max="11786" width="7.6640625" style="23" customWidth="1"/>
    <col min="11787" max="11787" width="4.5" style="23" customWidth="1"/>
    <col min="11788" max="11788" width="4.83203125" style="23" customWidth="1"/>
    <col min="11789" max="11789" width="7" style="23" customWidth="1"/>
    <col min="11790" max="11790" width="7.5" style="23" customWidth="1"/>
    <col min="11791" max="11791" width="4.6640625" style="23" customWidth="1"/>
    <col min="11792" max="11792" width="5.1640625" style="23" customWidth="1"/>
    <col min="11793" max="11793" width="9.6640625" style="23" customWidth="1"/>
    <col min="11794" max="11794" width="7.33203125" style="23" customWidth="1"/>
    <col min="11795" max="11795" width="4.5" style="23" customWidth="1"/>
    <col min="11796" max="12039" width="11.5" style="23"/>
    <col min="12040" max="12040" width="7.33203125" style="23" customWidth="1"/>
    <col min="12041" max="12041" width="7.5" style="23" customWidth="1"/>
    <col min="12042" max="12042" width="7.6640625" style="23" customWidth="1"/>
    <col min="12043" max="12043" width="4.5" style="23" customWidth="1"/>
    <col min="12044" max="12044" width="4.83203125" style="23" customWidth="1"/>
    <col min="12045" max="12045" width="7" style="23" customWidth="1"/>
    <col min="12046" max="12046" width="7.5" style="23" customWidth="1"/>
    <col min="12047" max="12047" width="4.6640625" style="23" customWidth="1"/>
    <col min="12048" max="12048" width="5.1640625" style="23" customWidth="1"/>
    <col min="12049" max="12049" width="9.6640625" style="23" customWidth="1"/>
    <col min="12050" max="12050" width="7.33203125" style="23" customWidth="1"/>
    <col min="12051" max="12051" width="4.5" style="23" customWidth="1"/>
    <col min="12052" max="12295" width="11.5" style="23"/>
    <col min="12296" max="12296" width="7.33203125" style="23" customWidth="1"/>
    <col min="12297" max="12297" width="7.5" style="23" customWidth="1"/>
    <col min="12298" max="12298" width="7.6640625" style="23" customWidth="1"/>
    <col min="12299" max="12299" width="4.5" style="23" customWidth="1"/>
    <col min="12300" max="12300" width="4.83203125" style="23" customWidth="1"/>
    <col min="12301" max="12301" width="7" style="23" customWidth="1"/>
    <col min="12302" max="12302" width="7.5" style="23" customWidth="1"/>
    <col min="12303" max="12303" width="4.6640625" style="23" customWidth="1"/>
    <col min="12304" max="12304" width="5.1640625" style="23" customWidth="1"/>
    <col min="12305" max="12305" width="9.6640625" style="23" customWidth="1"/>
    <col min="12306" max="12306" width="7.33203125" style="23" customWidth="1"/>
    <col min="12307" max="12307" width="4.5" style="23" customWidth="1"/>
    <col min="12308" max="12551" width="11.5" style="23"/>
    <col min="12552" max="12552" width="7.33203125" style="23" customWidth="1"/>
    <col min="12553" max="12553" width="7.5" style="23" customWidth="1"/>
    <col min="12554" max="12554" width="7.6640625" style="23" customWidth="1"/>
    <col min="12555" max="12555" width="4.5" style="23" customWidth="1"/>
    <col min="12556" max="12556" width="4.83203125" style="23" customWidth="1"/>
    <col min="12557" max="12557" width="7" style="23" customWidth="1"/>
    <col min="12558" max="12558" width="7.5" style="23" customWidth="1"/>
    <col min="12559" max="12559" width="4.6640625" style="23" customWidth="1"/>
    <col min="12560" max="12560" width="5.1640625" style="23" customWidth="1"/>
    <col min="12561" max="12561" width="9.6640625" style="23" customWidth="1"/>
    <col min="12562" max="12562" width="7.33203125" style="23" customWidth="1"/>
    <col min="12563" max="12563" width="4.5" style="23" customWidth="1"/>
    <col min="12564" max="12807" width="11.5" style="23"/>
    <col min="12808" max="12808" width="7.33203125" style="23" customWidth="1"/>
    <col min="12809" max="12809" width="7.5" style="23" customWidth="1"/>
    <col min="12810" max="12810" width="7.6640625" style="23" customWidth="1"/>
    <col min="12811" max="12811" width="4.5" style="23" customWidth="1"/>
    <col min="12812" max="12812" width="4.83203125" style="23" customWidth="1"/>
    <col min="12813" max="12813" width="7" style="23" customWidth="1"/>
    <col min="12814" max="12814" width="7.5" style="23" customWidth="1"/>
    <col min="12815" max="12815" width="4.6640625" style="23" customWidth="1"/>
    <col min="12816" max="12816" width="5.1640625" style="23" customWidth="1"/>
    <col min="12817" max="12817" width="9.6640625" style="23" customWidth="1"/>
    <col min="12818" max="12818" width="7.33203125" style="23" customWidth="1"/>
    <col min="12819" max="12819" width="4.5" style="23" customWidth="1"/>
    <col min="12820" max="13063" width="11.5" style="23"/>
    <col min="13064" max="13064" width="7.33203125" style="23" customWidth="1"/>
    <col min="13065" max="13065" width="7.5" style="23" customWidth="1"/>
    <col min="13066" max="13066" width="7.6640625" style="23" customWidth="1"/>
    <col min="13067" max="13067" width="4.5" style="23" customWidth="1"/>
    <col min="13068" max="13068" width="4.83203125" style="23" customWidth="1"/>
    <col min="13069" max="13069" width="7" style="23" customWidth="1"/>
    <col min="13070" max="13070" width="7.5" style="23" customWidth="1"/>
    <col min="13071" max="13071" width="4.6640625" style="23" customWidth="1"/>
    <col min="13072" max="13072" width="5.1640625" style="23" customWidth="1"/>
    <col min="13073" max="13073" width="9.6640625" style="23" customWidth="1"/>
    <col min="13074" max="13074" width="7.33203125" style="23" customWidth="1"/>
    <col min="13075" max="13075" width="4.5" style="23" customWidth="1"/>
    <col min="13076" max="13319" width="11.5" style="23"/>
    <col min="13320" max="13320" width="7.33203125" style="23" customWidth="1"/>
    <col min="13321" max="13321" width="7.5" style="23" customWidth="1"/>
    <col min="13322" max="13322" width="7.6640625" style="23" customWidth="1"/>
    <col min="13323" max="13323" width="4.5" style="23" customWidth="1"/>
    <col min="13324" max="13324" width="4.83203125" style="23" customWidth="1"/>
    <col min="13325" max="13325" width="7" style="23" customWidth="1"/>
    <col min="13326" max="13326" width="7.5" style="23" customWidth="1"/>
    <col min="13327" max="13327" width="4.6640625" style="23" customWidth="1"/>
    <col min="13328" max="13328" width="5.1640625" style="23" customWidth="1"/>
    <col min="13329" max="13329" width="9.6640625" style="23" customWidth="1"/>
    <col min="13330" max="13330" width="7.33203125" style="23" customWidth="1"/>
    <col min="13331" max="13331" width="4.5" style="23" customWidth="1"/>
    <col min="13332" max="13575" width="11.5" style="23"/>
    <col min="13576" max="13576" width="7.33203125" style="23" customWidth="1"/>
    <col min="13577" max="13577" width="7.5" style="23" customWidth="1"/>
    <col min="13578" max="13578" width="7.6640625" style="23" customWidth="1"/>
    <col min="13579" max="13579" width="4.5" style="23" customWidth="1"/>
    <col min="13580" max="13580" width="4.83203125" style="23" customWidth="1"/>
    <col min="13581" max="13581" width="7" style="23" customWidth="1"/>
    <col min="13582" max="13582" width="7.5" style="23" customWidth="1"/>
    <col min="13583" max="13583" width="4.6640625" style="23" customWidth="1"/>
    <col min="13584" max="13584" width="5.1640625" style="23" customWidth="1"/>
    <col min="13585" max="13585" width="9.6640625" style="23" customWidth="1"/>
    <col min="13586" max="13586" width="7.33203125" style="23" customWidth="1"/>
    <col min="13587" max="13587" width="4.5" style="23" customWidth="1"/>
    <col min="13588" max="13831" width="11.5" style="23"/>
    <col min="13832" max="13832" width="7.33203125" style="23" customWidth="1"/>
    <col min="13833" max="13833" width="7.5" style="23" customWidth="1"/>
    <col min="13834" max="13834" width="7.6640625" style="23" customWidth="1"/>
    <col min="13835" max="13835" width="4.5" style="23" customWidth="1"/>
    <col min="13836" max="13836" width="4.83203125" style="23" customWidth="1"/>
    <col min="13837" max="13837" width="7" style="23" customWidth="1"/>
    <col min="13838" max="13838" width="7.5" style="23" customWidth="1"/>
    <col min="13839" max="13839" width="4.6640625" style="23" customWidth="1"/>
    <col min="13840" max="13840" width="5.1640625" style="23" customWidth="1"/>
    <col min="13841" max="13841" width="9.6640625" style="23" customWidth="1"/>
    <col min="13842" max="13842" width="7.33203125" style="23" customWidth="1"/>
    <col min="13843" max="13843" width="4.5" style="23" customWidth="1"/>
    <col min="13844" max="14087" width="11.5" style="23"/>
    <col min="14088" max="14088" width="7.33203125" style="23" customWidth="1"/>
    <col min="14089" max="14089" width="7.5" style="23" customWidth="1"/>
    <col min="14090" max="14090" width="7.6640625" style="23" customWidth="1"/>
    <col min="14091" max="14091" width="4.5" style="23" customWidth="1"/>
    <col min="14092" max="14092" width="4.83203125" style="23" customWidth="1"/>
    <col min="14093" max="14093" width="7" style="23" customWidth="1"/>
    <col min="14094" max="14094" width="7.5" style="23" customWidth="1"/>
    <col min="14095" max="14095" width="4.6640625" style="23" customWidth="1"/>
    <col min="14096" max="14096" width="5.1640625" style="23" customWidth="1"/>
    <col min="14097" max="14097" width="9.6640625" style="23" customWidth="1"/>
    <col min="14098" max="14098" width="7.33203125" style="23" customWidth="1"/>
    <col min="14099" max="14099" width="4.5" style="23" customWidth="1"/>
    <col min="14100" max="14343" width="11.5" style="23"/>
    <col min="14344" max="14344" width="7.33203125" style="23" customWidth="1"/>
    <col min="14345" max="14345" width="7.5" style="23" customWidth="1"/>
    <col min="14346" max="14346" width="7.6640625" style="23" customWidth="1"/>
    <col min="14347" max="14347" width="4.5" style="23" customWidth="1"/>
    <col min="14348" max="14348" width="4.83203125" style="23" customWidth="1"/>
    <col min="14349" max="14349" width="7" style="23" customWidth="1"/>
    <col min="14350" max="14350" width="7.5" style="23" customWidth="1"/>
    <col min="14351" max="14351" width="4.6640625" style="23" customWidth="1"/>
    <col min="14352" max="14352" width="5.1640625" style="23" customWidth="1"/>
    <col min="14353" max="14353" width="9.6640625" style="23" customWidth="1"/>
    <col min="14354" max="14354" width="7.33203125" style="23" customWidth="1"/>
    <col min="14355" max="14355" width="4.5" style="23" customWidth="1"/>
    <col min="14356" max="14599" width="11.5" style="23"/>
    <col min="14600" max="14600" width="7.33203125" style="23" customWidth="1"/>
    <col min="14601" max="14601" width="7.5" style="23" customWidth="1"/>
    <col min="14602" max="14602" width="7.6640625" style="23" customWidth="1"/>
    <col min="14603" max="14603" width="4.5" style="23" customWidth="1"/>
    <col min="14604" max="14604" width="4.83203125" style="23" customWidth="1"/>
    <col min="14605" max="14605" width="7" style="23" customWidth="1"/>
    <col min="14606" max="14606" width="7.5" style="23" customWidth="1"/>
    <col min="14607" max="14607" width="4.6640625" style="23" customWidth="1"/>
    <col min="14608" max="14608" width="5.1640625" style="23" customWidth="1"/>
    <col min="14609" max="14609" width="9.6640625" style="23" customWidth="1"/>
    <col min="14610" max="14610" width="7.33203125" style="23" customWidth="1"/>
    <col min="14611" max="14611" width="4.5" style="23" customWidth="1"/>
    <col min="14612" max="14855" width="11.5" style="23"/>
    <col min="14856" max="14856" width="7.33203125" style="23" customWidth="1"/>
    <col min="14857" max="14857" width="7.5" style="23" customWidth="1"/>
    <col min="14858" max="14858" width="7.6640625" style="23" customWidth="1"/>
    <col min="14859" max="14859" width="4.5" style="23" customWidth="1"/>
    <col min="14860" max="14860" width="4.83203125" style="23" customWidth="1"/>
    <col min="14861" max="14861" width="7" style="23" customWidth="1"/>
    <col min="14862" max="14862" width="7.5" style="23" customWidth="1"/>
    <col min="14863" max="14863" width="4.6640625" style="23" customWidth="1"/>
    <col min="14864" max="14864" width="5.1640625" style="23" customWidth="1"/>
    <col min="14865" max="14865" width="9.6640625" style="23" customWidth="1"/>
    <col min="14866" max="14866" width="7.33203125" style="23" customWidth="1"/>
    <col min="14867" max="14867" width="4.5" style="23" customWidth="1"/>
    <col min="14868" max="15111" width="11.5" style="23"/>
    <col min="15112" max="15112" width="7.33203125" style="23" customWidth="1"/>
    <col min="15113" max="15113" width="7.5" style="23" customWidth="1"/>
    <col min="15114" max="15114" width="7.6640625" style="23" customWidth="1"/>
    <col min="15115" max="15115" width="4.5" style="23" customWidth="1"/>
    <col min="15116" max="15116" width="4.83203125" style="23" customWidth="1"/>
    <col min="15117" max="15117" width="7" style="23" customWidth="1"/>
    <col min="15118" max="15118" width="7.5" style="23" customWidth="1"/>
    <col min="15119" max="15119" width="4.6640625" style="23" customWidth="1"/>
    <col min="15120" max="15120" width="5.1640625" style="23" customWidth="1"/>
    <col min="15121" max="15121" width="9.6640625" style="23" customWidth="1"/>
    <col min="15122" max="15122" width="7.33203125" style="23" customWidth="1"/>
    <col min="15123" max="15123" width="4.5" style="23" customWidth="1"/>
    <col min="15124" max="15367" width="11.5" style="23"/>
    <col min="15368" max="15368" width="7.33203125" style="23" customWidth="1"/>
    <col min="15369" max="15369" width="7.5" style="23" customWidth="1"/>
    <col min="15370" max="15370" width="7.6640625" style="23" customWidth="1"/>
    <col min="15371" max="15371" width="4.5" style="23" customWidth="1"/>
    <col min="15372" max="15372" width="4.83203125" style="23" customWidth="1"/>
    <col min="15373" max="15373" width="7" style="23" customWidth="1"/>
    <col min="15374" max="15374" width="7.5" style="23" customWidth="1"/>
    <col min="15375" max="15375" width="4.6640625" style="23" customWidth="1"/>
    <col min="15376" max="15376" width="5.1640625" style="23" customWidth="1"/>
    <col min="15377" max="15377" width="9.6640625" style="23" customWidth="1"/>
    <col min="15378" max="15378" width="7.33203125" style="23" customWidth="1"/>
    <col min="15379" max="15379" width="4.5" style="23" customWidth="1"/>
    <col min="15380" max="15623" width="11.5" style="23"/>
    <col min="15624" max="15624" width="7.33203125" style="23" customWidth="1"/>
    <col min="15625" max="15625" width="7.5" style="23" customWidth="1"/>
    <col min="15626" max="15626" width="7.6640625" style="23" customWidth="1"/>
    <col min="15627" max="15627" width="4.5" style="23" customWidth="1"/>
    <col min="15628" max="15628" width="4.83203125" style="23" customWidth="1"/>
    <col min="15629" max="15629" width="7" style="23" customWidth="1"/>
    <col min="15630" max="15630" width="7.5" style="23" customWidth="1"/>
    <col min="15631" max="15631" width="4.6640625" style="23" customWidth="1"/>
    <col min="15632" max="15632" width="5.1640625" style="23" customWidth="1"/>
    <col min="15633" max="15633" width="9.6640625" style="23" customWidth="1"/>
    <col min="15634" max="15634" width="7.33203125" style="23" customWidth="1"/>
    <col min="15635" max="15635" width="4.5" style="23" customWidth="1"/>
    <col min="15636" max="15879" width="11.5" style="23"/>
    <col min="15880" max="15880" width="7.33203125" style="23" customWidth="1"/>
    <col min="15881" max="15881" width="7.5" style="23" customWidth="1"/>
    <col min="15882" max="15882" width="7.6640625" style="23" customWidth="1"/>
    <col min="15883" max="15883" width="4.5" style="23" customWidth="1"/>
    <col min="15884" max="15884" width="4.83203125" style="23" customWidth="1"/>
    <col min="15885" max="15885" width="7" style="23" customWidth="1"/>
    <col min="15886" max="15886" width="7.5" style="23" customWidth="1"/>
    <col min="15887" max="15887" width="4.6640625" style="23" customWidth="1"/>
    <col min="15888" max="15888" width="5.1640625" style="23" customWidth="1"/>
    <col min="15889" max="15889" width="9.6640625" style="23" customWidth="1"/>
    <col min="15890" max="15890" width="7.33203125" style="23" customWidth="1"/>
    <col min="15891" max="15891" width="4.5" style="23" customWidth="1"/>
    <col min="15892" max="16135" width="11.5" style="23"/>
    <col min="16136" max="16136" width="7.33203125" style="23" customWidth="1"/>
    <col min="16137" max="16137" width="7.5" style="23" customWidth="1"/>
    <col min="16138" max="16138" width="7.6640625" style="23" customWidth="1"/>
    <col min="16139" max="16139" width="4.5" style="23" customWidth="1"/>
    <col min="16140" max="16140" width="4.83203125" style="23" customWidth="1"/>
    <col min="16141" max="16141" width="7" style="23" customWidth="1"/>
    <col min="16142" max="16142" width="7.5" style="23" customWidth="1"/>
    <col min="16143" max="16143" width="4.6640625" style="23" customWidth="1"/>
    <col min="16144" max="16144" width="5.1640625" style="23" customWidth="1"/>
    <col min="16145" max="16145" width="9.6640625" style="23" customWidth="1"/>
    <col min="16146" max="16146" width="7.33203125" style="23" customWidth="1"/>
    <col min="16147" max="16147" width="4.5" style="23" customWidth="1"/>
    <col min="16148" max="16384" width="11.5" style="23"/>
  </cols>
  <sheetData>
    <row r="1" spans="2:27" ht="14" customHeight="1" thickBot="1" x14ac:dyDescent="0.25"/>
    <row r="2" spans="2:27" ht="15" customHeight="1" thickTop="1" x14ac:dyDescent="0.2">
      <c r="B2" s="25"/>
      <c r="C2" s="26"/>
      <c r="D2" s="26"/>
      <c r="E2" s="83"/>
      <c r="F2" s="26"/>
      <c r="G2" s="26"/>
      <c r="H2" s="26"/>
      <c r="I2" s="27"/>
      <c r="J2" s="83"/>
      <c r="K2" s="27"/>
      <c r="L2" s="89"/>
      <c r="M2" s="27"/>
      <c r="N2" s="83"/>
      <c r="O2" s="26"/>
      <c r="P2" s="89"/>
      <c r="Q2" s="26"/>
      <c r="R2" s="26"/>
      <c r="S2" s="26"/>
      <c r="T2" s="26"/>
      <c r="U2" s="27"/>
      <c r="V2" s="83"/>
      <c r="W2" s="27"/>
      <c r="X2" s="89"/>
      <c r="Y2" s="26"/>
      <c r="Z2" s="26"/>
      <c r="AA2" s="28"/>
    </row>
    <row r="3" spans="2:27" ht="23" x14ac:dyDescent="0.25">
      <c r="B3" s="29"/>
      <c r="C3" s="111" t="s">
        <v>103</v>
      </c>
      <c r="D3" s="112"/>
      <c r="E3" s="113"/>
      <c r="F3" s="112"/>
      <c r="G3" s="112"/>
      <c r="H3" s="30"/>
      <c r="I3" s="61"/>
      <c r="J3" s="69"/>
      <c r="K3" s="61"/>
      <c r="L3" s="52"/>
      <c r="M3" s="61"/>
      <c r="N3" s="69"/>
      <c r="O3" s="30"/>
      <c r="P3" s="52"/>
      <c r="Q3" s="30"/>
      <c r="R3" s="30"/>
      <c r="S3" s="30"/>
      <c r="T3" s="30"/>
      <c r="U3" s="61"/>
      <c r="V3" s="86"/>
      <c r="W3" s="32"/>
      <c r="X3" s="90"/>
      <c r="Y3" s="31"/>
      <c r="Z3" s="31"/>
      <c r="AA3" s="33"/>
    </row>
    <row r="4" spans="2:27" ht="7" customHeight="1" x14ac:dyDescent="0.2">
      <c r="B4" s="29"/>
      <c r="C4" s="30"/>
      <c r="D4" s="30"/>
      <c r="E4" s="69"/>
      <c r="F4" s="30"/>
      <c r="G4" s="30"/>
      <c r="H4" s="30"/>
      <c r="I4" s="61"/>
      <c r="J4" s="69"/>
      <c r="K4" s="61"/>
      <c r="L4" s="52"/>
      <c r="M4" s="61"/>
      <c r="N4" s="69"/>
      <c r="O4" s="30"/>
      <c r="P4" s="52"/>
      <c r="Q4" s="30"/>
      <c r="R4" s="30"/>
      <c r="S4" s="30"/>
      <c r="T4" s="30"/>
      <c r="U4" s="61"/>
      <c r="V4" s="86"/>
      <c r="W4" s="32"/>
      <c r="X4" s="90"/>
      <c r="Y4" s="31"/>
      <c r="Z4" s="31"/>
      <c r="AA4" s="33"/>
    </row>
    <row r="5" spans="2:27" s="39" customFormat="1" ht="15" customHeight="1" thickBot="1" x14ac:dyDescent="0.25">
      <c r="B5" s="34"/>
      <c r="C5" s="35" t="s">
        <v>35</v>
      </c>
      <c r="D5" s="35"/>
      <c r="E5" s="71"/>
      <c r="F5" s="35"/>
      <c r="G5" s="35"/>
      <c r="H5" s="35"/>
      <c r="I5" s="73"/>
      <c r="J5" s="71"/>
      <c r="K5" s="73"/>
      <c r="L5" s="70"/>
      <c r="M5" s="73"/>
      <c r="N5" s="71"/>
      <c r="O5" s="35"/>
      <c r="P5" s="70"/>
      <c r="Q5" s="35"/>
      <c r="R5" s="35"/>
      <c r="S5" s="35"/>
      <c r="T5" s="35"/>
      <c r="U5" s="73"/>
      <c r="V5" s="86"/>
      <c r="W5" s="32"/>
      <c r="X5" s="90"/>
      <c r="Y5" s="31"/>
      <c r="Z5" s="36"/>
      <c r="AA5" s="38"/>
    </row>
    <row r="6" spans="2:27" s="48" customFormat="1" ht="8" customHeight="1" x14ac:dyDescent="0.2">
      <c r="B6" s="40"/>
      <c r="C6" s="41"/>
      <c r="D6" s="13"/>
      <c r="E6" s="18"/>
      <c r="F6" s="42"/>
      <c r="G6" s="43"/>
      <c r="H6" s="43"/>
      <c r="I6" s="43"/>
      <c r="J6" s="84"/>
      <c r="K6" s="43"/>
      <c r="L6" s="43"/>
      <c r="M6" s="18"/>
      <c r="N6" s="17"/>
      <c r="O6" s="13"/>
      <c r="P6" s="17"/>
      <c r="Q6" s="18"/>
      <c r="R6" s="18"/>
      <c r="S6" s="18"/>
      <c r="T6" s="18"/>
      <c r="U6" s="42"/>
      <c r="V6" s="92"/>
      <c r="W6" s="13"/>
      <c r="X6" s="79"/>
      <c r="Y6" s="84"/>
      <c r="Z6" s="44"/>
      <c r="AA6" s="47"/>
    </row>
    <row r="7" spans="2:27" s="48" customFormat="1" x14ac:dyDescent="0.2">
      <c r="B7" s="40"/>
      <c r="C7" s="78"/>
      <c r="D7" s="107" t="s">
        <v>97</v>
      </c>
      <c r="E7" s="107"/>
      <c r="F7" s="107"/>
      <c r="G7" s="107"/>
      <c r="H7" s="107"/>
      <c r="I7" s="16"/>
      <c r="J7" s="19"/>
      <c r="K7" s="114" t="s">
        <v>88</v>
      </c>
      <c r="L7" s="50"/>
      <c r="M7" s="50"/>
      <c r="N7" s="85"/>
      <c r="O7" s="114" t="s">
        <v>88</v>
      </c>
      <c r="P7" s="50"/>
      <c r="Q7" s="19"/>
      <c r="R7" s="14"/>
      <c r="S7" s="19" t="s">
        <v>93</v>
      </c>
      <c r="T7" s="14"/>
      <c r="U7" s="19"/>
      <c r="V7" s="85"/>
      <c r="W7" s="80"/>
      <c r="X7" s="85" t="s">
        <v>95</v>
      </c>
      <c r="Y7" s="14"/>
      <c r="Z7" s="51"/>
      <c r="AA7" s="47"/>
    </row>
    <row r="8" spans="2:27" ht="20" x14ac:dyDescent="0.25">
      <c r="B8" s="29"/>
      <c r="C8" s="49"/>
      <c r="D8" s="135" t="s">
        <v>130</v>
      </c>
      <c r="E8" s="136"/>
      <c r="F8" s="135"/>
      <c r="G8" s="135"/>
      <c r="H8" s="135"/>
      <c r="I8" s="14" t="s">
        <v>69</v>
      </c>
      <c r="J8" s="19" t="s">
        <v>42</v>
      </c>
      <c r="K8" s="20"/>
      <c r="L8" s="50" t="s">
        <v>5</v>
      </c>
      <c r="M8" s="50" t="s">
        <v>72</v>
      </c>
      <c r="N8" s="85" t="s">
        <v>42</v>
      </c>
      <c r="O8" s="108">
        <f>POWER(10,F46/10)/1000</f>
        <v>0</v>
      </c>
      <c r="P8" s="50" t="s">
        <v>7</v>
      </c>
      <c r="Q8" s="80" t="s">
        <v>11</v>
      </c>
      <c r="R8" s="19" t="s">
        <v>42</v>
      </c>
      <c r="S8" s="110">
        <v>7</v>
      </c>
      <c r="T8" s="16" t="s">
        <v>12</v>
      </c>
      <c r="U8" s="14"/>
      <c r="V8" s="80" t="s">
        <v>85</v>
      </c>
      <c r="W8" s="85" t="s">
        <v>42</v>
      </c>
      <c r="X8" s="109">
        <v>10000</v>
      </c>
      <c r="Y8" s="16" t="s">
        <v>14</v>
      </c>
      <c r="Z8" s="51"/>
      <c r="AA8" s="33"/>
    </row>
    <row r="9" spans="2:27" ht="20" x14ac:dyDescent="0.25">
      <c r="B9" s="29"/>
      <c r="C9" s="49"/>
      <c r="D9" s="135" t="s">
        <v>131</v>
      </c>
      <c r="E9" s="135"/>
      <c r="F9" s="135"/>
      <c r="G9" s="135"/>
      <c r="H9" s="135"/>
      <c r="I9" s="14" t="s">
        <v>69</v>
      </c>
      <c r="J9" s="19" t="s">
        <v>42</v>
      </c>
      <c r="K9" s="20"/>
      <c r="L9" s="50" t="s">
        <v>5</v>
      </c>
      <c r="M9" s="50" t="s">
        <v>72</v>
      </c>
      <c r="N9" s="85" t="s">
        <v>42</v>
      </c>
      <c r="O9" s="108">
        <f>POWER(10,F47/10)/1000</f>
        <v>0</v>
      </c>
      <c r="P9" s="50" t="s">
        <v>7</v>
      </c>
      <c r="Q9" s="80" t="s">
        <v>11</v>
      </c>
      <c r="R9" s="19" t="s">
        <v>42</v>
      </c>
      <c r="S9" s="110">
        <v>900</v>
      </c>
      <c r="T9" s="16" t="s">
        <v>12</v>
      </c>
      <c r="U9" s="14"/>
      <c r="V9" s="80" t="s">
        <v>85</v>
      </c>
      <c r="W9" s="85" t="s">
        <v>42</v>
      </c>
      <c r="X9" s="109">
        <v>100</v>
      </c>
      <c r="Y9" s="16" t="s">
        <v>14</v>
      </c>
      <c r="Z9" s="51"/>
      <c r="AA9" s="33"/>
    </row>
    <row r="10" spans="2:27" ht="20" x14ac:dyDescent="0.25">
      <c r="B10" s="29"/>
      <c r="C10" s="49"/>
      <c r="D10" s="135" t="s">
        <v>129</v>
      </c>
      <c r="E10" s="135"/>
      <c r="F10" s="135"/>
      <c r="G10" s="135"/>
      <c r="H10" s="135"/>
      <c r="I10" s="14" t="s">
        <v>69</v>
      </c>
      <c r="J10" s="19" t="s">
        <v>42</v>
      </c>
      <c r="K10" s="20">
        <v>80</v>
      </c>
      <c r="L10" s="50" t="s">
        <v>5</v>
      </c>
      <c r="M10" s="50" t="s">
        <v>72</v>
      </c>
      <c r="N10" s="85" t="s">
        <v>42</v>
      </c>
      <c r="O10" s="108">
        <f>POWER(10,F48/10)/1000</f>
        <v>100000</v>
      </c>
      <c r="P10" s="50" t="s">
        <v>7</v>
      </c>
      <c r="Q10" s="80" t="s">
        <v>11</v>
      </c>
      <c r="R10" s="19" t="s">
        <v>42</v>
      </c>
      <c r="S10" s="110">
        <v>10000</v>
      </c>
      <c r="T10" s="16" t="s">
        <v>12</v>
      </c>
      <c r="U10" s="14"/>
      <c r="V10" s="80" t="s">
        <v>85</v>
      </c>
      <c r="W10" s="85" t="s">
        <v>42</v>
      </c>
      <c r="X10" s="109">
        <v>36000000</v>
      </c>
      <c r="Y10" s="16" t="s">
        <v>14</v>
      </c>
      <c r="Z10" s="51"/>
      <c r="AA10" s="33"/>
    </row>
    <row r="11" spans="2:27" ht="20" x14ac:dyDescent="0.25">
      <c r="B11" s="29"/>
      <c r="C11" s="49"/>
      <c r="D11" s="135" t="s">
        <v>144</v>
      </c>
      <c r="E11" s="135"/>
      <c r="F11" s="135"/>
      <c r="G11" s="135"/>
      <c r="H11" s="135"/>
      <c r="I11" s="14" t="s">
        <v>69</v>
      </c>
      <c r="J11" s="19" t="s">
        <v>42</v>
      </c>
      <c r="K11" s="20"/>
      <c r="L11" s="50" t="s">
        <v>5</v>
      </c>
      <c r="M11" s="50" t="s">
        <v>72</v>
      </c>
      <c r="N11" s="85" t="s">
        <v>42</v>
      </c>
      <c r="O11" s="108">
        <f>POWER(10,F49/10)/1000</f>
        <v>0</v>
      </c>
      <c r="P11" s="50" t="s">
        <v>7</v>
      </c>
      <c r="Q11" s="80" t="s">
        <v>11</v>
      </c>
      <c r="R11" s="19" t="s">
        <v>42</v>
      </c>
      <c r="S11" s="110">
        <v>1</v>
      </c>
      <c r="T11" s="16" t="s">
        <v>12</v>
      </c>
      <c r="U11" s="14"/>
      <c r="V11" s="80" t="s">
        <v>85</v>
      </c>
      <c r="W11" s="85" t="s">
        <v>42</v>
      </c>
      <c r="X11" s="109">
        <v>100</v>
      </c>
      <c r="Y11" s="16" t="s">
        <v>14</v>
      </c>
      <c r="Z11" s="51"/>
      <c r="AA11" s="33"/>
    </row>
    <row r="12" spans="2:27" ht="20" x14ac:dyDescent="0.25">
      <c r="B12" s="29"/>
      <c r="C12" s="49"/>
      <c r="D12" s="135" t="s">
        <v>140</v>
      </c>
      <c r="E12" s="135"/>
      <c r="F12" s="135"/>
      <c r="G12" s="135"/>
      <c r="H12" s="135"/>
      <c r="I12" s="14" t="s">
        <v>69</v>
      </c>
      <c r="J12" s="19" t="s">
        <v>42</v>
      </c>
      <c r="K12" s="20"/>
      <c r="L12" s="50" t="s">
        <v>5</v>
      </c>
      <c r="M12" s="50" t="s">
        <v>72</v>
      </c>
      <c r="N12" s="85" t="s">
        <v>42</v>
      </c>
      <c r="O12" s="108">
        <f>POWER(10,F50/10)/1000</f>
        <v>0</v>
      </c>
      <c r="P12" s="50" t="s">
        <v>7</v>
      </c>
      <c r="Q12" s="80" t="s">
        <v>11</v>
      </c>
      <c r="R12" s="19" t="s">
        <v>42</v>
      </c>
      <c r="S12" s="110">
        <v>3</v>
      </c>
      <c r="T12" s="16" t="s">
        <v>12</v>
      </c>
      <c r="U12" s="14"/>
      <c r="V12" s="80" t="s">
        <v>85</v>
      </c>
      <c r="W12" s="85" t="s">
        <v>42</v>
      </c>
      <c r="X12" s="109">
        <v>20000000</v>
      </c>
      <c r="Y12" s="16" t="s">
        <v>14</v>
      </c>
      <c r="Z12" s="51"/>
      <c r="AA12" s="33"/>
    </row>
    <row r="13" spans="2:27" ht="12" customHeight="1" thickBot="1" x14ac:dyDescent="0.25">
      <c r="B13" s="29"/>
      <c r="C13" s="55"/>
      <c r="D13" s="56"/>
      <c r="E13" s="64"/>
      <c r="F13" s="57"/>
      <c r="G13" s="58"/>
      <c r="H13" s="56"/>
      <c r="I13" s="56"/>
      <c r="J13" s="64"/>
      <c r="K13" s="56"/>
      <c r="L13" s="56"/>
      <c r="M13" s="64"/>
      <c r="N13" s="81"/>
      <c r="O13" s="58"/>
      <c r="P13" s="81"/>
      <c r="Q13" s="64"/>
      <c r="R13" s="64"/>
      <c r="S13" s="64"/>
      <c r="T13" s="64"/>
      <c r="U13" s="57"/>
      <c r="V13" s="93"/>
      <c r="W13" s="58"/>
      <c r="X13" s="81"/>
      <c r="Y13" s="64"/>
      <c r="Z13" s="59"/>
      <c r="AA13" s="33"/>
    </row>
    <row r="14" spans="2:27" ht="19" customHeight="1" thickBot="1" x14ac:dyDescent="0.25">
      <c r="B14" s="29"/>
      <c r="C14" s="36" t="s">
        <v>35</v>
      </c>
      <c r="D14" s="36"/>
      <c r="E14" s="31"/>
      <c r="F14" s="31"/>
      <c r="G14" s="31"/>
      <c r="H14" s="31"/>
      <c r="I14" s="31"/>
      <c r="J14" s="86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3"/>
    </row>
    <row r="15" spans="2:27" ht="9" customHeight="1" x14ac:dyDescent="0.2">
      <c r="B15" s="29"/>
      <c r="C15" s="41"/>
      <c r="D15" s="13"/>
      <c r="E15" s="18"/>
      <c r="F15" s="42"/>
      <c r="G15" s="43"/>
      <c r="H15" s="43"/>
      <c r="I15" s="79"/>
      <c r="J15" s="18"/>
      <c r="K15" s="17"/>
      <c r="L15" s="44"/>
      <c r="M15" s="73"/>
      <c r="N15" s="71"/>
      <c r="O15" s="60"/>
      <c r="P15" s="94"/>
      <c r="Q15" s="35"/>
      <c r="R15" s="35"/>
      <c r="S15" s="35"/>
      <c r="T15" s="35"/>
      <c r="U15" s="61"/>
      <c r="V15" s="86"/>
      <c r="W15" s="32"/>
      <c r="X15" s="90"/>
      <c r="Y15" s="31"/>
      <c r="Z15" s="31"/>
      <c r="AA15" s="33"/>
    </row>
    <row r="16" spans="2:27" x14ac:dyDescent="0.2">
      <c r="B16" s="29"/>
      <c r="C16" s="78"/>
      <c r="D16" s="80" t="s">
        <v>25</v>
      </c>
      <c r="E16" s="140" t="s">
        <v>42</v>
      </c>
      <c r="F16" s="148">
        <v>5</v>
      </c>
      <c r="G16" s="16" t="s">
        <v>12</v>
      </c>
      <c r="H16" s="107" t="s">
        <v>104</v>
      </c>
      <c r="I16" s="80"/>
      <c r="J16" s="19"/>
      <c r="K16" s="106"/>
      <c r="L16" s="51"/>
      <c r="M16" s="73"/>
      <c r="N16" s="71"/>
      <c r="O16" s="60"/>
      <c r="P16" s="94"/>
      <c r="Q16" s="35"/>
      <c r="R16" s="35"/>
      <c r="S16" s="35"/>
      <c r="T16" s="35"/>
      <c r="U16" s="61"/>
      <c r="V16" s="86"/>
      <c r="W16" s="32"/>
      <c r="X16" s="90"/>
      <c r="Y16" s="31"/>
      <c r="Z16" s="31"/>
      <c r="AA16" s="33"/>
    </row>
    <row r="17" spans="2:27" ht="20" x14ac:dyDescent="0.25">
      <c r="B17" s="29"/>
      <c r="C17" s="78"/>
      <c r="D17" s="80" t="s">
        <v>106</v>
      </c>
      <c r="E17" s="19" t="s">
        <v>42</v>
      </c>
      <c r="F17" s="149">
        <v>40</v>
      </c>
      <c r="G17" s="16" t="s">
        <v>105</v>
      </c>
      <c r="H17" s="107" t="s">
        <v>90</v>
      </c>
      <c r="I17" s="80"/>
      <c r="J17" s="19"/>
      <c r="K17" s="106"/>
      <c r="L17" s="51"/>
      <c r="M17" s="73"/>
      <c r="N17" s="71"/>
      <c r="O17" s="60"/>
      <c r="P17" s="94"/>
      <c r="Q17" s="35"/>
      <c r="R17" s="35"/>
      <c r="S17" s="35"/>
      <c r="T17" s="35"/>
      <c r="U17" s="61"/>
      <c r="V17" s="86"/>
      <c r="W17" s="32"/>
      <c r="X17" s="90"/>
      <c r="Y17" s="31"/>
      <c r="Z17" s="31"/>
      <c r="AA17" s="33"/>
    </row>
    <row r="18" spans="2:27" x14ac:dyDescent="0.2">
      <c r="B18" s="29"/>
      <c r="C18" s="78"/>
      <c r="D18" s="80"/>
      <c r="E18" s="19" t="s">
        <v>42</v>
      </c>
      <c r="F18" s="149">
        <v>15</v>
      </c>
      <c r="G18" s="16" t="s">
        <v>105</v>
      </c>
      <c r="H18" s="107" t="s">
        <v>107</v>
      </c>
      <c r="I18" s="80"/>
      <c r="J18" s="19"/>
      <c r="K18" s="106"/>
      <c r="L18" s="51"/>
      <c r="M18" s="73"/>
      <c r="N18" s="71"/>
      <c r="O18" s="60"/>
      <c r="P18" s="94"/>
      <c r="Q18" s="35"/>
      <c r="R18" s="35"/>
      <c r="S18" s="35"/>
      <c r="T18" s="35"/>
      <c r="U18" s="61"/>
      <c r="V18" s="86"/>
      <c r="W18" s="32"/>
      <c r="X18" s="90"/>
      <c r="Y18" s="31"/>
      <c r="Z18" s="31"/>
      <c r="AA18" s="33"/>
    </row>
    <row r="19" spans="2:27" x14ac:dyDescent="0.2">
      <c r="B19" s="29"/>
      <c r="C19" s="78"/>
      <c r="D19" s="80"/>
      <c r="E19" s="19" t="s">
        <v>42</v>
      </c>
      <c r="F19" s="149">
        <v>-43</v>
      </c>
      <c r="G19" s="16" t="s">
        <v>5</v>
      </c>
      <c r="H19" s="107" t="s">
        <v>108</v>
      </c>
      <c r="I19" s="80"/>
      <c r="J19" s="19"/>
      <c r="K19" s="106"/>
      <c r="L19" s="51"/>
      <c r="M19" s="73"/>
      <c r="N19" s="71"/>
      <c r="O19" s="60"/>
      <c r="P19" s="94"/>
      <c r="Q19" s="35"/>
      <c r="R19" s="35"/>
      <c r="S19" s="35"/>
      <c r="T19" s="35"/>
      <c r="U19" s="61"/>
      <c r="V19" s="86"/>
      <c r="W19" s="32"/>
      <c r="X19" s="90"/>
      <c r="Y19" s="31"/>
      <c r="Z19" s="31"/>
      <c r="AA19" s="33"/>
    </row>
    <row r="20" spans="2:27" x14ac:dyDescent="0.2">
      <c r="B20" s="29"/>
      <c r="C20" s="78"/>
      <c r="D20" s="80"/>
      <c r="E20" s="19" t="s">
        <v>42</v>
      </c>
      <c r="F20" s="149">
        <v>27</v>
      </c>
      <c r="G20" s="16" t="s">
        <v>116</v>
      </c>
      <c r="H20" s="107" t="s">
        <v>117</v>
      </c>
      <c r="I20" s="80"/>
      <c r="J20" s="19"/>
      <c r="K20" s="106"/>
      <c r="L20" s="51"/>
      <c r="M20" s="73"/>
      <c r="N20" s="71"/>
      <c r="O20" s="60"/>
      <c r="P20" s="94"/>
      <c r="Q20" s="35"/>
      <c r="R20" s="35"/>
      <c r="S20" s="35"/>
      <c r="T20" s="35"/>
      <c r="U20" s="61"/>
      <c r="V20" s="86"/>
      <c r="W20" s="32"/>
      <c r="X20" s="90"/>
      <c r="Y20" s="31"/>
      <c r="Z20" s="31"/>
      <c r="AA20" s="33"/>
    </row>
    <row r="21" spans="2:27" ht="8" customHeight="1" thickBot="1" x14ac:dyDescent="0.25">
      <c r="B21" s="29"/>
      <c r="C21" s="55"/>
      <c r="D21" s="56"/>
      <c r="E21" s="64"/>
      <c r="F21" s="57"/>
      <c r="G21" s="58"/>
      <c r="H21" s="56"/>
      <c r="I21" s="81"/>
      <c r="J21" s="64"/>
      <c r="K21" s="81"/>
      <c r="L21" s="59"/>
      <c r="M21" s="73"/>
      <c r="N21" s="71"/>
      <c r="O21" s="60"/>
      <c r="P21" s="94"/>
      <c r="Q21" s="35"/>
      <c r="R21" s="35"/>
      <c r="S21" s="35"/>
      <c r="T21" s="35"/>
      <c r="U21" s="61"/>
      <c r="V21" s="86"/>
      <c r="W21" s="32"/>
      <c r="X21" s="90"/>
      <c r="Y21" s="31"/>
      <c r="Z21" s="31"/>
      <c r="AA21" s="33"/>
    </row>
    <row r="22" spans="2:27" ht="7" customHeight="1" x14ac:dyDescent="0.2">
      <c r="B22" s="29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1"/>
      <c r="O22" s="60"/>
      <c r="P22" s="94"/>
      <c r="Q22" s="35"/>
      <c r="R22" s="35"/>
      <c r="S22" s="35"/>
      <c r="T22" s="35"/>
      <c r="U22" s="61"/>
      <c r="V22" s="86"/>
      <c r="W22" s="32"/>
      <c r="X22" s="90"/>
      <c r="Y22" s="31"/>
      <c r="Z22" s="31"/>
      <c r="AA22" s="33"/>
    </row>
    <row r="23" spans="2:27" ht="19" thickBot="1" x14ac:dyDescent="0.25">
      <c r="B23" s="29"/>
      <c r="C23" s="35" t="s">
        <v>119</v>
      </c>
      <c r="D23" s="35"/>
      <c r="E23" s="71"/>
      <c r="F23" s="60"/>
      <c r="G23" s="35"/>
      <c r="H23" s="35"/>
      <c r="I23" s="73"/>
      <c r="J23" s="71"/>
      <c r="K23" s="73"/>
      <c r="L23" s="70"/>
      <c r="M23" s="73"/>
      <c r="N23" s="71"/>
      <c r="O23" s="60"/>
      <c r="P23" s="94"/>
      <c r="Q23" s="35"/>
      <c r="R23" s="35"/>
      <c r="S23" s="35"/>
      <c r="T23" s="35"/>
      <c r="U23" s="61"/>
      <c r="V23" s="86"/>
      <c r="W23" s="32"/>
      <c r="X23" s="90"/>
      <c r="Y23" s="31"/>
      <c r="Z23" s="31"/>
      <c r="AA23" s="33"/>
    </row>
    <row r="24" spans="2:27" ht="7" customHeight="1" x14ac:dyDescent="0.2">
      <c r="B24" s="29"/>
      <c r="C24" s="41"/>
      <c r="D24" s="13"/>
      <c r="E24" s="18"/>
      <c r="F24" s="42"/>
      <c r="G24" s="43"/>
      <c r="H24" s="43"/>
      <c r="I24" s="79"/>
      <c r="J24" s="18"/>
      <c r="K24" s="17"/>
      <c r="L24" s="44"/>
      <c r="M24" s="73"/>
      <c r="N24" s="71"/>
      <c r="O24" s="60"/>
      <c r="P24" s="94"/>
      <c r="Q24" s="35"/>
      <c r="R24" s="35"/>
      <c r="S24" s="35"/>
      <c r="T24" s="35"/>
      <c r="U24" s="61"/>
      <c r="V24" s="86"/>
      <c r="W24" s="32"/>
      <c r="X24" s="90"/>
      <c r="Y24" s="31"/>
      <c r="Z24" s="31"/>
      <c r="AA24" s="33"/>
    </row>
    <row r="25" spans="2:27" ht="20" x14ac:dyDescent="0.25">
      <c r="B25" s="29"/>
      <c r="C25" s="78"/>
      <c r="D25" s="80" t="s">
        <v>128</v>
      </c>
      <c r="E25" s="19" t="s">
        <v>42</v>
      </c>
      <c r="F25" s="143">
        <f>4*F28*F29*F16*1000000</f>
        <v>8.2839030000000014E-14</v>
      </c>
      <c r="G25" s="16" t="s">
        <v>7</v>
      </c>
      <c r="H25" s="107" t="s">
        <v>127</v>
      </c>
      <c r="I25" s="80"/>
      <c r="J25" s="19"/>
      <c r="K25" s="106"/>
      <c r="L25" s="51"/>
      <c r="M25" s="73"/>
      <c r="N25" s="71"/>
      <c r="O25" s="60"/>
      <c r="P25" s="94"/>
      <c r="Q25" s="35"/>
      <c r="R25" s="35"/>
      <c r="S25" s="35"/>
      <c r="T25" s="35"/>
      <c r="U25" s="61"/>
      <c r="V25" s="86"/>
      <c r="W25" s="32"/>
      <c r="X25" s="90"/>
      <c r="Y25" s="31"/>
      <c r="Z25" s="31"/>
      <c r="AA25" s="33"/>
    </row>
    <row r="26" spans="2:27" ht="12" customHeight="1" x14ac:dyDescent="0.2">
      <c r="B26" s="29"/>
      <c r="C26" s="78"/>
      <c r="D26" s="107"/>
      <c r="E26" s="145"/>
      <c r="F26" s="107"/>
      <c r="G26" s="107"/>
      <c r="H26" s="107"/>
      <c r="I26" s="146"/>
      <c r="J26" s="145"/>
      <c r="K26" s="146"/>
      <c r="L26" s="51"/>
      <c r="M26" s="73"/>
      <c r="N26" s="71"/>
      <c r="O26" s="60"/>
      <c r="P26" s="94"/>
      <c r="Q26" s="35"/>
      <c r="R26" s="35"/>
      <c r="S26" s="35"/>
      <c r="T26" s="35"/>
      <c r="U26" s="61"/>
      <c r="V26" s="86"/>
      <c r="W26" s="32"/>
      <c r="X26" s="90"/>
      <c r="Y26" s="31"/>
      <c r="Z26" s="31"/>
      <c r="AA26" s="33"/>
    </row>
    <row r="27" spans="2:27" ht="20" x14ac:dyDescent="0.25">
      <c r="B27" s="29"/>
      <c r="C27" s="78"/>
      <c r="D27" s="80" t="s">
        <v>125</v>
      </c>
      <c r="E27" s="19" t="s">
        <v>42</v>
      </c>
      <c r="F27" s="142">
        <f>30+10*LOG10(F25)</f>
        <v>-100.81764995101059</v>
      </c>
      <c r="G27" s="16" t="s">
        <v>5</v>
      </c>
      <c r="H27" s="107" t="s">
        <v>127</v>
      </c>
      <c r="I27" s="80"/>
      <c r="J27" s="19"/>
      <c r="K27" s="106"/>
      <c r="L27" s="51"/>
      <c r="M27" s="73"/>
      <c r="N27" s="71"/>
      <c r="O27" s="60"/>
      <c r="P27" s="94"/>
      <c r="Q27" s="35"/>
      <c r="R27" s="35"/>
      <c r="S27" s="35"/>
      <c r="T27" s="35"/>
      <c r="U27" s="61"/>
      <c r="V27" s="86"/>
      <c r="W27" s="32"/>
      <c r="X27" s="90"/>
      <c r="Y27" s="31"/>
      <c r="Z27" s="31"/>
      <c r="AA27" s="33"/>
    </row>
    <row r="28" spans="2:27" ht="20" x14ac:dyDescent="0.25">
      <c r="B28" s="29"/>
      <c r="C28" s="78"/>
      <c r="D28" s="80" t="s">
        <v>123</v>
      </c>
      <c r="E28" s="19" t="s">
        <v>42</v>
      </c>
      <c r="F28" s="144">
        <f>1.3806505*POWER(10,-23)</f>
        <v>1.3806505000000001E-23</v>
      </c>
      <c r="G28" s="16" t="s">
        <v>126</v>
      </c>
      <c r="H28" s="107" t="s">
        <v>124</v>
      </c>
      <c r="I28" s="80"/>
      <c r="J28" s="19"/>
      <c r="K28" s="106"/>
      <c r="L28" s="51"/>
      <c r="M28" s="73"/>
      <c r="N28" s="71"/>
      <c r="O28" s="60"/>
      <c r="P28" s="94"/>
      <c r="Q28" s="35"/>
      <c r="R28" s="35"/>
      <c r="S28" s="35"/>
      <c r="T28" s="35"/>
      <c r="U28" s="61"/>
      <c r="V28" s="86"/>
      <c r="W28" s="32"/>
      <c r="X28" s="90"/>
      <c r="Y28" s="31"/>
      <c r="Z28" s="31"/>
      <c r="AA28" s="33"/>
    </row>
    <row r="29" spans="2:27" x14ac:dyDescent="0.2">
      <c r="B29" s="29"/>
      <c r="C29" s="78"/>
      <c r="D29" s="80" t="s">
        <v>120</v>
      </c>
      <c r="E29" s="19" t="s">
        <v>42</v>
      </c>
      <c r="F29" s="142">
        <f>273+F20</f>
        <v>300</v>
      </c>
      <c r="G29" s="16" t="s">
        <v>121</v>
      </c>
      <c r="H29" s="107" t="s">
        <v>122</v>
      </c>
      <c r="I29" s="80"/>
      <c r="J29" s="19"/>
      <c r="K29" s="106"/>
      <c r="L29" s="51"/>
      <c r="M29" s="73"/>
      <c r="N29" s="71"/>
      <c r="O29" s="60"/>
      <c r="P29" s="94"/>
      <c r="Q29" s="35"/>
      <c r="R29" s="35"/>
      <c r="S29" s="35"/>
      <c r="T29" s="35"/>
      <c r="U29" s="61"/>
      <c r="V29" s="86"/>
      <c r="W29" s="32"/>
      <c r="X29" s="90"/>
      <c r="Y29" s="31"/>
      <c r="Z29" s="31"/>
      <c r="AA29" s="33"/>
    </row>
    <row r="30" spans="2:27" ht="8" customHeight="1" thickBot="1" x14ac:dyDescent="0.25">
      <c r="B30" s="29"/>
      <c r="C30" s="55"/>
      <c r="D30" s="56"/>
      <c r="E30" s="64"/>
      <c r="F30" s="57"/>
      <c r="G30" s="58"/>
      <c r="H30" s="56"/>
      <c r="I30" s="81"/>
      <c r="J30" s="64"/>
      <c r="K30" s="81"/>
      <c r="L30" s="59"/>
      <c r="M30" s="73"/>
      <c r="N30" s="71"/>
      <c r="O30" s="60"/>
      <c r="P30" s="94"/>
      <c r="Q30" s="35"/>
      <c r="R30" s="35"/>
      <c r="S30" s="35"/>
      <c r="T30" s="35"/>
      <c r="U30" s="61"/>
      <c r="V30" s="86"/>
      <c r="W30" s="32"/>
      <c r="X30" s="90"/>
      <c r="Y30" s="31"/>
      <c r="Z30" s="31"/>
      <c r="AA30" s="33"/>
    </row>
    <row r="31" spans="2:27" ht="19" thickBot="1" x14ac:dyDescent="0.25">
      <c r="B31" s="29"/>
      <c r="C31" s="35" t="s">
        <v>118</v>
      </c>
      <c r="D31" s="35"/>
      <c r="E31" s="71"/>
      <c r="F31" s="60"/>
      <c r="G31" s="35"/>
      <c r="H31" s="35"/>
      <c r="I31" s="73"/>
      <c r="J31" s="71"/>
      <c r="K31" s="73"/>
      <c r="L31" s="70"/>
      <c r="M31" s="73"/>
      <c r="N31" s="71"/>
      <c r="O31" s="60"/>
      <c r="P31" s="94"/>
      <c r="Q31" s="35"/>
      <c r="R31" s="35"/>
      <c r="S31" s="35"/>
      <c r="T31" s="35"/>
      <c r="U31" s="61"/>
      <c r="V31" s="86"/>
      <c r="W31" s="32"/>
      <c r="X31" s="90"/>
      <c r="Y31" s="31"/>
      <c r="Z31" s="31"/>
      <c r="AA31" s="33"/>
    </row>
    <row r="32" spans="2:27" ht="6" customHeight="1" x14ac:dyDescent="0.2">
      <c r="B32" s="29"/>
      <c r="C32" s="41"/>
      <c r="D32" s="13"/>
      <c r="E32" s="18"/>
      <c r="F32" s="42"/>
      <c r="G32" s="43"/>
      <c r="H32" s="43"/>
      <c r="I32" s="79"/>
      <c r="J32" s="18"/>
      <c r="K32" s="17"/>
      <c r="L32" s="44"/>
      <c r="M32" s="73"/>
      <c r="N32" s="71"/>
      <c r="O32" s="60"/>
      <c r="P32" s="94"/>
      <c r="Q32" s="35"/>
      <c r="R32" s="35"/>
      <c r="S32" s="35"/>
      <c r="T32" s="35"/>
      <c r="U32" s="61"/>
      <c r="V32" s="86"/>
      <c r="W32" s="32"/>
      <c r="X32" s="90"/>
      <c r="Y32" s="31"/>
      <c r="Z32" s="31"/>
      <c r="AA32" s="33"/>
    </row>
    <row r="33" spans="2:27" x14ac:dyDescent="0.2">
      <c r="B33" s="29"/>
      <c r="C33" s="78"/>
      <c r="D33" s="16"/>
      <c r="E33" s="19"/>
      <c r="F33" s="115" t="s">
        <v>41</v>
      </c>
      <c r="G33" s="50"/>
      <c r="H33" s="50"/>
      <c r="I33" s="80"/>
      <c r="J33" s="19"/>
      <c r="K33" s="115" t="s">
        <v>41</v>
      </c>
      <c r="L33" s="51"/>
      <c r="M33" s="73"/>
      <c r="N33" s="71"/>
      <c r="O33" s="60"/>
      <c r="P33" s="94"/>
      <c r="Q33" s="35"/>
      <c r="R33" s="35"/>
      <c r="S33" s="35"/>
      <c r="T33" s="35"/>
      <c r="U33" s="61"/>
      <c r="V33" s="86"/>
      <c r="W33" s="32"/>
      <c r="X33" s="90"/>
      <c r="Y33" s="31"/>
      <c r="Z33" s="31"/>
      <c r="AA33" s="33"/>
    </row>
    <row r="34" spans="2:27" ht="22" x14ac:dyDescent="0.25">
      <c r="B34" s="29"/>
      <c r="C34" s="78"/>
      <c r="D34" s="80" t="s">
        <v>74</v>
      </c>
      <c r="E34" s="19" t="s">
        <v>42</v>
      </c>
      <c r="F34" s="106">
        <f>K81</f>
        <v>0</v>
      </c>
      <c r="G34" s="16" t="s">
        <v>48</v>
      </c>
      <c r="H34" s="107"/>
      <c r="I34" s="80" t="s">
        <v>74</v>
      </c>
      <c r="J34" s="19" t="s">
        <v>42</v>
      </c>
      <c r="K34" s="106">
        <f>10*F34</f>
        <v>0</v>
      </c>
      <c r="L34" s="51" t="s">
        <v>46</v>
      </c>
      <c r="M34" s="73"/>
      <c r="N34" s="71"/>
      <c r="O34" s="60"/>
      <c r="P34" s="94"/>
      <c r="Q34" s="35"/>
      <c r="R34" s="35"/>
      <c r="S34" s="35"/>
      <c r="T34" s="35"/>
      <c r="U34" s="61"/>
      <c r="V34" s="86"/>
      <c r="W34" s="32"/>
      <c r="X34" s="90"/>
      <c r="Y34" s="31"/>
      <c r="Z34" s="31"/>
      <c r="AA34" s="33"/>
    </row>
    <row r="35" spans="2:27" ht="22" x14ac:dyDescent="0.25">
      <c r="B35" s="29"/>
      <c r="C35" s="78"/>
      <c r="D35" s="80" t="s">
        <v>74</v>
      </c>
      <c r="E35" s="19" t="s">
        <v>42</v>
      </c>
      <c r="F35" s="106">
        <f>K82</f>
        <v>0</v>
      </c>
      <c r="G35" s="16" t="s">
        <v>48</v>
      </c>
      <c r="H35" s="107"/>
      <c r="I35" s="80" t="s">
        <v>74</v>
      </c>
      <c r="J35" s="19" t="s">
        <v>42</v>
      </c>
      <c r="K35" s="106">
        <f>10*F35</f>
        <v>0</v>
      </c>
      <c r="L35" s="51" t="s">
        <v>46</v>
      </c>
      <c r="M35" s="73"/>
      <c r="N35" s="71"/>
      <c r="O35" s="60"/>
      <c r="P35" s="94"/>
      <c r="Q35" s="35"/>
      <c r="R35" s="35"/>
      <c r="S35" s="35"/>
      <c r="T35" s="35"/>
      <c r="U35" s="61"/>
      <c r="V35" s="86"/>
      <c r="W35" s="32"/>
      <c r="X35" s="90"/>
      <c r="Y35" s="31"/>
      <c r="Z35" s="31"/>
      <c r="AA35" s="33"/>
    </row>
    <row r="36" spans="2:27" ht="22" x14ac:dyDescent="0.25">
      <c r="B36" s="29"/>
      <c r="C36" s="78"/>
      <c r="D36" s="80" t="s">
        <v>74</v>
      </c>
      <c r="E36" s="19" t="s">
        <v>42</v>
      </c>
      <c r="F36" s="106">
        <f>K83</f>
        <v>6.1402370020021351E-13</v>
      </c>
      <c r="G36" s="16" t="s">
        <v>77</v>
      </c>
      <c r="H36" s="107"/>
      <c r="I36" s="80" t="s">
        <v>74</v>
      </c>
      <c r="J36" s="19" t="s">
        <v>42</v>
      </c>
      <c r="K36" s="106">
        <f>10*F36</f>
        <v>6.1402370020021353E-12</v>
      </c>
      <c r="L36" s="51" t="s">
        <v>76</v>
      </c>
      <c r="M36" s="73"/>
      <c r="N36" s="71"/>
      <c r="O36" s="60"/>
      <c r="P36" s="94"/>
      <c r="Q36" s="35"/>
      <c r="R36" s="35"/>
      <c r="S36" s="35"/>
      <c r="T36" s="35"/>
      <c r="U36" s="61"/>
      <c r="V36" s="86"/>
      <c r="W36" s="32"/>
      <c r="X36" s="90"/>
      <c r="Y36" s="31"/>
      <c r="Z36" s="31"/>
      <c r="AA36" s="33"/>
    </row>
    <row r="37" spans="2:27" ht="22" x14ac:dyDescent="0.25">
      <c r="B37" s="29"/>
      <c r="C37" s="78"/>
      <c r="D37" s="80" t="s">
        <v>74</v>
      </c>
      <c r="E37" s="19" t="s">
        <v>42</v>
      </c>
      <c r="F37" s="106">
        <f>K84</f>
        <v>0</v>
      </c>
      <c r="G37" s="16" t="s">
        <v>77</v>
      </c>
      <c r="H37" s="107"/>
      <c r="I37" s="80" t="s">
        <v>74</v>
      </c>
      <c r="J37" s="19" t="s">
        <v>42</v>
      </c>
      <c r="K37" s="106">
        <f>10*F37</f>
        <v>0</v>
      </c>
      <c r="L37" s="51" t="s">
        <v>76</v>
      </c>
      <c r="M37" s="73"/>
      <c r="N37" s="71"/>
      <c r="O37" s="60"/>
      <c r="P37" s="94"/>
      <c r="Q37" s="35"/>
      <c r="R37" s="35"/>
      <c r="S37" s="35"/>
      <c r="T37" s="35"/>
      <c r="U37" s="61"/>
      <c r="V37" s="86"/>
      <c r="W37" s="32"/>
      <c r="X37" s="90"/>
      <c r="Y37" s="31"/>
      <c r="Z37" s="31"/>
      <c r="AA37" s="33"/>
    </row>
    <row r="38" spans="2:27" ht="22" x14ac:dyDescent="0.25">
      <c r="B38" s="29"/>
      <c r="C38" s="78"/>
      <c r="D38" s="80" t="s">
        <v>74</v>
      </c>
      <c r="E38" s="19" t="s">
        <v>42</v>
      </c>
      <c r="F38" s="106">
        <f>K85</f>
        <v>0</v>
      </c>
      <c r="G38" s="16" t="s">
        <v>77</v>
      </c>
      <c r="H38" s="107"/>
      <c r="I38" s="80" t="s">
        <v>74</v>
      </c>
      <c r="J38" s="19" t="s">
        <v>42</v>
      </c>
      <c r="K38" s="106">
        <f>10*F38</f>
        <v>0</v>
      </c>
      <c r="L38" s="51" t="s">
        <v>76</v>
      </c>
      <c r="M38" s="73"/>
      <c r="N38" s="71"/>
      <c r="O38" s="60"/>
      <c r="P38" s="94"/>
      <c r="Q38" s="35"/>
      <c r="R38" s="35"/>
      <c r="S38" s="35"/>
      <c r="T38" s="35"/>
      <c r="U38" s="61"/>
      <c r="V38" s="86"/>
      <c r="W38" s="32"/>
      <c r="X38" s="90"/>
      <c r="Y38" s="31"/>
      <c r="Z38" s="31"/>
      <c r="AA38" s="33"/>
    </row>
    <row r="39" spans="2:27" ht="10" customHeight="1" thickBot="1" x14ac:dyDescent="0.25">
      <c r="B39" s="29"/>
      <c r="C39" s="55"/>
      <c r="D39" s="56"/>
      <c r="E39" s="64"/>
      <c r="F39" s="57"/>
      <c r="G39" s="58"/>
      <c r="H39" s="56"/>
      <c r="I39" s="81"/>
      <c r="J39" s="64"/>
      <c r="K39" s="81"/>
      <c r="L39" s="59"/>
      <c r="M39" s="73"/>
      <c r="N39" s="71"/>
      <c r="O39" s="60"/>
      <c r="P39" s="94"/>
      <c r="Q39" s="35"/>
      <c r="R39" s="35"/>
      <c r="S39" s="35"/>
      <c r="T39" s="35"/>
      <c r="U39" s="61"/>
      <c r="V39" s="86"/>
      <c r="W39" s="32"/>
      <c r="X39" s="90"/>
      <c r="Y39" s="31"/>
      <c r="Z39" s="31"/>
      <c r="AA39" s="33"/>
    </row>
    <row r="40" spans="2:27" ht="19" thickBot="1" x14ac:dyDescent="0.25">
      <c r="B40" s="74"/>
      <c r="C40" s="75"/>
      <c r="D40" s="75"/>
      <c r="E40" s="87"/>
      <c r="F40" s="75"/>
      <c r="G40" s="75"/>
      <c r="H40" s="75"/>
      <c r="I40" s="76"/>
      <c r="J40" s="87"/>
      <c r="K40" s="76"/>
      <c r="L40" s="91"/>
      <c r="M40" s="76"/>
      <c r="N40" s="87"/>
      <c r="O40" s="75"/>
      <c r="P40" s="91"/>
      <c r="Q40" s="75"/>
      <c r="R40" s="75"/>
      <c r="S40" s="75"/>
      <c r="T40" s="75"/>
      <c r="U40" s="76"/>
      <c r="V40" s="87"/>
      <c r="W40" s="76"/>
      <c r="X40" s="91"/>
      <c r="Y40" s="75"/>
      <c r="Z40" s="75"/>
      <c r="AA40" s="77"/>
    </row>
    <row r="41" spans="2:27" ht="19" thickTop="1" x14ac:dyDescent="0.2"/>
    <row r="44" spans="2:27" s="95" customFormat="1" ht="20" x14ac:dyDescent="0.2">
      <c r="C44" s="95" t="s">
        <v>81</v>
      </c>
      <c r="E44" s="96"/>
      <c r="I44" s="97"/>
      <c r="J44" s="96"/>
      <c r="K44" s="97"/>
      <c r="L44" s="98"/>
      <c r="M44" s="97"/>
      <c r="N44" s="96"/>
      <c r="P44" s="98"/>
      <c r="U44" s="97"/>
      <c r="V44" s="96"/>
      <c r="W44" s="97"/>
      <c r="X44" s="98"/>
    </row>
    <row r="45" spans="2:27" s="95" customFormat="1" ht="20" x14ac:dyDescent="0.2">
      <c r="E45" s="96"/>
      <c r="I45" s="97"/>
      <c r="J45" s="96"/>
      <c r="K45" s="97"/>
      <c r="L45" s="98"/>
      <c r="M45" s="97"/>
      <c r="N45" s="96"/>
      <c r="P45" s="98"/>
      <c r="U45" s="97"/>
      <c r="V45" s="96"/>
      <c r="W45" s="97"/>
      <c r="X45" s="98"/>
    </row>
    <row r="46" spans="2:27" s="95" customFormat="1" ht="20" x14ac:dyDescent="0.2">
      <c r="E46" s="96"/>
      <c r="F46" s="95">
        <f>IF(K8=E46,-1000000,K8)</f>
        <v>-1000000</v>
      </c>
      <c r="I46" s="97"/>
      <c r="J46" s="96"/>
      <c r="K46" s="97"/>
      <c r="L46" s="98"/>
      <c r="M46" s="97"/>
      <c r="N46" s="96"/>
      <c r="P46" s="98"/>
      <c r="U46" s="97"/>
      <c r="V46" s="96"/>
      <c r="W46" s="97"/>
      <c r="X46" s="98"/>
    </row>
    <row r="47" spans="2:27" s="95" customFormat="1" ht="20" x14ac:dyDescent="0.2">
      <c r="E47" s="96"/>
      <c r="F47" s="95">
        <f>IF(K9=E47,-1000000,K9)</f>
        <v>-1000000</v>
      </c>
      <c r="I47" s="97"/>
      <c r="J47" s="96"/>
      <c r="K47" s="97"/>
      <c r="L47" s="98"/>
      <c r="M47" s="97"/>
      <c r="N47" s="96"/>
      <c r="P47" s="98"/>
      <c r="U47" s="97"/>
      <c r="V47" s="96"/>
      <c r="W47" s="97"/>
      <c r="X47" s="98"/>
    </row>
    <row r="48" spans="2:27" s="95" customFormat="1" ht="20" x14ac:dyDescent="0.2">
      <c r="E48" s="96"/>
      <c r="F48" s="95">
        <f>IF(K10=E48,-1000000,K10)</f>
        <v>80</v>
      </c>
      <c r="I48" s="97"/>
      <c r="J48" s="96"/>
      <c r="K48" s="97"/>
      <c r="L48" s="98"/>
      <c r="M48" s="97"/>
      <c r="N48" s="96"/>
      <c r="P48" s="98"/>
      <c r="U48" s="97"/>
      <c r="V48" s="96"/>
      <c r="W48" s="97"/>
      <c r="X48" s="98"/>
    </row>
    <row r="49" spans="2:27" s="95" customFormat="1" ht="20" x14ac:dyDescent="0.2">
      <c r="E49" s="96"/>
      <c r="F49" s="95">
        <f>IF(K11=E49,-1000000,K11)</f>
        <v>-1000000</v>
      </c>
      <c r="I49" s="97"/>
      <c r="J49" s="96"/>
      <c r="K49" s="97"/>
      <c r="L49" s="98"/>
      <c r="M49" s="97"/>
      <c r="N49" s="96"/>
      <c r="P49" s="98"/>
      <c r="U49" s="97"/>
      <c r="V49" s="96"/>
      <c r="W49" s="97"/>
      <c r="X49" s="98"/>
    </row>
    <row r="50" spans="2:27" s="95" customFormat="1" ht="20" x14ac:dyDescent="0.2">
      <c r="E50" s="96"/>
      <c r="F50" s="95">
        <f>IF(K12=E50,-1000000,K12)</f>
        <v>-1000000</v>
      </c>
      <c r="I50" s="97"/>
      <c r="J50" s="96"/>
      <c r="K50" s="97"/>
      <c r="L50" s="98"/>
      <c r="M50" s="97"/>
      <c r="N50" s="96"/>
      <c r="P50" s="98"/>
      <c r="U50" s="97"/>
      <c r="V50" s="96"/>
      <c r="W50" s="97"/>
      <c r="X50" s="98"/>
    </row>
    <row r="52" spans="2:27" x14ac:dyDescent="0.2">
      <c r="E52" s="23"/>
      <c r="I52" s="23"/>
      <c r="K52" s="23"/>
    </row>
    <row r="53" spans="2:27" ht="20" x14ac:dyDescent="0.2">
      <c r="D53" s="7" t="s">
        <v>65</v>
      </c>
      <c r="E53" s="23"/>
      <c r="F53" s="82"/>
      <c r="I53" s="23"/>
      <c r="K53" s="82"/>
      <c r="L53" s="24"/>
      <c r="M53" s="23"/>
    </row>
    <row r="54" spans="2:27" x14ac:dyDescent="0.2">
      <c r="E54" s="23"/>
      <c r="F54" s="82"/>
      <c r="I54" s="23"/>
      <c r="K54" s="82"/>
      <c r="L54" s="24"/>
      <c r="M54" s="23"/>
    </row>
    <row r="55" spans="2:27" x14ac:dyDescent="0.2">
      <c r="C55" s="24"/>
      <c r="D55" s="24" t="s">
        <v>11</v>
      </c>
      <c r="E55" s="24" t="s">
        <v>15</v>
      </c>
      <c r="F55" s="24" t="s">
        <v>16</v>
      </c>
      <c r="G55" s="24"/>
      <c r="H55" s="24"/>
      <c r="K55" s="24" t="s">
        <v>17</v>
      </c>
      <c r="L55" s="24" t="s">
        <v>18</v>
      </c>
      <c r="M55" s="23"/>
    </row>
    <row r="56" spans="2:27" s="82" customFormat="1" x14ac:dyDescent="0.2">
      <c r="B56" s="23"/>
      <c r="C56" s="24"/>
      <c r="D56" s="24" t="s">
        <v>12</v>
      </c>
      <c r="E56" s="24" t="s">
        <v>10</v>
      </c>
      <c r="F56" s="24" t="s">
        <v>19</v>
      </c>
      <c r="G56" s="24"/>
      <c r="H56" s="24"/>
      <c r="I56" s="24"/>
      <c r="K56" s="24" t="s">
        <v>20</v>
      </c>
      <c r="L56" s="24" t="s">
        <v>21</v>
      </c>
      <c r="M56" s="23"/>
      <c r="O56" s="23"/>
      <c r="P56" s="88"/>
      <c r="Q56" s="23"/>
      <c r="R56" s="23"/>
      <c r="S56" s="23"/>
      <c r="T56" s="23"/>
      <c r="U56" s="24"/>
      <c r="W56" s="24"/>
      <c r="X56" s="88"/>
      <c r="Y56" s="23"/>
      <c r="Z56" s="23"/>
      <c r="AA56" s="23"/>
    </row>
    <row r="57" spans="2:27" s="82" customFormat="1" x14ac:dyDescent="0.2">
      <c r="B57" s="23"/>
      <c r="C57" s="24"/>
      <c r="D57" s="24">
        <v>0.3</v>
      </c>
      <c r="E57" s="24">
        <v>614</v>
      </c>
      <c r="F57" s="24">
        <v>1.63</v>
      </c>
      <c r="G57" s="24"/>
      <c r="H57" s="24"/>
      <c r="I57" s="24"/>
      <c r="K57" s="24">
        <v>100</v>
      </c>
      <c r="L57" s="24">
        <v>6</v>
      </c>
      <c r="M57" s="23"/>
      <c r="O57" s="23"/>
      <c r="P57" s="88"/>
      <c r="Q57" s="23"/>
      <c r="R57" s="23"/>
      <c r="S57" s="23"/>
      <c r="T57" s="23"/>
      <c r="U57" s="24"/>
      <c r="W57" s="24"/>
      <c r="X57" s="88"/>
      <c r="Y57" s="23"/>
      <c r="Z57" s="23"/>
      <c r="AA57" s="23"/>
    </row>
    <row r="58" spans="2:27" s="82" customFormat="1" x14ac:dyDescent="0.2">
      <c r="B58" s="23"/>
      <c r="C58" s="24"/>
      <c r="D58" s="24">
        <v>3</v>
      </c>
      <c r="E58" s="24">
        <f>1842/D58</f>
        <v>614</v>
      </c>
      <c r="F58" s="24">
        <f>4.89/D58</f>
        <v>1.63</v>
      </c>
      <c r="G58" s="24"/>
      <c r="H58" s="24"/>
      <c r="I58" s="24"/>
      <c r="K58" s="24">
        <f>900/(D58*D58)</f>
        <v>100</v>
      </c>
      <c r="L58" s="24">
        <v>6</v>
      </c>
      <c r="M58" s="23"/>
      <c r="O58" s="23"/>
      <c r="P58" s="88"/>
      <c r="Q58" s="23"/>
      <c r="R58" s="23"/>
      <c r="S58" s="23"/>
      <c r="T58" s="23"/>
      <c r="U58" s="24"/>
      <c r="W58" s="24"/>
      <c r="X58" s="88"/>
      <c r="Y58" s="23"/>
      <c r="Z58" s="23"/>
      <c r="AA58" s="23"/>
    </row>
    <row r="59" spans="2:27" s="82" customFormat="1" x14ac:dyDescent="0.2">
      <c r="B59" s="23"/>
      <c r="C59" s="24"/>
      <c r="D59" s="24">
        <v>30</v>
      </c>
      <c r="E59" s="24">
        <f>1842/D59</f>
        <v>61.4</v>
      </c>
      <c r="F59" s="24">
        <f>4.89/D59</f>
        <v>0.16299999999999998</v>
      </c>
      <c r="G59" s="24"/>
      <c r="H59" s="24"/>
      <c r="I59" s="24"/>
      <c r="K59" s="24">
        <f>900/(D59*D59)</f>
        <v>1</v>
      </c>
      <c r="L59" s="24">
        <v>6</v>
      </c>
      <c r="M59" s="23"/>
      <c r="O59" s="23"/>
      <c r="P59" s="88"/>
      <c r="Q59" s="23"/>
      <c r="R59" s="23"/>
      <c r="S59" s="23"/>
      <c r="T59" s="23"/>
      <c r="U59" s="24"/>
      <c r="W59" s="24"/>
      <c r="X59" s="88"/>
      <c r="Y59" s="23"/>
      <c r="Z59" s="23"/>
      <c r="AA59" s="23"/>
    </row>
    <row r="60" spans="2:27" s="82" customFormat="1" x14ac:dyDescent="0.2">
      <c r="B60" s="23"/>
      <c r="C60" s="24"/>
      <c r="D60" s="24">
        <v>300</v>
      </c>
      <c r="E60" s="24">
        <f>E59</f>
        <v>61.4</v>
      </c>
      <c r="F60" s="24">
        <f>F59</f>
        <v>0.16299999999999998</v>
      </c>
      <c r="G60" s="24"/>
      <c r="H60" s="24"/>
      <c r="I60" s="24"/>
      <c r="K60" s="24">
        <f>D60/300</f>
        <v>1</v>
      </c>
      <c r="L60" s="24">
        <v>6</v>
      </c>
      <c r="M60" s="23"/>
      <c r="O60" s="23"/>
      <c r="P60" s="88"/>
      <c r="Q60" s="23"/>
      <c r="R60" s="23"/>
      <c r="S60" s="23"/>
      <c r="T60" s="23"/>
      <c r="U60" s="24"/>
      <c r="W60" s="24"/>
      <c r="X60" s="88"/>
      <c r="Y60" s="23"/>
      <c r="Z60" s="23"/>
      <c r="AA60" s="23"/>
    </row>
    <row r="61" spans="2:27" s="82" customFormat="1" x14ac:dyDescent="0.2">
      <c r="B61" s="23"/>
      <c r="C61" s="24"/>
      <c r="D61" s="24">
        <v>1500</v>
      </c>
      <c r="E61" s="24"/>
      <c r="F61" s="24"/>
      <c r="G61" s="24"/>
      <c r="H61" s="24"/>
      <c r="I61" s="24"/>
      <c r="K61" s="24">
        <f>D61/300</f>
        <v>5</v>
      </c>
      <c r="L61" s="24">
        <v>6</v>
      </c>
      <c r="M61" s="23"/>
      <c r="O61" s="23"/>
      <c r="P61" s="88"/>
      <c r="Q61" s="23"/>
      <c r="R61" s="23"/>
      <c r="S61" s="23"/>
      <c r="T61" s="23"/>
      <c r="U61" s="24"/>
      <c r="W61" s="24"/>
      <c r="X61" s="88"/>
      <c r="Y61" s="23"/>
      <c r="Z61" s="23"/>
      <c r="AA61" s="23"/>
    </row>
    <row r="62" spans="2:27" s="82" customFormat="1" x14ac:dyDescent="0.2">
      <c r="B62" s="23"/>
      <c r="C62" s="24"/>
      <c r="D62" s="24">
        <v>100000</v>
      </c>
      <c r="E62" s="24"/>
      <c r="F62" s="24"/>
      <c r="G62" s="24"/>
      <c r="H62" s="24"/>
      <c r="I62" s="24"/>
      <c r="K62" s="24">
        <v>5</v>
      </c>
      <c r="L62" s="24">
        <v>6</v>
      </c>
      <c r="M62" s="23"/>
      <c r="O62" s="23"/>
      <c r="P62" s="88"/>
      <c r="Q62" s="23"/>
      <c r="R62" s="23"/>
      <c r="S62" s="23"/>
      <c r="T62" s="23"/>
      <c r="U62" s="24"/>
      <c r="W62" s="24"/>
      <c r="X62" s="88"/>
      <c r="Y62" s="23"/>
      <c r="Z62" s="23"/>
      <c r="AA62" s="23"/>
    </row>
    <row r="63" spans="2:27" s="82" customFormat="1" x14ac:dyDescent="0.2">
      <c r="B63" s="23"/>
      <c r="C63" s="23"/>
      <c r="D63" s="23"/>
      <c r="E63" s="23"/>
      <c r="G63" s="23"/>
      <c r="H63" s="23"/>
      <c r="I63" s="23"/>
      <c r="L63" s="24"/>
      <c r="M63" s="23"/>
      <c r="O63" s="23"/>
      <c r="P63" s="88"/>
      <c r="Q63" s="23"/>
      <c r="R63" s="23"/>
      <c r="S63" s="23"/>
      <c r="T63" s="23"/>
      <c r="U63" s="24"/>
      <c r="W63" s="24"/>
      <c r="X63" s="88"/>
      <c r="Y63" s="23"/>
      <c r="Z63" s="23"/>
      <c r="AA63" s="23"/>
    </row>
    <row r="64" spans="2:27" s="82" customFormat="1" x14ac:dyDescent="0.2">
      <c r="B64" s="23"/>
      <c r="C64" s="23"/>
      <c r="D64" s="23"/>
      <c r="E64" s="23"/>
      <c r="G64" s="23"/>
      <c r="H64" s="23"/>
      <c r="I64" s="23"/>
      <c r="L64" s="24"/>
      <c r="M64" s="23"/>
      <c r="O64" s="23"/>
      <c r="P64" s="88"/>
      <c r="Q64" s="23"/>
      <c r="R64" s="23"/>
      <c r="S64" s="23"/>
      <c r="T64" s="23"/>
      <c r="U64" s="24"/>
      <c r="W64" s="24"/>
      <c r="X64" s="88"/>
      <c r="Y64" s="23"/>
      <c r="Z64" s="23"/>
      <c r="AA64" s="23"/>
    </row>
    <row r="65" spans="2:27" s="82" customFormat="1" ht="20" x14ac:dyDescent="0.2">
      <c r="B65" s="23"/>
      <c r="C65" s="23"/>
      <c r="D65" s="7" t="s">
        <v>66</v>
      </c>
      <c r="E65" s="23"/>
      <c r="G65" s="23"/>
      <c r="H65" s="23"/>
      <c r="I65" s="23"/>
      <c r="L65" s="24"/>
      <c r="M65" s="23"/>
      <c r="O65" s="23"/>
      <c r="P65" s="88"/>
      <c r="Q65" s="23"/>
      <c r="R65" s="23"/>
      <c r="S65" s="23"/>
      <c r="T65" s="23"/>
      <c r="U65" s="24"/>
      <c r="W65" s="24"/>
      <c r="X65" s="88"/>
      <c r="Y65" s="23"/>
      <c r="Z65" s="23"/>
      <c r="AA65" s="23"/>
    </row>
    <row r="66" spans="2:27" s="82" customFormat="1" x14ac:dyDescent="0.2">
      <c r="B66" s="23"/>
      <c r="C66" s="23"/>
      <c r="D66" s="23"/>
      <c r="E66" s="23"/>
      <c r="G66" s="23"/>
      <c r="H66" s="23"/>
      <c r="I66" s="23"/>
      <c r="L66" s="24"/>
      <c r="M66" s="23"/>
      <c r="O66" s="23"/>
      <c r="P66" s="88"/>
      <c r="Q66" s="23"/>
      <c r="R66" s="23"/>
      <c r="S66" s="23"/>
      <c r="T66" s="23"/>
      <c r="U66" s="24"/>
      <c r="W66" s="24"/>
      <c r="X66" s="88"/>
      <c r="Y66" s="23"/>
      <c r="Z66" s="23"/>
      <c r="AA66" s="23"/>
    </row>
    <row r="67" spans="2:27" s="82" customFormat="1" x14ac:dyDescent="0.2">
      <c r="B67" s="23"/>
      <c r="C67" s="23"/>
      <c r="D67" s="24" t="s">
        <v>11</v>
      </c>
      <c r="E67" s="24" t="s">
        <v>15</v>
      </c>
      <c r="F67" s="24" t="s">
        <v>16</v>
      </c>
      <c r="G67" s="24"/>
      <c r="H67" s="24"/>
      <c r="I67" s="24"/>
      <c r="K67" s="24" t="s">
        <v>17</v>
      </c>
      <c r="L67" s="24" t="s">
        <v>18</v>
      </c>
      <c r="M67" s="24"/>
      <c r="O67" s="23"/>
      <c r="P67" s="88"/>
      <c r="Q67" s="23"/>
      <c r="R67" s="23"/>
      <c r="S67" s="23"/>
      <c r="T67" s="23"/>
      <c r="U67" s="24"/>
      <c r="W67" s="24"/>
      <c r="X67" s="88"/>
      <c r="Y67" s="23"/>
      <c r="Z67" s="23"/>
      <c r="AA67" s="23"/>
    </row>
    <row r="68" spans="2:27" s="82" customFormat="1" x14ac:dyDescent="0.2">
      <c r="B68" s="23"/>
      <c r="C68" s="23"/>
      <c r="D68" s="24" t="s">
        <v>12</v>
      </c>
      <c r="E68" s="24" t="s">
        <v>10</v>
      </c>
      <c r="F68" s="24" t="s">
        <v>19</v>
      </c>
      <c r="G68" s="24"/>
      <c r="H68" s="24"/>
      <c r="I68" s="24"/>
      <c r="K68" s="24" t="s">
        <v>20</v>
      </c>
      <c r="L68" s="24" t="s">
        <v>21</v>
      </c>
      <c r="M68" s="24"/>
      <c r="O68" s="23"/>
      <c r="P68" s="88"/>
      <c r="Q68" s="23"/>
      <c r="R68" s="23"/>
      <c r="S68" s="23"/>
      <c r="T68" s="23"/>
      <c r="U68" s="24"/>
      <c r="W68" s="24"/>
      <c r="X68" s="88"/>
      <c r="Y68" s="23"/>
      <c r="Z68" s="23"/>
      <c r="AA68" s="23"/>
    </row>
    <row r="69" spans="2:27" s="82" customFormat="1" x14ac:dyDescent="0.2">
      <c r="B69" s="23"/>
      <c r="C69" s="23"/>
      <c r="D69" s="24">
        <v>0.3</v>
      </c>
      <c r="E69" s="24">
        <v>614</v>
      </c>
      <c r="F69" s="24">
        <v>1.63</v>
      </c>
      <c r="G69" s="24"/>
      <c r="H69" s="24"/>
      <c r="I69" s="24"/>
      <c r="K69" s="24">
        <v>100</v>
      </c>
      <c r="L69" s="24">
        <v>30</v>
      </c>
      <c r="M69" s="24"/>
      <c r="O69" s="23"/>
      <c r="P69" s="88"/>
      <c r="Q69" s="23"/>
      <c r="R69" s="23"/>
      <c r="S69" s="23"/>
      <c r="T69" s="23"/>
      <c r="U69" s="24"/>
      <c r="W69" s="24"/>
      <c r="X69" s="88"/>
      <c r="Y69" s="23"/>
      <c r="Z69" s="23"/>
      <c r="AA69" s="23"/>
    </row>
    <row r="70" spans="2:27" s="82" customFormat="1" x14ac:dyDescent="0.2">
      <c r="B70" s="23"/>
      <c r="C70" s="23"/>
      <c r="D70" s="24">
        <v>1.34</v>
      </c>
      <c r="E70" s="24">
        <f>824/D70</f>
        <v>614.92537313432831</v>
      </c>
      <c r="F70" s="103">
        <f>2.19/D70</f>
        <v>1.6343283582089552</v>
      </c>
      <c r="G70" s="24"/>
      <c r="H70" s="24"/>
      <c r="I70" s="24"/>
      <c r="K70" s="105">
        <f>180/(D70*D70)</f>
        <v>100.24504343951881</v>
      </c>
      <c r="L70" s="24">
        <v>30</v>
      </c>
      <c r="M70" s="24"/>
      <c r="O70" s="23"/>
      <c r="P70" s="88"/>
      <c r="Q70" s="23"/>
      <c r="R70" s="23"/>
      <c r="S70" s="23"/>
      <c r="T70" s="23"/>
      <c r="U70" s="24"/>
      <c r="W70" s="24"/>
      <c r="X70" s="88"/>
      <c r="Y70" s="23"/>
      <c r="Z70" s="23"/>
      <c r="AA70" s="23"/>
    </row>
    <row r="71" spans="2:27" s="82" customFormat="1" x14ac:dyDescent="0.2">
      <c r="B71" s="23"/>
      <c r="C71" s="23"/>
      <c r="D71" s="24">
        <v>30</v>
      </c>
      <c r="E71" s="24">
        <f>824/D71</f>
        <v>27.466666666666665</v>
      </c>
      <c r="F71" s="24">
        <f>0.073</f>
        <v>7.2999999999999995E-2</v>
      </c>
      <c r="G71" s="24"/>
      <c r="H71" s="24"/>
      <c r="I71" s="24"/>
      <c r="K71" s="24">
        <f>180/(D71*D71)</f>
        <v>0.2</v>
      </c>
      <c r="L71" s="24">
        <v>30</v>
      </c>
      <c r="M71" s="24"/>
      <c r="O71" s="23"/>
      <c r="P71" s="88"/>
      <c r="Q71" s="23"/>
      <c r="R71" s="23"/>
      <c r="S71" s="23"/>
      <c r="T71" s="23"/>
      <c r="U71" s="24"/>
      <c r="W71" s="24"/>
      <c r="X71" s="88"/>
      <c r="Y71" s="23"/>
      <c r="Z71" s="23"/>
      <c r="AA71" s="23"/>
    </row>
    <row r="72" spans="2:27" x14ac:dyDescent="0.2">
      <c r="D72" s="24">
        <v>300</v>
      </c>
      <c r="E72" s="24">
        <f>E71</f>
        <v>27.466666666666665</v>
      </c>
      <c r="F72" s="24">
        <f>F71</f>
        <v>7.2999999999999995E-2</v>
      </c>
      <c r="G72" s="24"/>
      <c r="H72" s="24"/>
      <c r="K72" s="24">
        <f>D72/1500</f>
        <v>0.2</v>
      </c>
      <c r="L72" s="24">
        <v>30</v>
      </c>
    </row>
    <row r="73" spans="2:27" x14ac:dyDescent="0.2">
      <c r="D73" s="24">
        <v>1500</v>
      </c>
      <c r="E73" s="24"/>
      <c r="F73" s="24"/>
      <c r="G73" s="24"/>
      <c r="H73" s="24"/>
      <c r="K73" s="24">
        <f>D73/1500</f>
        <v>1</v>
      </c>
      <c r="L73" s="24">
        <v>30</v>
      </c>
    </row>
    <row r="74" spans="2:27" x14ac:dyDescent="0.2">
      <c r="D74" s="24">
        <v>100000</v>
      </c>
      <c r="E74" s="24"/>
      <c r="F74" s="24"/>
      <c r="G74" s="24"/>
      <c r="H74" s="24"/>
      <c r="K74" s="24">
        <v>1</v>
      </c>
      <c r="L74" s="24">
        <v>30</v>
      </c>
    </row>
    <row r="75" spans="2:27" x14ac:dyDescent="0.2">
      <c r="D75" s="24"/>
      <c r="E75" s="24"/>
      <c r="F75" s="24"/>
      <c r="G75" s="24"/>
      <c r="H75" s="24"/>
      <c r="L75" s="24"/>
    </row>
    <row r="76" spans="2:27" x14ac:dyDescent="0.2">
      <c r="E76" s="23"/>
      <c r="F76" s="82"/>
      <c r="I76" s="23"/>
      <c r="K76" s="82"/>
      <c r="L76" s="24"/>
      <c r="M76" s="23"/>
    </row>
    <row r="77" spans="2:27" x14ac:dyDescent="0.2">
      <c r="E77" s="23"/>
      <c r="F77" s="82"/>
      <c r="I77" s="23"/>
      <c r="K77" s="82"/>
      <c r="L77" s="24"/>
      <c r="M77" s="88"/>
      <c r="N77" s="24"/>
      <c r="O77" s="82"/>
      <c r="P77" s="23"/>
      <c r="Q77" s="88"/>
      <c r="R77" s="88"/>
      <c r="S77" s="88"/>
      <c r="T77" s="88"/>
    </row>
    <row r="78" spans="2:27" x14ac:dyDescent="0.2">
      <c r="D78" s="23" t="s">
        <v>29</v>
      </c>
      <c r="E78" s="23"/>
      <c r="F78" s="82"/>
      <c r="I78" s="23"/>
      <c r="K78" s="82"/>
      <c r="L78" s="24">
        <v>1.1000000000000001</v>
      </c>
      <c r="M78" s="88"/>
      <c r="N78" s="24"/>
      <c r="O78" s="82"/>
      <c r="P78" s="23"/>
      <c r="Q78" s="88"/>
      <c r="R78" s="88"/>
      <c r="S78" s="88"/>
      <c r="T78" s="88"/>
      <c r="W78" s="23"/>
    </row>
    <row r="79" spans="2:27" s="99" customFormat="1" ht="19" x14ac:dyDescent="0.2">
      <c r="D79" s="101" t="s">
        <v>11</v>
      </c>
      <c r="E79" s="101" t="s">
        <v>82</v>
      </c>
      <c r="F79" s="101" t="s">
        <v>23</v>
      </c>
      <c r="G79" s="101" t="s">
        <v>11</v>
      </c>
      <c r="H79" s="101"/>
      <c r="I79" s="101" t="s">
        <v>83</v>
      </c>
      <c r="J79" s="100"/>
      <c r="K79" s="101" t="s">
        <v>73</v>
      </c>
      <c r="L79" s="101" t="s">
        <v>73</v>
      </c>
      <c r="M79" s="101" t="s">
        <v>86</v>
      </c>
      <c r="N79" s="101"/>
      <c r="O79" s="100" t="s">
        <v>133</v>
      </c>
      <c r="Q79" s="102"/>
      <c r="R79" s="102"/>
      <c r="S79" s="102"/>
      <c r="T79" s="102"/>
      <c r="U79" s="101"/>
      <c r="V79" s="100"/>
      <c r="X79" s="102"/>
    </row>
    <row r="80" spans="2:27" s="99" customFormat="1" ht="19" x14ac:dyDescent="0.2">
      <c r="D80" s="101" t="s">
        <v>12</v>
      </c>
      <c r="E80" s="101" t="s">
        <v>5</v>
      </c>
      <c r="F80" s="101" t="s">
        <v>14</v>
      </c>
      <c r="G80" s="101" t="s">
        <v>12</v>
      </c>
      <c r="H80" s="101"/>
      <c r="I80" s="101" t="s">
        <v>7</v>
      </c>
      <c r="J80" s="100"/>
      <c r="K80" s="101" t="s">
        <v>75</v>
      </c>
      <c r="L80" s="101" t="s">
        <v>75</v>
      </c>
      <c r="M80" s="101" t="s">
        <v>14</v>
      </c>
      <c r="N80" s="101"/>
      <c r="O80" s="100"/>
      <c r="Q80" s="102"/>
      <c r="R80" s="102"/>
      <c r="S80" s="102"/>
      <c r="T80" s="102"/>
      <c r="U80" s="101"/>
      <c r="V80" s="100"/>
      <c r="X80" s="102"/>
    </row>
    <row r="81" spans="2:27" x14ac:dyDescent="0.2">
      <c r="D81" s="24">
        <f>S8</f>
        <v>7</v>
      </c>
      <c r="E81" s="105">
        <f>F46</f>
        <v>-1000000</v>
      </c>
      <c r="F81" s="104">
        <f>300/D81</f>
        <v>42.857142857142854</v>
      </c>
      <c r="G81" s="24">
        <f>D81</f>
        <v>7</v>
      </c>
      <c r="H81" s="24"/>
      <c r="I81" s="24">
        <f>POWER(10, E81/10)/1000</f>
        <v>0</v>
      </c>
      <c r="K81" s="104">
        <f>I81/(4*PI() *M81*M81)/10</f>
        <v>0</v>
      </c>
      <c r="L81" s="104">
        <f>K81*L$78</f>
        <v>0</v>
      </c>
      <c r="M81" s="24">
        <f>X8</f>
        <v>10000</v>
      </c>
      <c r="N81" s="24"/>
      <c r="O81" s="82">
        <f>POWER(10,F$17/10)</f>
        <v>10000</v>
      </c>
      <c r="P81" s="23"/>
      <c r="Q81" s="88"/>
      <c r="R81" s="88"/>
      <c r="S81" s="88"/>
      <c r="T81" s="88"/>
      <c r="W81" s="23"/>
    </row>
    <row r="82" spans="2:27" x14ac:dyDescent="0.2">
      <c r="D82" s="24">
        <f>S9</f>
        <v>900</v>
      </c>
      <c r="E82" s="105">
        <f t="shared" ref="E82:E85" si="0">F47</f>
        <v>-1000000</v>
      </c>
      <c r="F82" s="104">
        <f>300/D82</f>
        <v>0.33333333333333331</v>
      </c>
      <c r="G82" s="24">
        <f t="shared" ref="G82:G85" si="1">D82</f>
        <v>900</v>
      </c>
      <c r="H82" s="24"/>
      <c r="I82" s="24">
        <f t="shared" ref="I82:I85" si="2">POWER(10, E82/10)/1000</f>
        <v>0</v>
      </c>
      <c r="K82" s="104">
        <f t="shared" ref="K82:K85" si="3">I82/(4*PI() *M82*M82)/10</f>
        <v>0</v>
      </c>
      <c r="L82" s="104">
        <f t="shared" ref="L82:L85" si="4">K82*L$78</f>
        <v>0</v>
      </c>
      <c r="M82" s="24">
        <f>X9</f>
        <v>100</v>
      </c>
      <c r="N82" s="24"/>
      <c r="O82" s="82">
        <f t="shared" ref="O82:O85" si="5">POWER(10,F$17/10)</f>
        <v>10000</v>
      </c>
      <c r="P82" s="23"/>
      <c r="Q82" s="88"/>
      <c r="R82" s="88"/>
      <c r="S82" s="88"/>
      <c r="T82" s="88"/>
      <c r="W82" s="23"/>
    </row>
    <row r="83" spans="2:27" x14ac:dyDescent="0.2">
      <c r="D83" s="24">
        <f>S10</f>
        <v>10000</v>
      </c>
      <c r="E83" s="105">
        <f t="shared" si="0"/>
        <v>80</v>
      </c>
      <c r="F83" s="104">
        <f>300/D83</f>
        <v>0.03</v>
      </c>
      <c r="G83" s="24">
        <f t="shared" si="1"/>
        <v>10000</v>
      </c>
      <c r="H83" s="24"/>
      <c r="I83" s="24">
        <f t="shared" si="2"/>
        <v>100000</v>
      </c>
      <c r="K83" s="104">
        <f t="shared" si="3"/>
        <v>6.1402370020021351E-13</v>
      </c>
      <c r="L83" s="104">
        <f t="shared" si="4"/>
        <v>6.7542607022023491E-13</v>
      </c>
      <c r="M83" s="24">
        <f>X10</f>
        <v>36000000</v>
      </c>
      <c r="N83" s="24"/>
      <c r="O83" s="82">
        <f t="shared" si="5"/>
        <v>10000</v>
      </c>
      <c r="P83" s="23"/>
      <c r="Q83" s="88"/>
      <c r="R83" s="88"/>
      <c r="S83" s="88"/>
      <c r="T83" s="88"/>
      <c r="W83" s="23"/>
    </row>
    <row r="84" spans="2:27" x14ac:dyDescent="0.2">
      <c r="D84" s="24">
        <f>S11</f>
        <v>1</v>
      </c>
      <c r="E84" s="105">
        <f t="shared" si="0"/>
        <v>-1000000</v>
      </c>
      <c r="F84" s="104">
        <f>300/D84</f>
        <v>300</v>
      </c>
      <c r="G84" s="24">
        <f t="shared" si="1"/>
        <v>1</v>
      </c>
      <c r="H84" s="24"/>
      <c r="I84" s="24">
        <f t="shared" si="2"/>
        <v>0</v>
      </c>
      <c r="K84" s="104">
        <f t="shared" si="3"/>
        <v>0</v>
      </c>
      <c r="L84" s="104">
        <f t="shared" si="4"/>
        <v>0</v>
      </c>
      <c r="M84" s="24">
        <f>X11</f>
        <v>100</v>
      </c>
      <c r="N84" s="24"/>
      <c r="O84" s="82">
        <f t="shared" si="5"/>
        <v>10000</v>
      </c>
      <c r="P84" s="23"/>
      <c r="Q84" s="88"/>
      <c r="R84" s="88"/>
      <c r="S84" s="88"/>
      <c r="T84" s="88"/>
      <c r="W84" s="23"/>
    </row>
    <row r="85" spans="2:27" x14ac:dyDescent="0.2">
      <c r="D85" s="24">
        <f>S12</f>
        <v>3</v>
      </c>
      <c r="E85" s="105">
        <f t="shared" si="0"/>
        <v>-1000000</v>
      </c>
      <c r="F85" s="104">
        <f>300/D85</f>
        <v>100</v>
      </c>
      <c r="G85" s="24">
        <f t="shared" si="1"/>
        <v>3</v>
      </c>
      <c r="H85" s="24"/>
      <c r="I85" s="24">
        <f t="shared" si="2"/>
        <v>0</v>
      </c>
      <c r="K85" s="104">
        <f t="shared" si="3"/>
        <v>0</v>
      </c>
      <c r="L85" s="104">
        <f t="shared" si="4"/>
        <v>0</v>
      </c>
      <c r="M85" s="24">
        <f>X12</f>
        <v>20000000</v>
      </c>
      <c r="N85" s="24"/>
      <c r="O85" s="82">
        <f t="shared" si="5"/>
        <v>10000</v>
      </c>
      <c r="P85" s="23"/>
      <c r="Q85" s="88"/>
      <c r="R85" s="88"/>
      <c r="S85" s="88"/>
      <c r="T85" s="88"/>
      <c r="W85" s="23"/>
    </row>
    <row r="86" spans="2:27" x14ac:dyDescent="0.2">
      <c r="D86" s="24"/>
      <c r="E86" s="105"/>
      <c r="F86" s="104"/>
      <c r="G86" s="24"/>
      <c r="H86" s="24"/>
      <c r="K86" s="104"/>
      <c r="L86" s="104"/>
      <c r="N86" s="24"/>
      <c r="O86" s="82"/>
      <c r="P86" s="23"/>
      <c r="Q86" s="88"/>
      <c r="R86" s="88"/>
      <c r="S86" s="88"/>
      <c r="T86" s="88"/>
      <c r="W86" s="23"/>
    </row>
    <row r="87" spans="2:27" x14ac:dyDescent="0.2">
      <c r="D87" s="24"/>
      <c r="E87" s="24"/>
      <c r="F87" s="104"/>
      <c r="G87" s="24"/>
      <c r="H87" s="24"/>
      <c r="L87" s="24"/>
      <c r="N87" s="24"/>
      <c r="O87" s="82"/>
      <c r="P87" s="23"/>
      <c r="Q87" s="88"/>
      <c r="R87" s="88"/>
      <c r="S87" s="88"/>
      <c r="T87" s="88"/>
      <c r="W87" s="23"/>
    </row>
    <row r="88" spans="2:27" s="88" customFormat="1" x14ac:dyDescent="0.2">
      <c r="B88" s="23"/>
      <c r="C88" s="23"/>
      <c r="D88" s="24"/>
      <c r="E88" s="24"/>
      <c r="F88" s="104"/>
      <c r="G88" s="24"/>
      <c r="H88" s="24"/>
      <c r="I88" s="24"/>
      <c r="J88" s="82"/>
      <c r="K88" s="24"/>
      <c r="L88" s="24"/>
      <c r="M88" s="24"/>
      <c r="N88" s="24"/>
      <c r="O88" s="82"/>
      <c r="P88" s="23"/>
      <c r="U88" s="24"/>
      <c r="V88" s="82"/>
      <c r="W88" s="23"/>
      <c r="Y88" s="23"/>
      <c r="Z88" s="23"/>
      <c r="AA88" s="23"/>
    </row>
    <row r="89" spans="2:27" s="88" customFormat="1" x14ac:dyDescent="0.2">
      <c r="B89" s="23"/>
      <c r="C89" s="23"/>
      <c r="D89" s="23" t="s">
        <v>22</v>
      </c>
      <c r="E89" s="23"/>
      <c r="F89" s="82"/>
      <c r="G89" s="23"/>
      <c r="H89" s="23"/>
      <c r="I89" s="23"/>
      <c r="J89" s="24"/>
      <c r="K89" s="82"/>
      <c r="L89" s="24"/>
      <c r="N89" s="24"/>
      <c r="O89" s="82"/>
      <c r="P89" s="23"/>
      <c r="R89" s="23"/>
      <c r="S89" s="23"/>
      <c r="U89" s="24"/>
      <c r="V89" s="82"/>
      <c r="W89" s="23"/>
      <c r="Y89" s="23"/>
      <c r="Z89" s="23"/>
      <c r="AA89" s="23"/>
    </row>
    <row r="90" spans="2:27" s="88" customFormat="1" x14ac:dyDescent="0.2">
      <c r="B90" s="23"/>
      <c r="C90" s="23"/>
      <c r="D90" s="23"/>
      <c r="E90" s="23"/>
      <c r="F90" s="82"/>
      <c r="G90" s="23"/>
      <c r="H90" s="23"/>
      <c r="I90" s="23"/>
      <c r="J90" s="24"/>
      <c r="K90" s="82"/>
      <c r="L90" s="24"/>
      <c r="N90" s="24"/>
      <c r="P90" s="23"/>
      <c r="R90" s="23"/>
      <c r="S90" s="23"/>
      <c r="T90" s="23"/>
      <c r="U90" s="24"/>
      <c r="V90" s="82"/>
      <c r="W90" s="23"/>
      <c r="Y90" s="23"/>
      <c r="Z90" s="23"/>
      <c r="AA90" s="23"/>
    </row>
    <row r="91" spans="2:27" s="88" customFormat="1" ht="57" x14ac:dyDescent="0.2">
      <c r="B91" s="23"/>
      <c r="C91" s="23"/>
      <c r="D91" s="23" t="s">
        <v>11</v>
      </c>
      <c r="E91" s="23" t="s">
        <v>17</v>
      </c>
      <c r="F91" s="82"/>
      <c r="G91" s="23" t="s">
        <v>23</v>
      </c>
      <c r="H91" s="23" t="s">
        <v>25</v>
      </c>
      <c r="I91" s="23"/>
      <c r="J91" s="24"/>
      <c r="K91" s="82"/>
      <c r="L91" s="24" t="s">
        <v>138</v>
      </c>
      <c r="M91" s="24"/>
      <c r="N91" s="100" t="s">
        <v>133</v>
      </c>
      <c r="O91" s="24" t="s">
        <v>137</v>
      </c>
      <c r="P91" s="23"/>
      <c r="R91" s="23"/>
      <c r="S91" s="23"/>
      <c r="T91" s="23"/>
      <c r="U91" s="24"/>
      <c r="V91" s="82"/>
      <c r="W91" s="24"/>
      <c r="Y91" s="23"/>
      <c r="Z91" s="23"/>
      <c r="AA91" s="23"/>
    </row>
    <row r="92" spans="2:27" s="88" customFormat="1" x14ac:dyDescent="0.2">
      <c r="B92" s="23"/>
      <c r="C92" s="23"/>
      <c r="D92" s="23" t="s">
        <v>12</v>
      </c>
      <c r="E92" s="23" t="s">
        <v>24</v>
      </c>
      <c r="F92" s="82"/>
      <c r="G92" s="23" t="s">
        <v>14</v>
      </c>
      <c r="H92" s="23" t="s">
        <v>26</v>
      </c>
      <c r="I92" s="23"/>
      <c r="J92" s="24"/>
      <c r="K92" s="82"/>
      <c r="L92" s="24" t="s">
        <v>20</v>
      </c>
      <c r="M92" s="24"/>
      <c r="N92" s="24"/>
      <c r="O92" s="24" t="s">
        <v>20</v>
      </c>
      <c r="P92" s="23"/>
      <c r="R92" s="23"/>
      <c r="S92" s="23"/>
      <c r="T92" s="23"/>
      <c r="U92" s="24"/>
      <c r="V92" s="82"/>
      <c r="W92" s="24"/>
      <c r="Y92" s="23"/>
      <c r="Z92" s="23"/>
      <c r="AA92" s="23"/>
    </row>
    <row r="93" spans="2:27" x14ac:dyDescent="0.2">
      <c r="D93" s="23">
        <v>0.3</v>
      </c>
      <c r="E93" s="150">
        <v>1.0000000000000001E-18</v>
      </c>
      <c r="F93" s="137"/>
      <c r="G93" s="23">
        <f t="shared" ref="G93:G98" si="6">300/D93</f>
        <v>1000</v>
      </c>
      <c r="H93" s="147">
        <f>F$16*1000000</f>
        <v>5000000</v>
      </c>
      <c r="I93" s="23"/>
      <c r="J93" s="24"/>
      <c r="K93" s="82"/>
      <c r="L93" s="147">
        <f t="shared" ref="L93:L98" si="7">E93*H93/10</f>
        <v>5.0000000000000009E-13</v>
      </c>
      <c r="N93" s="24">
        <f>O81</f>
        <v>10000</v>
      </c>
      <c r="O93" s="147">
        <f>L93*N93</f>
        <v>5.0000000000000009E-9</v>
      </c>
      <c r="P93" s="23"/>
      <c r="Q93" s="88"/>
    </row>
    <row r="94" spans="2:27" x14ac:dyDescent="0.2">
      <c r="D94" s="23">
        <v>3</v>
      </c>
      <c r="E94" s="150">
        <v>9.9999999999999995E-21</v>
      </c>
      <c r="F94" s="137"/>
      <c r="G94" s="23">
        <f t="shared" si="6"/>
        <v>100</v>
      </c>
      <c r="H94" s="147">
        <f t="shared" ref="H94:H98" si="8">F$16*1000000</f>
        <v>5000000</v>
      </c>
      <c r="I94" s="23"/>
      <c r="J94" s="24"/>
      <c r="K94" s="82"/>
      <c r="L94" s="24">
        <f t="shared" si="7"/>
        <v>4.9999999999999992E-15</v>
      </c>
      <c r="N94" s="24">
        <f>N93</f>
        <v>10000</v>
      </c>
      <c r="O94" s="147">
        <f t="shared" ref="O94:O98" si="9">L94*N94</f>
        <v>4.9999999999999989E-11</v>
      </c>
      <c r="P94" s="139"/>
      <c r="Q94" s="88"/>
    </row>
    <row r="95" spans="2:27" s="88" customFormat="1" x14ac:dyDescent="0.2">
      <c r="B95" s="23"/>
      <c r="D95" s="23">
        <v>30</v>
      </c>
      <c r="E95" s="150">
        <v>1.0000000000000001E-18</v>
      </c>
      <c r="F95" s="137"/>
      <c r="G95" s="23">
        <f t="shared" si="6"/>
        <v>10</v>
      </c>
      <c r="H95" s="147">
        <f t="shared" si="8"/>
        <v>5000000</v>
      </c>
      <c r="I95" s="23"/>
      <c r="J95" s="24"/>
      <c r="K95" s="82"/>
      <c r="L95" s="24">
        <f t="shared" si="7"/>
        <v>5.0000000000000009E-13</v>
      </c>
      <c r="M95" s="24"/>
      <c r="N95" s="24">
        <f t="shared" ref="N95:N98" si="10">N94</f>
        <v>10000</v>
      </c>
      <c r="O95" s="147">
        <f t="shared" si="9"/>
        <v>5.0000000000000009E-9</v>
      </c>
      <c r="P95" s="23"/>
      <c r="R95" s="23"/>
      <c r="S95" s="23"/>
      <c r="T95" s="23"/>
      <c r="U95" s="24"/>
      <c r="V95" s="82"/>
      <c r="W95" s="24"/>
      <c r="Y95" s="23"/>
      <c r="Z95" s="23"/>
      <c r="AA95" s="23"/>
    </row>
    <row r="96" spans="2:27" s="88" customFormat="1" x14ac:dyDescent="0.2">
      <c r="B96" s="23"/>
      <c r="D96" s="23">
        <v>300</v>
      </c>
      <c r="E96" s="150">
        <v>1.0000000000000001E-18</v>
      </c>
      <c r="F96" s="137"/>
      <c r="G96" s="23">
        <f t="shared" si="6"/>
        <v>1</v>
      </c>
      <c r="H96" s="147">
        <f t="shared" si="8"/>
        <v>5000000</v>
      </c>
      <c r="I96" s="23"/>
      <c r="J96" s="24"/>
      <c r="K96" s="82"/>
      <c r="L96" s="24">
        <f t="shared" si="7"/>
        <v>5.0000000000000009E-13</v>
      </c>
      <c r="M96" s="24"/>
      <c r="N96" s="24">
        <f t="shared" si="10"/>
        <v>10000</v>
      </c>
      <c r="O96" s="147">
        <f t="shared" si="9"/>
        <v>5.0000000000000009E-9</v>
      </c>
      <c r="P96" s="23"/>
      <c r="R96" s="23"/>
      <c r="S96" s="23"/>
      <c r="T96" s="23"/>
      <c r="U96" s="24"/>
      <c r="V96" s="82"/>
      <c r="W96" s="24"/>
      <c r="Y96" s="23"/>
      <c r="Z96" s="23"/>
      <c r="AA96" s="23"/>
    </row>
    <row r="97" spans="2:27" s="88" customFormat="1" x14ac:dyDescent="0.2">
      <c r="B97" s="23"/>
      <c r="D97" s="23">
        <v>3000</v>
      </c>
      <c r="E97" s="150">
        <v>9.9999999999999998E-20</v>
      </c>
      <c r="F97" s="137"/>
      <c r="G97" s="23">
        <f t="shared" si="6"/>
        <v>0.1</v>
      </c>
      <c r="H97" s="147">
        <f t="shared" si="8"/>
        <v>5000000</v>
      </c>
      <c r="I97" s="23"/>
      <c r="J97" s="24"/>
      <c r="K97" s="82"/>
      <c r="L97" s="24">
        <f t="shared" si="7"/>
        <v>5.0000000000000002E-14</v>
      </c>
      <c r="M97" s="24"/>
      <c r="N97" s="24">
        <f t="shared" si="10"/>
        <v>10000</v>
      </c>
      <c r="O97" s="147">
        <f t="shared" si="9"/>
        <v>5.0000000000000003E-10</v>
      </c>
      <c r="P97" s="23"/>
      <c r="R97" s="23"/>
      <c r="S97" s="23"/>
      <c r="T97" s="23"/>
      <c r="U97" s="24"/>
      <c r="V97" s="82"/>
      <c r="W97" s="24"/>
      <c r="Y97" s="23"/>
      <c r="Z97" s="23"/>
      <c r="AA97" s="23"/>
    </row>
    <row r="98" spans="2:27" s="88" customFormat="1" x14ac:dyDescent="0.2">
      <c r="B98" s="23"/>
      <c r="D98" s="23">
        <v>100000</v>
      </c>
      <c r="E98" s="150">
        <v>1.0000000000000001E-18</v>
      </c>
      <c r="F98" s="137"/>
      <c r="G98" s="23">
        <f t="shared" si="6"/>
        <v>3.0000000000000001E-3</v>
      </c>
      <c r="H98" s="147">
        <f t="shared" si="8"/>
        <v>5000000</v>
      </c>
      <c r="I98" s="23"/>
      <c r="J98" s="24"/>
      <c r="K98" s="82"/>
      <c r="L98" s="24">
        <f t="shared" si="7"/>
        <v>5.0000000000000009E-13</v>
      </c>
      <c r="M98" s="24"/>
      <c r="N98" s="24">
        <f t="shared" si="10"/>
        <v>10000</v>
      </c>
      <c r="O98" s="147">
        <f t="shared" si="9"/>
        <v>5.0000000000000009E-9</v>
      </c>
      <c r="P98" s="23"/>
      <c r="R98" s="23"/>
      <c r="S98" s="23"/>
      <c r="T98" s="23"/>
      <c r="U98" s="24"/>
      <c r="V98" s="82"/>
      <c r="W98" s="24"/>
      <c r="Y98" s="23"/>
      <c r="Z98" s="23"/>
      <c r="AA98" s="23"/>
    </row>
    <row r="99" spans="2:27" s="88" customFormat="1" x14ac:dyDescent="0.2">
      <c r="B99" s="23"/>
      <c r="L99" s="24"/>
      <c r="M99" s="24"/>
      <c r="N99" s="24"/>
      <c r="O99" s="24"/>
      <c r="S99" s="23"/>
      <c r="T99" s="23"/>
      <c r="U99" s="24"/>
      <c r="V99" s="82"/>
      <c r="W99" s="24"/>
      <c r="Y99" s="23"/>
      <c r="Z99" s="23"/>
      <c r="AA99" s="23"/>
    </row>
    <row r="100" spans="2:27" s="88" customFormat="1" x14ac:dyDescent="0.2">
      <c r="B100" s="23"/>
      <c r="S100" s="23"/>
      <c r="T100" s="23"/>
      <c r="U100" s="24"/>
      <c r="V100" s="82"/>
      <c r="W100" s="24"/>
      <c r="Y100" s="23"/>
      <c r="Z100" s="23"/>
      <c r="AA100" s="23"/>
    </row>
    <row r="101" spans="2:27" s="88" customFormat="1" x14ac:dyDescent="0.2">
      <c r="B101" s="23"/>
      <c r="S101" s="23"/>
      <c r="T101" s="23"/>
      <c r="U101" s="24"/>
      <c r="V101" s="82"/>
      <c r="W101" s="24"/>
      <c r="Y101" s="23"/>
      <c r="Z101" s="23"/>
      <c r="AA101" s="23"/>
    </row>
    <row r="102" spans="2:27" s="88" customFormat="1" x14ac:dyDescent="0.2">
      <c r="B102" s="23"/>
      <c r="D102" s="23" t="s">
        <v>112</v>
      </c>
      <c r="E102" s="23"/>
      <c r="F102" s="82"/>
      <c r="G102" s="23"/>
      <c r="H102" s="23"/>
      <c r="I102" s="23"/>
      <c r="J102" s="24"/>
      <c r="K102" s="82"/>
      <c r="L102" s="24"/>
      <c r="N102" s="24"/>
      <c r="O102" s="82"/>
      <c r="P102" s="23"/>
      <c r="R102" s="23"/>
      <c r="S102" s="23"/>
      <c r="T102" s="23"/>
      <c r="U102" s="24"/>
      <c r="V102" s="82"/>
      <c r="W102" s="24"/>
      <c r="Y102" s="23"/>
      <c r="Z102" s="23"/>
      <c r="AA102" s="23"/>
    </row>
    <row r="103" spans="2:27" s="88" customFormat="1" x14ac:dyDescent="0.2">
      <c r="B103" s="23"/>
      <c r="D103" s="23"/>
      <c r="E103" s="23"/>
      <c r="F103" s="82"/>
      <c r="G103" s="24" t="s">
        <v>28</v>
      </c>
      <c r="H103" s="23"/>
      <c r="I103" s="23"/>
      <c r="J103" s="24"/>
      <c r="K103" s="82" t="s">
        <v>114</v>
      </c>
      <c r="N103" s="24"/>
      <c r="O103" s="82" t="s">
        <v>114</v>
      </c>
      <c r="P103" s="23"/>
      <c r="R103" s="23"/>
      <c r="S103" s="23"/>
      <c r="T103" s="23"/>
      <c r="U103" s="24"/>
      <c r="V103" s="82"/>
      <c r="W103" s="24"/>
      <c r="Y103" s="23"/>
      <c r="Z103" s="23"/>
      <c r="AA103" s="23"/>
    </row>
    <row r="104" spans="2:27" s="101" customFormat="1" ht="38" x14ac:dyDescent="0.2">
      <c r="D104" s="101" t="s">
        <v>11</v>
      </c>
      <c r="E104" s="101" t="s">
        <v>109</v>
      </c>
      <c r="F104" s="101" t="s">
        <v>23</v>
      </c>
      <c r="G104" s="101" t="s">
        <v>113</v>
      </c>
      <c r="K104" s="101" t="s">
        <v>109</v>
      </c>
      <c r="O104" s="101" t="s">
        <v>110</v>
      </c>
    </row>
    <row r="105" spans="2:27" s="101" customFormat="1" ht="19" x14ac:dyDescent="0.2">
      <c r="D105" s="101" t="s">
        <v>12</v>
      </c>
      <c r="E105" s="101" t="s">
        <v>5</v>
      </c>
      <c r="F105" s="101" t="s">
        <v>14</v>
      </c>
      <c r="G105" s="101" t="s">
        <v>27</v>
      </c>
      <c r="K105" s="101" t="s">
        <v>20</v>
      </c>
      <c r="O105" s="101" t="s">
        <v>20</v>
      </c>
    </row>
    <row r="106" spans="2:27" x14ac:dyDescent="0.2">
      <c r="D106" s="23">
        <v>0.3</v>
      </c>
      <c r="E106" s="141">
        <f>F$19</f>
        <v>-43</v>
      </c>
      <c r="F106" s="24">
        <f t="shared" ref="F106:F111" si="11">300/D106</f>
        <v>1000</v>
      </c>
      <c r="G106" s="104">
        <f t="shared" ref="G106:G110" si="12">F106*F106*100*100 /(4 * PI())</f>
        <v>795774715.45947671</v>
      </c>
      <c r="J106" s="24"/>
      <c r="K106" s="138">
        <f t="shared" ref="K106:K111" si="13">POWER(10,E106/10) / G106</f>
        <v>6.2981045249457213E-14</v>
      </c>
      <c r="M106" s="88"/>
      <c r="N106" s="24"/>
      <c r="O106" s="138">
        <f>POWER(10,(-F$17+E106)/10) / G106</f>
        <v>6.2981045249457052E-18</v>
      </c>
      <c r="Q106" s="88"/>
    </row>
    <row r="107" spans="2:27" x14ac:dyDescent="0.2">
      <c r="D107" s="23">
        <v>3</v>
      </c>
      <c r="E107" s="141">
        <f t="shared" ref="E107:E111" si="14">F$19</f>
        <v>-43</v>
      </c>
      <c r="F107" s="24">
        <f t="shared" si="11"/>
        <v>100</v>
      </c>
      <c r="G107" s="104">
        <f t="shared" si="12"/>
        <v>7957747.1545947669</v>
      </c>
      <c r="J107" s="24"/>
      <c r="K107" s="138">
        <f t="shared" si="13"/>
        <v>6.2981045249457209E-12</v>
      </c>
      <c r="M107" s="88"/>
      <c r="N107" s="24"/>
      <c r="O107" s="138">
        <f t="shared" ref="O107:O111" si="15">POWER(10,(-F$17+E107)/10) / G107</f>
        <v>6.2981045249457056E-16</v>
      </c>
      <c r="Q107" s="88"/>
    </row>
    <row r="108" spans="2:27" x14ac:dyDescent="0.2">
      <c r="D108" s="23">
        <v>30</v>
      </c>
      <c r="E108" s="141">
        <f t="shared" si="14"/>
        <v>-43</v>
      </c>
      <c r="F108" s="24">
        <f t="shared" si="11"/>
        <v>10</v>
      </c>
      <c r="G108" s="104">
        <f t="shared" si="12"/>
        <v>79577.471545947672</v>
      </c>
      <c r="J108" s="24"/>
      <c r="K108" s="138">
        <f t="shared" si="13"/>
        <v>6.2981045249457206E-10</v>
      </c>
      <c r="M108" s="88"/>
      <c r="N108" s="24"/>
      <c r="O108" s="138">
        <f t="shared" si="15"/>
        <v>6.2981045249457049E-14</v>
      </c>
      <c r="Q108" s="88"/>
    </row>
    <row r="109" spans="2:27" x14ac:dyDescent="0.2">
      <c r="D109" s="23">
        <v>300</v>
      </c>
      <c r="E109" s="141">
        <f t="shared" si="14"/>
        <v>-43</v>
      </c>
      <c r="F109" s="24">
        <f t="shared" si="11"/>
        <v>1</v>
      </c>
      <c r="G109" s="104">
        <f t="shared" si="12"/>
        <v>795.77471545947674</v>
      </c>
      <c r="J109" s="24"/>
      <c r="K109" s="138">
        <f t="shared" si="13"/>
        <v>6.2981045249457203E-8</v>
      </c>
      <c r="M109" s="88"/>
      <c r="N109" s="24"/>
      <c r="O109" s="138">
        <f t="shared" si="15"/>
        <v>6.2981045249457047E-12</v>
      </c>
      <c r="Q109" s="88"/>
    </row>
    <row r="110" spans="2:27" x14ac:dyDescent="0.2">
      <c r="D110" s="23">
        <v>3000</v>
      </c>
      <c r="E110" s="141">
        <f t="shared" si="14"/>
        <v>-43</v>
      </c>
      <c r="F110" s="24">
        <f t="shared" si="11"/>
        <v>0.1</v>
      </c>
      <c r="G110" s="104">
        <f t="shared" si="12"/>
        <v>7.9577471545947693</v>
      </c>
      <c r="J110" s="24"/>
      <c r="K110" s="138">
        <f t="shared" si="13"/>
        <v>6.2981045249457188E-6</v>
      </c>
      <c r="M110" s="88"/>
      <c r="N110" s="24"/>
      <c r="O110" s="138">
        <f t="shared" si="15"/>
        <v>6.2981045249457041E-10</v>
      </c>
      <c r="Q110" s="88"/>
    </row>
    <row r="111" spans="2:27" x14ac:dyDescent="0.2">
      <c r="D111" s="23">
        <v>100000</v>
      </c>
      <c r="E111" s="141">
        <f t="shared" si="14"/>
        <v>-43</v>
      </c>
      <c r="F111" s="24">
        <f t="shared" si="11"/>
        <v>3.0000000000000001E-3</v>
      </c>
      <c r="G111" s="104">
        <f>F111*F111*100*100 /(4 * PI())</f>
        <v>7.1619724391352897E-3</v>
      </c>
      <c r="J111" s="24"/>
      <c r="K111" s="138">
        <f t="shared" si="13"/>
        <v>6.9978939166063575E-3</v>
      </c>
      <c r="M111" s="88"/>
      <c r="N111" s="24"/>
      <c r="O111" s="138">
        <f t="shared" si="15"/>
        <v>6.9978939166063404E-7</v>
      </c>
      <c r="Q111" s="88"/>
    </row>
    <row r="115" spans="4:19" x14ac:dyDescent="0.2">
      <c r="D115" s="23" t="s">
        <v>111</v>
      </c>
      <c r="E115" s="23"/>
      <c r="F115" s="82"/>
    </row>
    <row r="116" spans="4:19" x14ac:dyDescent="0.2">
      <c r="E116" s="23"/>
      <c r="F116" s="82"/>
      <c r="G116" s="24" t="s">
        <v>28</v>
      </c>
      <c r="K116" s="82" t="s">
        <v>114</v>
      </c>
      <c r="M116" s="88"/>
      <c r="N116" s="24"/>
      <c r="O116" s="82" t="s">
        <v>114</v>
      </c>
      <c r="S116" s="82" t="s">
        <v>114</v>
      </c>
    </row>
    <row r="117" spans="4:19" ht="57" x14ac:dyDescent="0.2">
      <c r="D117" s="101" t="s">
        <v>11</v>
      </c>
      <c r="E117" s="101" t="s">
        <v>115</v>
      </c>
      <c r="F117" s="101" t="s">
        <v>23</v>
      </c>
      <c r="G117" s="101" t="s">
        <v>113</v>
      </c>
      <c r="K117" s="101" t="s">
        <v>134</v>
      </c>
      <c r="L117" s="101"/>
      <c r="M117" s="101" t="s">
        <v>136</v>
      </c>
      <c r="N117" s="101"/>
      <c r="O117" s="101" t="s">
        <v>132</v>
      </c>
      <c r="S117" s="101" t="s">
        <v>135</v>
      </c>
    </row>
    <row r="118" spans="4:19" ht="19" x14ac:dyDescent="0.2">
      <c r="D118" s="101" t="s">
        <v>12</v>
      </c>
      <c r="E118" s="101" t="s">
        <v>5</v>
      </c>
      <c r="F118" s="101" t="s">
        <v>14</v>
      </c>
      <c r="G118" s="101" t="s">
        <v>27</v>
      </c>
      <c r="K118" s="101" t="s">
        <v>20</v>
      </c>
      <c r="L118" s="101"/>
      <c r="M118" s="101"/>
      <c r="N118" s="101"/>
      <c r="O118" s="101" t="s">
        <v>20</v>
      </c>
      <c r="S118" s="101" t="s">
        <v>20</v>
      </c>
    </row>
    <row r="119" spans="4:19" x14ac:dyDescent="0.2">
      <c r="D119" s="23">
        <v>0.3</v>
      </c>
      <c r="E119" s="141">
        <f>F$27</f>
        <v>-100.81764995101059</v>
      </c>
      <c r="F119" s="24">
        <f t="shared" ref="F119:F124" si="16">300/D119</f>
        <v>1000</v>
      </c>
      <c r="G119" s="24">
        <f>F119*F119*100*100 /(4 * PI())</f>
        <v>795774715.45947671</v>
      </c>
      <c r="K119" s="138">
        <f>POWER(10,E119/10) / G119</f>
        <v>1.0409859523140197E-19</v>
      </c>
      <c r="M119" s="88">
        <f>POWER(10,F18/10)</f>
        <v>31.622776601683803</v>
      </c>
      <c r="N119" s="24"/>
      <c r="O119" s="138">
        <f>POWER(10,(-F$17+E119)/10) / G119</f>
        <v>1.0409859523140151E-23</v>
      </c>
      <c r="S119" s="138">
        <f>O119*M119</f>
        <v>3.2918866215517167E-22</v>
      </c>
    </row>
    <row r="120" spans="4:19" x14ac:dyDescent="0.2">
      <c r="D120" s="23">
        <v>3</v>
      </c>
      <c r="E120" s="141">
        <f t="shared" ref="E120:E124" si="17">F$27</f>
        <v>-100.81764995101059</v>
      </c>
      <c r="F120" s="24">
        <f t="shared" si="16"/>
        <v>100</v>
      </c>
      <c r="G120" s="24">
        <f t="shared" ref="G119:G124" si="18">F120*F120*100*100 /(4 * PI())</f>
        <v>7957747.1545947669</v>
      </c>
      <c r="K120" s="138">
        <f t="shared" ref="K120:K124" si="19">POWER(10,E120/10) / G120</f>
        <v>1.0409859523140197E-17</v>
      </c>
      <c r="M120" s="88">
        <f>M119</f>
        <v>31.622776601683803</v>
      </c>
      <c r="N120" s="24"/>
      <c r="O120" s="138">
        <f t="shared" ref="O120:O124" si="20">POWER(10,(-F$17+E120)/10) / G120</f>
        <v>1.0409859523140151E-21</v>
      </c>
      <c r="S120" s="138">
        <f t="shared" ref="S120:S124" si="21">O120*M120</f>
        <v>3.2918866215517168E-20</v>
      </c>
    </row>
    <row r="121" spans="4:19" x14ac:dyDescent="0.2">
      <c r="D121" s="23">
        <v>30</v>
      </c>
      <c r="E121" s="141">
        <f t="shared" si="17"/>
        <v>-100.81764995101059</v>
      </c>
      <c r="F121" s="24">
        <f t="shared" si="16"/>
        <v>10</v>
      </c>
      <c r="G121" s="24">
        <f t="shared" si="18"/>
        <v>79577.471545947672</v>
      </c>
      <c r="K121" s="138">
        <f t="shared" si="19"/>
        <v>1.0409859523140197E-15</v>
      </c>
      <c r="M121" s="88">
        <f t="shared" ref="M121:M124" si="22">M120</f>
        <v>31.622776601683803</v>
      </c>
      <c r="N121" s="24"/>
      <c r="O121" s="138">
        <f t="shared" si="20"/>
        <v>1.0409859523140151E-19</v>
      </c>
      <c r="S121" s="138">
        <f t="shared" si="21"/>
        <v>3.2918866215517168E-18</v>
      </c>
    </row>
    <row r="122" spans="4:19" x14ac:dyDescent="0.2">
      <c r="D122" s="23">
        <v>300</v>
      </c>
      <c r="E122" s="141">
        <f t="shared" si="17"/>
        <v>-100.81764995101059</v>
      </c>
      <c r="F122" s="24">
        <f t="shared" si="16"/>
        <v>1</v>
      </c>
      <c r="G122" s="24">
        <f t="shared" si="18"/>
        <v>795.77471545947674</v>
      </c>
      <c r="K122" s="138">
        <f t="shared" si="19"/>
        <v>1.0409859523140197E-13</v>
      </c>
      <c r="M122" s="88">
        <f t="shared" si="22"/>
        <v>31.622776601683803</v>
      </c>
      <c r="N122" s="24"/>
      <c r="O122" s="138">
        <f t="shared" si="20"/>
        <v>1.0409859523140151E-17</v>
      </c>
      <c r="S122" s="138">
        <f t="shared" si="21"/>
        <v>3.2918866215517167E-16</v>
      </c>
    </row>
    <row r="123" spans="4:19" x14ac:dyDescent="0.2">
      <c r="D123" s="23">
        <v>3000</v>
      </c>
      <c r="E123" s="141">
        <f t="shared" si="17"/>
        <v>-100.81764995101059</v>
      </c>
      <c r="F123" s="24">
        <f t="shared" si="16"/>
        <v>0.1</v>
      </c>
      <c r="G123" s="24">
        <f t="shared" si="18"/>
        <v>7.9577471545947693</v>
      </c>
      <c r="K123" s="138">
        <f t="shared" si="19"/>
        <v>1.0409859523140194E-11</v>
      </c>
      <c r="M123" s="88">
        <f t="shared" si="22"/>
        <v>31.622776601683803</v>
      </c>
      <c r="N123" s="24"/>
      <c r="O123" s="138">
        <f t="shared" si="20"/>
        <v>1.0409859523140149E-15</v>
      </c>
      <c r="S123" s="138">
        <f t="shared" si="21"/>
        <v>3.2918866215517161E-14</v>
      </c>
    </row>
    <row r="124" spans="4:19" x14ac:dyDescent="0.2">
      <c r="D124" s="23">
        <v>100000</v>
      </c>
      <c r="E124" s="141">
        <f t="shared" si="17"/>
        <v>-100.81764995101059</v>
      </c>
      <c r="F124" s="24">
        <f t="shared" si="16"/>
        <v>3.0000000000000001E-3</v>
      </c>
      <c r="G124" s="24">
        <f t="shared" si="18"/>
        <v>7.1619724391352897E-3</v>
      </c>
      <c r="K124" s="138">
        <f t="shared" si="19"/>
        <v>1.1566510581266887E-8</v>
      </c>
      <c r="M124" s="88">
        <f t="shared" si="22"/>
        <v>31.622776601683803</v>
      </c>
      <c r="N124" s="24"/>
      <c r="O124" s="138">
        <f t="shared" si="20"/>
        <v>1.1566510581266835E-12</v>
      </c>
      <c r="S124" s="138">
        <f t="shared" si="21"/>
        <v>3.6576518017241298E-11</v>
      </c>
    </row>
    <row r="127" spans="4:19" x14ac:dyDescent="0.2">
      <c r="D127" s="23" t="s">
        <v>141</v>
      </c>
      <c r="E127" s="23"/>
      <c r="F127" s="82"/>
    </row>
    <row r="128" spans="4:19" x14ac:dyDescent="0.2">
      <c r="D128" s="23">
        <v>300</v>
      </c>
      <c r="E128" s="23">
        <v>0.3</v>
      </c>
      <c r="F128" s="82"/>
      <c r="G128" s="24"/>
      <c r="K128" s="82"/>
      <c r="M128" s="88"/>
      <c r="N128" s="24"/>
      <c r="O128" s="82"/>
      <c r="S128" s="82"/>
    </row>
    <row r="129" spans="4:24" ht="19" x14ac:dyDescent="0.2">
      <c r="D129" s="23" t="s">
        <v>11</v>
      </c>
      <c r="E129" s="23" t="s">
        <v>17</v>
      </c>
      <c r="F129" s="82"/>
      <c r="G129" s="82" t="s">
        <v>23</v>
      </c>
      <c r="H129" s="23" t="s">
        <v>25</v>
      </c>
      <c r="I129" s="23"/>
      <c r="J129" s="24"/>
      <c r="K129" s="82"/>
      <c r="L129" s="24" t="s">
        <v>142</v>
      </c>
      <c r="N129" s="100"/>
      <c r="O129" s="101" t="s">
        <v>113</v>
      </c>
      <c r="S129" s="101" t="s">
        <v>143</v>
      </c>
      <c r="V129" s="82" t="s">
        <v>143</v>
      </c>
    </row>
    <row r="130" spans="4:24" ht="19" x14ac:dyDescent="0.2">
      <c r="D130" s="23" t="s">
        <v>12</v>
      </c>
      <c r="E130" s="23" t="s">
        <v>24</v>
      </c>
      <c r="F130" s="82"/>
      <c r="G130" s="82" t="s">
        <v>14</v>
      </c>
      <c r="H130" s="23" t="s">
        <v>26</v>
      </c>
      <c r="I130" s="23"/>
      <c r="J130" s="24"/>
      <c r="K130" s="82"/>
      <c r="L130" s="24" t="s">
        <v>20</v>
      </c>
      <c r="N130" s="24"/>
      <c r="O130" s="101" t="s">
        <v>27</v>
      </c>
      <c r="S130" s="101" t="s">
        <v>7</v>
      </c>
      <c r="V130" s="82" t="s">
        <v>5</v>
      </c>
    </row>
    <row r="131" spans="4:24" x14ac:dyDescent="0.2">
      <c r="D131" s="23">
        <v>0.3</v>
      </c>
      <c r="E131" s="150">
        <f>1E-20*D128</f>
        <v>2.9999999999999998E-18</v>
      </c>
      <c r="F131" s="137"/>
      <c r="G131" s="82">
        <f t="shared" ref="G131:G136" si="23">300/D131</f>
        <v>1000</v>
      </c>
      <c r="H131" s="147">
        <f>F$16*1000000</f>
        <v>5000000</v>
      </c>
      <c r="I131" s="23"/>
      <c r="J131" s="24"/>
      <c r="K131" s="82"/>
      <c r="L131" s="147">
        <f>E131*H131/10</f>
        <v>1.5000000000000001E-12</v>
      </c>
      <c r="N131" s="24"/>
      <c r="O131" s="24">
        <f>G119</f>
        <v>795774715.45947671</v>
      </c>
      <c r="S131" s="138">
        <f>L131*O131</f>
        <v>1.1936620731892152E-3</v>
      </c>
      <c r="V131" s="152">
        <f>10*LOG10(S131)</f>
        <v>-29.231186049664149</v>
      </c>
      <c r="X131" s="88">
        <v>-105</v>
      </c>
    </row>
    <row r="132" spans="4:24" x14ac:dyDescent="0.2">
      <c r="D132" s="23">
        <v>3</v>
      </c>
      <c r="E132" s="150">
        <f>E131*E$128</f>
        <v>8.9999999999999983E-19</v>
      </c>
      <c r="F132" s="137"/>
      <c r="G132" s="82">
        <f t="shared" si="23"/>
        <v>100</v>
      </c>
      <c r="H132" s="147">
        <f t="shared" ref="H132:H136" si="24">F$16*1000000</f>
        <v>5000000</v>
      </c>
      <c r="I132" s="23"/>
      <c r="J132" s="24"/>
      <c r="K132" s="82"/>
      <c r="L132" s="24">
        <f t="shared" ref="L131:L136" si="25">E132*H132/10</f>
        <v>4.499999999999999E-13</v>
      </c>
      <c r="N132" s="24"/>
      <c r="O132" s="24">
        <f t="shared" ref="O132:O136" si="26">G120</f>
        <v>7957747.1545947669</v>
      </c>
      <c r="S132" s="138">
        <f t="shared" ref="S132:S136" si="27">L132*O132</f>
        <v>3.5809862195676444E-6</v>
      </c>
      <c r="V132" s="152">
        <f t="shared" ref="V132:V136" si="28">10*LOG10(S132)</f>
        <v>-54.459973502467527</v>
      </c>
      <c r="X132" s="88">
        <v>-90</v>
      </c>
    </row>
    <row r="133" spans="4:24" x14ac:dyDescent="0.2">
      <c r="D133" s="23">
        <v>30</v>
      </c>
      <c r="E133" s="150">
        <f>E132*E$128</f>
        <v>2.6999999999999996E-19</v>
      </c>
      <c r="F133" s="137"/>
      <c r="G133" s="82">
        <f t="shared" si="23"/>
        <v>10</v>
      </c>
      <c r="H133" s="147">
        <f t="shared" si="24"/>
        <v>5000000</v>
      </c>
      <c r="I133" s="23"/>
      <c r="J133" s="24"/>
      <c r="K133" s="82"/>
      <c r="L133" s="24">
        <f t="shared" si="25"/>
        <v>1.3499999999999998E-13</v>
      </c>
      <c r="N133" s="24"/>
      <c r="O133" s="24">
        <f t="shared" si="26"/>
        <v>79577.471545947672</v>
      </c>
      <c r="S133" s="138">
        <f t="shared" si="27"/>
        <v>1.0742958658702934E-8</v>
      </c>
      <c r="V133" s="152">
        <f t="shared" si="28"/>
        <v>-79.688760955270908</v>
      </c>
      <c r="X133" s="88">
        <v>-105</v>
      </c>
    </row>
    <row r="134" spans="4:24" x14ac:dyDescent="0.2">
      <c r="D134" s="23">
        <v>300</v>
      </c>
      <c r="E134" s="150">
        <f t="shared" ref="E133:E136" si="29">E133*E$128</f>
        <v>8.0999999999999981E-20</v>
      </c>
      <c r="F134" s="137"/>
      <c r="G134" s="82">
        <f t="shared" si="23"/>
        <v>1</v>
      </c>
      <c r="H134" s="147">
        <f t="shared" si="24"/>
        <v>5000000</v>
      </c>
      <c r="I134" s="23"/>
      <c r="J134" s="24"/>
      <c r="K134" s="82"/>
      <c r="L134" s="24">
        <f t="shared" si="25"/>
        <v>4.0499999999999992E-14</v>
      </c>
      <c r="N134" s="24"/>
      <c r="O134" s="24">
        <f t="shared" si="26"/>
        <v>795.77471545947674</v>
      </c>
      <c r="S134" s="138">
        <f t="shared" si="27"/>
        <v>3.22288759761088E-11</v>
      </c>
      <c r="V134" s="152">
        <f t="shared" si="28"/>
        <v>-104.91754840807428</v>
      </c>
      <c r="X134" s="153">
        <v>-115</v>
      </c>
    </row>
    <row r="135" spans="4:24" x14ac:dyDescent="0.2">
      <c r="D135" s="23">
        <v>3000</v>
      </c>
      <c r="E135" s="150">
        <f t="shared" si="29"/>
        <v>2.4299999999999994E-20</v>
      </c>
      <c r="F135" s="137"/>
      <c r="G135" s="82">
        <f t="shared" si="23"/>
        <v>0.1</v>
      </c>
      <c r="H135" s="147">
        <f t="shared" si="24"/>
        <v>5000000</v>
      </c>
      <c r="I135" s="23"/>
      <c r="J135" s="24"/>
      <c r="K135" s="82"/>
      <c r="L135" s="24">
        <f t="shared" si="25"/>
        <v>1.2149999999999996E-14</v>
      </c>
      <c r="N135" s="24"/>
      <c r="O135" s="24">
        <f t="shared" si="26"/>
        <v>7.9577471545947693</v>
      </c>
      <c r="S135" s="138">
        <f t="shared" si="27"/>
        <v>9.6686627928326412E-14</v>
      </c>
      <c r="V135" s="152">
        <f t="shared" si="28"/>
        <v>-130.14633586087766</v>
      </c>
      <c r="X135" s="153">
        <v>-135</v>
      </c>
    </row>
    <row r="136" spans="4:24" x14ac:dyDescent="0.2">
      <c r="D136" s="23">
        <v>100000</v>
      </c>
      <c r="E136" s="150">
        <f>E135*E$128</f>
        <v>7.289999999999998E-21</v>
      </c>
      <c r="F136" s="137"/>
      <c r="G136" s="82">
        <f t="shared" si="23"/>
        <v>3.0000000000000001E-3</v>
      </c>
      <c r="H136" s="147">
        <f t="shared" si="24"/>
        <v>5000000</v>
      </c>
      <c r="I136" s="23"/>
      <c r="J136" s="24"/>
      <c r="K136" s="82"/>
      <c r="L136" s="24">
        <f t="shared" si="25"/>
        <v>3.6449999999999991E-15</v>
      </c>
      <c r="N136" s="24"/>
      <c r="O136" s="24">
        <f t="shared" si="26"/>
        <v>7.1619724391352897E-3</v>
      </c>
      <c r="S136" s="138">
        <f t="shared" si="27"/>
        <v>2.6105389540648124E-17</v>
      </c>
      <c r="V136" s="152">
        <f t="shared" si="28"/>
        <v>-165.83269821928778</v>
      </c>
      <c r="X136" s="153">
        <v>-155</v>
      </c>
    </row>
    <row r="137" spans="4:24" x14ac:dyDescent="0.2">
      <c r="H137" s="151"/>
    </row>
    <row r="141" spans="4:24" x14ac:dyDescent="0.2">
      <c r="E141" s="23"/>
      <c r="I141" s="23"/>
      <c r="K141" s="23"/>
      <c r="L141" s="23"/>
      <c r="M141" s="23"/>
      <c r="N141" s="23"/>
      <c r="P141" s="23"/>
    </row>
    <row r="142" spans="4:24" x14ac:dyDescent="0.2">
      <c r="E142" s="23"/>
      <c r="I142" s="23"/>
      <c r="K142" s="23"/>
      <c r="L142" s="23"/>
      <c r="M142" s="23"/>
      <c r="N142" s="23"/>
      <c r="P142" s="23"/>
    </row>
    <row r="143" spans="4:24" x14ac:dyDescent="0.2">
      <c r="E143" s="23"/>
      <c r="I143" s="23"/>
      <c r="K143" s="23"/>
      <c r="L143" s="23"/>
      <c r="M143" s="23"/>
      <c r="N143" s="23"/>
      <c r="P143" s="23"/>
    </row>
    <row r="144" spans="4:24" x14ac:dyDescent="0.2">
      <c r="E144" s="23"/>
      <c r="I144" s="23"/>
      <c r="K144" s="23"/>
      <c r="L144" s="23"/>
      <c r="M144" s="23"/>
      <c r="N144" s="23"/>
      <c r="P144" s="23"/>
    </row>
    <row r="145" spans="5:16" x14ac:dyDescent="0.2">
      <c r="E145" s="23"/>
      <c r="I145" s="23"/>
      <c r="K145" s="23"/>
      <c r="L145" s="23"/>
      <c r="M145" s="23"/>
      <c r="N145" s="23"/>
      <c r="P145" s="23"/>
    </row>
    <row r="146" spans="5:16" x14ac:dyDescent="0.2">
      <c r="E146" s="23"/>
      <c r="I146" s="23"/>
      <c r="K146" s="23"/>
      <c r="L146" s="23"/>
      <c r="M146" s="23"/>
      <c r="N146" s="23"/>
      <c r="P146" s="23"/>
    </row>
    <row r="147" spans="5:16" x14ac:dyDescent="0.2">
      <c r="E147" s="23"/>
      <c r="I147" s="23"/>
      <c r="K147" s="23"/>
      <c r="L147" s="23"/>
      <c r="M147" s="23"/>
      <c r="N147" s="23"/>
      <c r="P147" s="23"/>
    </row>
    <row r="148" spans="5:16" x14ac:dyDescent="0.2">
      <c r="E148" s="23"/>
      <c r="I148" s="23"/>
      <c r="K148" s="23"/>
      <c r="L148" s="23"/>
      <c r="M148" s="23"/>
      <c r="N148" s="23"/>
      <c r="P148" s="23"/>
    </row>
    <row r="149" spans="5:16" x14ac:dyDescent="0.2">
      <c r="E149" s="23"/>
      <c r="I149" s="23"/>
      <c r="K149" s="23"/>
      <c r="L149" s="23"/>
      <c r="M149" s="23"/>
      <c r="N149" s="23"/>
      <c r="P149" s="23"/>
    </row>
    <row r="150" spans="5:16" x14ac:dyDescent="0.2">
      <c r="E150" s="23"/>
      <c r="I150" s="23"/>
      <c r="K150" s="23"/>
      <c r="L150" s="23"/>
      <c r="M150" s="23"/>
      <c r="N150" s="23"/>
      <c r="P150" s="23"/>
    </row>
    <row r="151" spans="5:16" x14ac:dyDescent="0.2">
      <c r="E151" s="23"/>
      <c r="I151" s="23"/>
      <c r="K151" s="23"/>
      <c r="L151" s="23"/>
      <c r="M151" s="23"/>
      <c r="N151" s="23"/>
      <c r="P151" s="23"/>
    </row>
  </sheetData>
  <sheetProtection sheet="1" objects="1" scenarios="1" selectLockedCells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6DEE-203C-2244-817A-88F79D785B26}">
  <dimension ref="B1:Y51"/>
  <sheetViews>
    <sheetView zoomScale="140" zoomScaleNormal="140" workbookViewId="0">
      <selection activeCell="F23" sqref="F23"/>
    </sheetView>
  </sheetViews>
  <sheetFormatPr baseColWidth="10" defaultColWidth="11.5" defaultRowHeight="18" x14ac:dyDescent="0.2"/>
  <cols>
    <col min="1" max="1" width="3" style="23" customWidth="1"/>
    <col min="2" max="2" width="3.83203125" style="23" customWidth="1"/>
    <col min="3" max="3" width="2.83203125" style="23" customWidth="1"/>
    <col min="4" max="4" width="15.33203125" style="23" customWidth="1"/>
    <col min="5" max="5" width="6.1640625" style="23" customWidth="1"/>
    <col min="6" max="6" width="11.6640625" style="23" customWidth="1"/>
    <col min="7" max="7" width="4.5" style="23" customWidth="1"/>
    <col min="8" max="8" width="13.33203125" style="23" customWidth="1"/>
    <col min="9" max="9" width="10.1640625" style="23" customWidth="1"/>
    <col min="10" max="10" width="3.33203125" style="23" customWidth="1"/>
    <col min="11" max="11" width="13.83203125" style="23" customWidth="1"/>
    <col min="12" max="12" width="9.33203125" style="23" customWidth="1"/>
    <col min="13" max="13" width="7.83203125" style="23" customWidth="1"/>
    <col min="14" max="14" width="13.5" style="23" customWidth="1"/>
    <col min="15" max="15" width="12.33203125" style="24" customWidth="1"/>
    <col min="16" max="16" width="12.5" style="23" customWidth="1"/>
    <col min="17" max="17" width="11.6640625" style="23" customWidth="1"/>
    <col min="18" max="18" width="8.33203125" style="23" customWidth="1"/>
    <col min="19" max="19" width="10.5" style="24" customWidth="1"/>
    <col min="20" max="20" width="9.83203125" style="23" customWidth="1"/>
    <col min="21" max="21" width="13.33203125" style="23" customWidth="1"/>
    <col min="22" max="23" width="11.5" style="23"/>
    <col min="24" max="24" width="2.83203125" style="23" customWidth="1"/>
    <col min="25" max="25" width="3" style="23" customWidth="1"/>
    <col min="26" max="261" width="11.5" style="23"/>
    <col min="262" max="262" width="7.33203125" style="23" customWidth="1"/>
    <col min="263" max="263" width="7.5" style="23" customWidth="1"/>
    <col min="264" max="264" width="7.6640625" style="23" customWidth="1"/>
    <col min="265" max="265" width="4.5" style="23" customWidth="1"/>
    <col min="266" max="266" width="4.83203125" style="23" customWidth="1"/>
    <col min="267" max="267" width="7" style="23" customWidth="1"/>
    <col min="268" max="268" width="7.5" style="23" customWidth="1"/>
    <col min="269" max="269" width="4.6640625" style="23" customWidth="1"/>
    <col min="270" max="270" width="5.1640625" style="23" customWidth="1"/>
    <col min="271" max="271" width="9.6640625" style="23" customWidth="1"/>
    <col min="272" max="272" width="7.33203125" style="23" customWidth="1"/>
    <col min="273" max="273" width="4.5" style="23" customWidth="1"/>
    <col min="274" max="517" width="11.5" style="23"/>
    <col min="518" max="518" width="7.33203125" style="23" customWidth="1"/>
    <col min="519" max="519" width="7.5" style="23" customWidth="1"/>
    <col min="520" max="520" width="7.6640625" style="23" customWidth="1"/>
    <col min="521" max="521" width="4.5" style="23" customWidth="1"/>
    <col min="522" max="522" width="4.83203125" style="23" customWidth="1"/>
    <col min="523" max="523" width="7" style="23" customWidth="1"/>
    <col min="524" max="524" width="7.5" style="23" customWidth="1"/>
    <col min="525" max="525" width="4.6640625" style="23" customWidth="1"/>
    <col min="526" max="526" width="5.1640625" style="23" customWidth="1"/>
    <col min="527" max="527" width="9.6640625" style="23" customWidth="1"/>
    <col min="528" max="528" width="7.33203125" style="23" customWidth="1"/>
    <col min="529" max="529" width="4.5" style="23" customWidth="1"/>
    <col min="530" max="773" width="11.5" style="23"/>
    <col min="774" max="774" width="7.33203125" style="23" customWidth="1"/>
    <col min="775" max="775" width="7.5" style="23" customWidth="1"/>
    <col min="776" max="776" width="7.6640625" style="23" customWidth="1"/>
    <col min="777" max="777" width="4.5" style="23" customWidth="1"/>
    <col min="778" max="778" width="4.83203125" style="23" customWidth="1"/>
    <col min="779" max="779" width="7" style="23" customWidth="1"/>
    <col min="780" max="780" width="7.5" style="23" customWidth="1"/>
    <col min="781" max="781" width="4.6640625" style="23" customWidth="1"/>
    <col min="782" max="782" width="5.1640625" style="23" customWidth="1"/>
    <col min="783" max="783" width="9.6640625" style="23" customWidth="1"/>
    <col min="784" max="784" width="7.33203125" style="23" customWidth="1"/>
    <col min="785" max="785" width="4.5" style="23" customWidth="1"/>
    <col min="786" max="1029" width="11.5" style="23"/>
    <col min="1030" max="1030" width="7.33203125" style="23" customWidth="1"/>
    <col min="1031" max="1031" width="7.5" style="23" customWidth="1"/>
    <col min="1032" max="1032" width="7.6640625" style="23" customWidth="1"/>
    <col min="1033" max="1033" width="4.5" style="23" customWidth="1"/>
    <col min="1034" max="1034" width="4.83203125" style="23" customWidth="1"/>
    <col min="1035" max="1035" width="7" style="23" customWidth="1"/>
    <col min="1036" max="1036" width="7.5" style="23" customWidth="1"/>
    <col min="1037" max="1037" width="4.6640625" style="23" customWidth="1"/>
    <col min="1038" max="1038" width="5.1640625" style="23" customWidth="1"/>
    <col min="1039" max="1039" width="9.6640625" style="23" customWidth="1"/>
    <col min="1040" max="1040" width="7.33203125" style="23" customWidth="1"/>
    <col min="1041" max="1041" width="4.5" style="23" customWidth="1"/>
    <col min="1042" max="1285" width="11.5" style="23"/>
    <col min="1286" max="1286" width="7.33203125" style="23" customWidth="1"/>
    <col min="1287" max="1287" width="7.5" style="23" customWidth="1"/>
    <col min="1288" max="1288" width="7.6640625" style="23" customWidth="1"/>
    <col min="1289" max="1289" width="4.5" style="23" customWidth="1"/>
    <col min="1290" max="1290" width="4.83203125" style="23" customWidth="1"/>
    <col min="1291" max="1291" width="7" style="23" customWidth="1"/>
    <col min="1292" max="1292" width="7.5" style="23" customWidth="1"/>
    <col min="1293" max="1293" width="4.6640625" style="23" customWidth="1"/>
    <col min="1294" max="1294" width="5.1640625" style="23" customWidth="1"/>
    <col min="1295" max="1295" width="9.6640625" style="23" customWidth="1"/>
    <col min="1296" max="1296" width="7.33203125" style="23" customWidth="1"/>
    <col min="1297" max="1297" width="4.5" style="23" customWidth="1"/>
    <col min="1298" max="1541" width="11.5" style="23"/>
    <col min="1542" max="1542" width="7.33203125" style="23" customWidth="1"/>
    <col min="1543" max="1543" width="7.5" style="23" customWidth="1"/>
    <col min="1544" max="1544" width="7.6640625" style="23" customWidth="1"/>
    <col min="1545" max="1545" width="4.5" style="23" customWidth="1"/>
    <col min="1546" max="1546" width="4.83203125" style="23" customWidth="1"/>
    <col min="1547" max="1547" width="7" style="23" customWidth="1"/>
    <col min="1548" max="1548" width="7.5" style="23" customWidth="1"/>
    <col min="1549" max="1549" width="4.6640625" style="23" customWidth="1"/>
    <col min="1550" max="1550" width="5.1640625" style="23" customWidth="1"/>
    <col min="1551" max="1551" width="9.6640625" style="23" customWidth="1"/>
    <col min="1552" max="1552" width="7.33203125" style="23" customWidth="1"/>
    <col min="1553" max="1553" width="4.5" style="23" customWidth="1"/>
    <col min="1554" max="1797" width="11.5" style="23"/>
    <col min="1798" max="1798" width="7.33203125" style="23" customWidth="1"/>
    <col min="1799" max="1799" width="7.5" style="23" customWidth="1"/>
    <col min="1800" max="1800" width="7.6640625" style="23" customWidth="1"/>
    <col min="1801" max="1801" width="4.5" style="23" customWidth="1"/>
    <col min="1802" max="1802" width="4.83203125" style="23" customWidth="1"/>
    <col min="1803" max="1803" width="7" style="23" customWidth="1"/>
    <col min="1804" max="1804" width="7.5" style="23" customWidth="1"/>
    <col min="1805" max="1805" width="4.6640625" style="23" customWidth="1"/>
    <col min="1806" max="1806" width="5.1640625" style="23" customWidth="1"/>
    <col min="1807" max="1807" width="9.6640625" style="23" customWidth="1"/>
    <col min="1808" max="1808" width="7.33203125" style="23" customWidth="1"/>
    <col min="1809" max="1809" width="4.5" style="23" customWidth="1"/>
    <col min="1810" max="2053" width="11.5" style="23"/>
    <col min="2054" max="2054" width="7.33203125" style="23" customWidth="1"/>
    <col min="2055" max="2055" width="7.5" style="23" customWidth="1"/>
    <col min="2056" max="2056" width="7.6640625" style="23" customWidth="1"/>
    <col min="2057" max="2057" width="4.5" style="23" customWidth="1"/>
    <col min="2058" max="2058" width="4.83203125" style="23" customWidth="1"/>
    <col min="2059" max="2059" width="7" style="23" customWidth="1"/>
    <col min="2060" max="2060" width="7.5" style="23" customWidth="1"/>
    <col min="2061" max="2061" width="4.6640625" style="23" customWidth="1"/>
    <col min="2062" max="2062" width="5.1640625" style="23" customWidth="1"/>
    <col min="2063" max="2063" width="9.6640625" style="23" customWidth="1"/>
    <col min="2064" max="2064" width="7.33203125" style="23" customWidth="1"/>
    <col min="2065" max="2065" width="4.5" style="23" customWidth="1"/>
    <col min="2066" max="2309" width="11.5" style="23"/>
    <col min="2310" max="2310" width="7.33203125" style="23" customWidth="1"/>
    <col min="2311" max="2311" width="7.5" style="23" customWidth="1"/>
    <col min="2312" max="2312" width="7.6640625" style="23" customWidth="1"/>
    <col min="2313" max="2313" width="4.5" style="23" customWidth="1"/>
    <col min="2314" max="2314" width="4.83203125" style="23" customWidth="1"/>
    <col min="2315" max="2315" width="7" style="23" customWidth="1"/>
    <col min="2316" max="2316" width="7.5" style="23" customWidth="1"/>
    <col min="2317" max="2317" width="4.6640625" style="23" customWidth="1"/>
    <col min="2318" max="2318" width="5.1640625" style="23" customWidth="1"/>
    <col min="2319" max="2319" width="9.6640625" style="23" customWidth="1"/>
    <col min="2320" max="2320" width="7.33203125" style="23" customWidth="1"/>
    <col min="2321" max="2321" width="4.5" style="23" customWidth="1"/>
    <col min="2322" max="2565" width="11.5" style="23"/>
    <col min="2566" max="2566" width="7.33203125" style="23" customWidth="1"/>
    <col min="2567" max="2567" width="7.5" style="23" customWidth="1"/>
    <col min="2568" max="2568" width="7.6640625" style="23" customWidth="1"/>
    <col min="2569" max="2569" width="4.5" style="23" customWidth="1"/>
    <col min="2570" max="2570" width="4.83203125" style="23" customWidth="1"/>
    <col min="2571" max="2571" width="7" style="23" customWidth="1"/>
    <col min="2572" max="2572" width="7.5" style="23" customWidth="1"/>
    <col min="2573" max="2573" width="4.6640625" style="23" customWidth="1"/>
    <col min="2574" max="2574" width="5.1640625" style="23" customWidth="1"/>
    <col min="2575" max="2575" width="9.6640625" style="23" customWidth="1"/>
    <col min="2576" max="2576" width="7.33203125" style="23" customWidth="1"/>
    <col min="2577" max="2577" width="4.5" style="23" customWidth="1"/>
    <col min="2578" max="2821" width="11.5" style="23"/>
    <col min="2822" max="2822" width="7.33203125" style="23" customWidth="1"/>
    <col min="2823" max="2823" width="7.5" style="23" customWidth="1"/>
    <col min="2824" max="2824" width="7.6640625" style="23" customWidth="1"/>
    <col min="2825" max="2825" width="4.5" style="23" customWidth="1"/>
    <col min="2826" max="2826" width="4.83203125" style="23" customWidth="1"/>
    <col min="2827" max="2827" width="7" style="23" customWidth="1"/>
    <col min="2828" max="2828" width="7.5" style="23" customWidth="1"/>
    <col min="2829" max="2829" width="4.6640625" style="23" customWidth="1"/>
    <col min="2830" max="2830" width="5.1640625" style="23" customWidth="1"/>
    <col min="2831" max="2831" width="9.6640625" style="23" customWidth="1"/>
    <col min="2832" max="2832" width="7.33203125" style="23" customWidth="1"/>
    <col min="2833" max="2833" width="4.5" style="23" customWidth="1"/>
    <col min="2834" max="3077" width="11.5" style="23"/>
    <col min="3078" max="3078" width="7.33203125" style="23" customWidth="1"/>
    <col min="3079" max="3079" width="7.5" style="23" customWidth="1"/>
    <col min="3080" max="3080" width="7.6640625" style="23" customWidth="1"/>
    <col min="3081" max="3081" width="4.5" style="23" customWidth="1"/>
    <col min="3082" max="3082" width="4.83203125" style="23" customWidth="1"/>
    <col min="3083" max="3083" width="7" style="23" customWidth="1"/>
    <col min="3084" max="3084" width="7.5" style="23" customWidth="1"/>
    <col min="3085" max="3085" width="4.6640625" style="23" customWidth="1"/>
    <col min="3086" max="3086" width="5.1640625" style="23" customWidth="1"/>
    <col min="3087" max="3087" width="9.6640625" style="23" customWidth="1"/>
    <col min="3088" max="3088" width="7.33203125" style="23" customWidth="1"/>
    <col min="3089" max="3089" width="4.5" style="23" customWidth="1"/>
    <col min="3090" max="3333" width="11.5" style="23"/>
    <col min="3334" max="3334" width="7.33203125" style="23" customWidth="1"/>
    <col min="3335" max="3335" width="7.5" style="23" customWidth="1"/>
    <col min="3336" max="3336" width="7.6640625" style="23" customWidth="1"/>
    <col min="3337" max="3337" width="4.5" style="23" customWidth="1"/>
    <col min="3338" max="3338" width="4.83203125" style="23" customWidth="1"/>
    <col min="3339" max="3339" width="7" style="23" customWidth="1"/>
    <col min="3340" max="3340" width="7.5" style="23" customWidth="1"/>
    <col min="3341" max="3341" width="4.6640625" style="23" customWidth="1"/>
    <col min="3342" max="3342" width="5.1640625" style="23" customWidth="1"/>
    <col min="3343" max="3343" width="9.6640625" style="23" customWidth="1"/>
    <col min="3344" max="3344" width="7.33203125" style="23" customWidth="1"/>
    <col min="3345" max="3345" width="4.5" style="23" customWidth="1"/>
    <col min="3346" max="3589" width="11.5" style="23"/>
    <col min="3590" max="3590" width="7.33203125" style="23" customWidth="1"/>
    <col min="3591" max="3591" width="7.5" style="23" customWidth="1"/>
    <col min="3592" max="3592" width="7.6640625" style="23" customWidth="1"/>
    <col min="3593" max="3593" width="4.5" style="23" customWidth="1"/>
    <col min="3594" max="3594" width="4.83203125" style="23" customWidth="1"/>
    <col min="3595" max="3595" width="7" style="23" customWidth="1"/>
    <col min="3596" max="3596" width="7.5" style="23" customWidth="1"/>
    <col min="3597" max="3597" width="4.6640625" style="23" customWidth="1"/>
    <col min="3598" max="3598" width="5.1640625" style="23" customWidth="1"/>
    <col min="3599" max="3599" width="9.6640625" style="23" customWidth="1"/>
    <col min="3600" max="3600" width="7.33203125" style="23" customWidth="1"/>
    <col min="3601" max="3601" width="4.5" style="23" customWidth="1"/>
    <col min="3602" max="3845" width="11.5" style="23"/>
    <col min="3846" max="3846" width="7.33203125" style="23" customWidth="1"/>
    <col min="3847" max="3847" width="7.5" style="23" customWidth="1"/>
    <col min="3848" max="3848" width="7.6640625" style="23" customWidth="1"/>
    <col min="3849" max="3849" width="4.5" style="23" customWidth="1"/>
    <col min="3850" max="3850" width="4.83203125" style="23" customWidth="1"/>
    <col min="3851" max="3851" width="7" style="23" customWidth="1"/>
    <col min="3852" max="3852" width="7.5" style="23" customWidth="1"/>
    <col min="3853" max="3853" width="4.6640625" style="23" customWidth="1"/>
    <col min="3854" max="3854" width="5.1640625" style="23" customWidth="1"/>
    <col min="3855" max="3855" width="9.6640625" style="23" customWidth="1"/>
    <col min="3856" max="3856" width="7.33203125" style="23" customWidth="1"/>
    <col min="3857" max="3857" width="4.5" style="23" customWidth="1"/>
    <col min="3858" max="4101" width="11.5" style="23"/>
    <col min="4102" max="4102" width="7.33203125" style="23" customWidth="1"/>
    <col min="4103" max="4103" width="7.5" style="23" customWidth="1"/>
    <col min="4104" max="4104" width="7.6640625" style="23" customWidth="1"/>
    <col min="4105" max="4105" width="4.5" style="23" customWidth="1"/>
    <col min="4106" max="4106" width="4.83203125" style="23" customWidth="1"/>
    <col min="4107" max="4107" width="7" style="23" customWidth="1"/>
    <col min="4108" max="4108" width="7.5" style="23" customWidth="1"/>
    <col min="4109" max="4109" width="4.6640625" style="23" customWidth="1"/>
    <col min="4110" max="4110" width="5.1640625" style="23" customWidth="1"/>
    <col min="4111" max="4111" width="9.6640625" style="23" customWidth="1"/>
    <col min="4112" max="4112" width="7.33203125" style="23" customWidth="1"/>
    <col min="4113" max="4113" width="4.5" style="23" customWidth="1"/>
    <col min="4114" max="4357" width="11.5" style="23"/>
    <col min="4358" max="4358" width="7.33203125" style="23" customWidth="1"/>
    <col min="4359" max="4359" width="7.5" style="23" customWidth="1"/>
    <col min="4360" max="4360" width="7.6640625" style="23" customWidth="1"/>
    <col min="4361" max="4361" width="4.5" style="23" customWidth="1"/>
    <col min="4362" max="4362" width="4.83203125" style="23" customWidth="1"/>
    <col min="4363" max="4363" width="7" style="23" customWidth="1"/>
    <col min="4364" max="4364" width="7.5" style="23" customWidth="1"/>
    <col min="4365" max="4365" width="4.6640625" style="23" customWidth="1"/>
    <col min="4366" max="4366" width="5.1640625" style="23" customWidth="1"/>
    <col min="4367" max="4367" width="9.6640625" style="23" customWidth="1"/>
    <col min="4368" max="4368" width="7.33203125" style="23" customWidth="1"/>
    <col min="4369" max="4369" width="4.5" style="23" customWidth="1"/>
    <col min="4370" max="4613" width="11.5" style="23"/>
    <col min="4614" max="4614" width="7.33203125" style="23" customWidth="1"/>
    <col min="4615" max="4615" width="7.5" style="23" customWidth="1"/>
    <col min="4616" max="4616" width="7.6640625" style="23" customWidth="1"/>
    <col min="4617" max="4617" width="4.5" style="23" customWidth="1"/>
    <col min="4618" max="4618" width="4.83203125" style="23" customWidth="1"/>
    <col min="4619" max="4619" width="7" style="23" customWidth="1"/>
    <col min="4620" max="4620" width="7.5" style="23" customWidth="1"/>
    <col min="4621" max="4621" width="4.6640625" style="23" customWidth="1"/>
    <col min="4622" max="4622" width="5.1640625" style="23" customWidth="1"/>
    <col min="4623" max="4623" width="9.6640625" style="23" customWidth="1"/>
    <col min="4624" max="4624" width="7.33203125" style="23" customWidth="1"/>
    <col min="4625" max="4625" width="4.5" style="23" customWidth="1"/>
    <col min="4626" max="4869" width="11.5" style="23"/>
    <col min="4870" max="4870" width="7.33203125" style="23" customWidth="1"/>
    <col min="4871" max="4871" width="7.5" style="23" customWidth="1"/>
    <col min="4872" max="4872" width="7.6640625" style="23" customWidth="1"/>
    <col min="4873" max="4873" width="4.5" style="23" customWidth="1"/>
    <col min="4874" max="4874" width="4.83203125" style="23" customWidth="1"/>
    <col min="4875" max="4875" width="7" style="23" customWidth="1"/>
    <col min="4876" max="4876" width="7.5" style="23" customWidth="1"/>
    <col min="4877" max="4877" width="4.6640625" style="23" customWidth="1"/>
    <col min="4878" max="4878" width="5.1640625" style="23" customWidth="1"/>
    <col min="4879" max="4879" width="9.6640625" style="23" customWidth="1"/>
    <col min="4880" max="4880" width="7.33203125" style="23" customWidth="1"/>
    <col min="4881" max="4881" width="4.5" style="23" customWidth="1"/>
    <col min="4882" max="5125" width="11.5" style="23"/>
    <col min="5126" max="5126" width="7.33203125" style="23" customWidth="1"/>
    <col min="5127" max="5127" width="7.5" style="23" customWidth="1"/>
    <col min="5128" max="5128" width="7.6640625" style="23" customWidth="1"/>
    <col min="5129" max="5129" width="4.5" style="23" customWidth="1"/>
    <col min="5130" max="5130" width="4.83203125" style="23" customWidth="1"/>
    <col min="5131" max="5131" width="7" style="23" customWidth="1"/>
    <col min="5132" max="5132" width="7.5" style="23" customWidth="1"/>
    <col min="5133" max="5133" width="4.6640625" style="23" customWidth="1"/>
    <col min="5134" max="5134" width="5.1640625" style="23" customWidth="1"/>
    <col min="5135" max="5135" width="9.6640625" style="23" customWidth="1"/>
    <col min="5136" max="5136" width="7.33203125" style="23" customWidth="1"/>
    <col min="5137" max="5137" width="4.5" style="23" customWidth="1"/>
    <col min="5138" max="5381" width="11.5" style="23"/>
    <col min="5382" max="5382" width="7.33203125" style="23" customWidth="1"/>
    <col min="5383" max="5383" width="7.5" style="23" customWidth="1"/>
    <col min="5384" max="5384" width="7.6640625" style="23" customWidth="1"/>
    <col min="5385" max="5385" width="4.5" style="23" customWidth="1"/>
    <col min="5386" max="5386" width="4.83203125" style="23" customWidth="1"/>
    <col min="5387" max="5387" width="7" style="23" customWidth="1"/>
    <col min="5388" max="5388" width="7.5" style="23" customWidth="1"/>
    <col min="5389" max="5389" width="4.6640625" style="23" customWidth="1"/>
    <col min="5390" max="5390" width="5.1640625" style="23" customWidth="1"/>
    <col min="5391" max="5391" width="9.6640625" style="23" customWidth="1"/>
    <col min="5392" max="5392" width="7.33203125" style="23" customWidth="1"/>
    <col min="5393" max="5393" width="4.5" style="23" customWidth="1"/>
    <col min="5394" max="5637" width="11.5" style="23"/>
    <col min="5638" max="5638" width="7.33203125" style="23" customWidth="1"/>
    <col min="5639" max="5639" width="7.5" style="23" customWidth="1"/>
    <col min="5640" max="5640" width="7.6640625" style="23" customWidth="1"/>
    <col min="5641" max="5641" width="4.5" style="23" customWidth="1"/>
    <col min="5642" max="5642" width="4.83203125" style="23" customWidth="1"/>
    <col min="5643" max="5643" width="7" style="23" customWidth="1"/>
    <col min="5644" max="5644" width="7.5" style="23" customWidth="1"/>
    <col min="5645" max="5645" width="4.6640625" style="23" customWidth="1"/>
    <col min="5646" max="5646" width="5.1640625" style="23" customWidth="1"/>
    <col min="5647" max="5647" width="9.6640625" style="23" customWidth="1"/>
    <col min="5648" max="5648" width="7.33203125" style="23" customWidth="1"/>
    <col min="5649" max="5649" width="4.5" style="23" customWidth="1"/>
    <col min="5650" max="5893" width="11.5" style="23"/>
    <col min="5894" max="5894" width="7.33203125" style="23" customWidth="1"/>
    <col min="5895" max="5895" width="7.5" style="23" customWidth="1"/>
    <col min="5896" max="5896" width="7.6640625" style="23" customWidth="1"/>
    <col min="5897" max="5897" width="4.5" style="23" customWidth="1"/>
    <col min="5898" max="5898" width="4.83203125" style="23" customWidth="1"/>
    <col min="5899" max="5899" width="7" style="23" customWidth="1"/>
    <col min="5900" max="5900" width="7.5" style="23" customWidth="1"/>
    <col min="5901" max="5901" width="4.6640625" style="23" customWidth="1"/>
    <col min="5902" max="5902" width="5.1640625" style="23" customWidth="1"/>
    <col min="5903" max="5903" width="9.6640625" style="23" customWidth="1"/>
    <col min="5904" max="5904" width="7.33203125" style="23" customWidth="1"/>
    <col min="5905" max="5905" width="4.5" style="23" customWidth="1"/>
    <col min="5906" max="6149" width="11.5" style="23"/>
    <col min="6150" max="6150" width="7.33203125" style="23" customWidth="1"/>
    <col min="6151" max="6151" width="7.5" style="23" customWidth="1"/>
    <col min="6152" max="6152" width="7.6640625" style="23" customWidth="1"/>
    <col min="6153" max="6153" width="4.5" style="23" customWidth="1"/>
    <col min="6154" max="6154" width="4.83203125" style="23" customWidth="1"/>
    <col min="6155" max="6155" width="7" style="23" customWidth="1"/>
    <col min="6156" max="6156" width="7.5" style="23" customWidth="1"/>
    <col min="6157" max="6157" width="4.6640625" style="23" customWidth="1"/>
    <col min="6158" max="6158" width="5.1640625" style="23" customWidth="1"/>
    <col min="6159" max="6159" width="9.6640625" style="23" customWidth="1"/>
    <col min="6160" max="6160" width="7.33203125" style="23" customWidth="1"/>
    <col min="6161" max="6161" width="4.5" style="23" customWidth="1"/>
    <col min="6162" max="6405" width="11.5" style="23"/>
    <col min="6406" max="6406" width="7.33203125" style="23" customWidth="1"/>
    <col min="6407" max="6407" width="7.5" style="23" customWidth="1"/>
    <col min="6408" max="6408" width="7.6640625" style="23" customWidth="1"/>
    <col min="6409" max="6409" width="4.5" style="23" customWidth="1"/>
    <col min="6410" max="6410" width="4.83203125" style="23" customWidth="1"/>
    <col min="6411" max="6411" width="7" style="23" customWidth="1"/>
    <col min="6412" max="6412" width="7.5" style="23" customWidth="1"/>
    <col min="6413" max="6413" width="4.6640625" style="23" customWidth="1"/>
    <col min="6414" max="6414" width="5.1640625" style="23" customWidth="1"/>
    <col min="6415" max="6415" width="9.6640625" style="23" customWidth="1"/>
    <col min="6416" max="6416" width="7.33203125" style="23" customWidth="1"/>
    <col min="6417" max="6417" width="4.5" style="23" customWidth="1"/>
    <col min="6418" max="6661" width="11.5" style="23"/>
    <col min="6662" max="6662" width="7.33203125" style="23" customWidth="1"/>
    <col min="6663" max="6663" width="7.5" style="23" customWidth="1"/>
    <col min="6664" max="6664" width="7.6640625" style="23" customWidth="1"/>
    <col min="6665" max="6665" width="4.5" style="23" customWidth="1"/>
    <col min="6666" max="6666" width="4.83203125" style="23" customWidth="1"/>
    <col min="6667" max="6667" width="7" style="23" customWidth="1"/>
    <col min="6668" max="6668" width="7.5" style="23" customWidth="1"/>
    <col min="6669" max="6669" width="4.6640625" style="23" customWidth="1"/>
    <col min="6670" max="6670" width="5.1640625" style="23" customWidth="1"/>
    <col min="6671" max="6671" width="9.6640625" style="23" customWidth="1"/>
    <col min="6672" max="6672" width="7.33203125" style="23" customWidth="1"/>
    <col min="6673" max="6673" width="4.5" style="23" customWidth="1"/>
    <col min="6674" max="6917" width="11.5" style="23"/>
    <col min="6918" max="6918" width="7.33203125" style="23" customWidth="1"/>
    <col min="6919" max="6919" width="7.5" style="23" customWidth="1"/>
    <col min="6920" max="6920" width="7.6640625" style="23" customWidth="1"/>
    <col min="6921" max="6921" width="4.5" style="23" customWidth="1"/>
    <col min="6922" max="6922" width="4.83203125" style="23" customWidth="1"/>
    <col min="6923" max="6923" width="7" style="23" customWidth="1"/>
    <col min="6924" max="6924" width="7.5" style="23" customWidth="1"/>
    <col min="6925" max="6925" width="4.6640625" style="23" customWidth="1"/>
    <col min="6926" max="6926" width="5.1640625" style="23" customWidth="1"/>
    <col min="6927" max="6927" width="9.6640625" style="23" customWidth="1"/>
    <col min="6928" max="6928" width="7.33203125" style="23" customWidth="1"/>
    <col min="6929" max="6929" width="4.5" style="23" customWidth="1"/>
    <col min="6930" max="7173" width="11.5" style="23"/>
    <col min="7174" max="7174" width="7.33203125" style="23" customWidth="1"/>
    <col min="7175" max="7175" width="7.5" style="23" customWidth="1"/>
    <col min="7176" max="7176" width="7.6640625" style="23" customWidth="1"/>
    <col min="7177" max="7177" width="4.5" style="23" customWidth="1"/>
    <col min="7178" max="7178" width="4.83203125" style="23" customWidth="1"/>
    <col min="7179" max="7179" width="7" style="23" customWidth="1"/>
    <col min="7180" max="7180" width="7.5" style="23" customWidth="1"/>
    <col min="7181" max="7181" width="4.6640625" style="23" customWidth="1"/>
    <col min="7182" max="7182" width="5.1640625" style="23" customWidth="1"/>
    <col min="7183" max="7183" width="9.6640625" style="23" customWidth="1"/>
    <col min="7184" max="7184" width="7.33203125" style="23" customWidth="1"/>
    <col min="7185" max="7185" width="4.5" style="23" customWidth="1"/>
    <col min="7186" max="7429" width="11.5" style="23"/>
    <col min="7430" max="7430" width="7.33203125" style="23" customWidth="1"/>
    <col min="7431" max="7431" width="7.5" style="23" customWidth="1"/>
    <col min="7432" max="7432" width="7.6640625" style="23" customWidth="1"/>
    <col min="7433" max="7433" width="4.5" style="23" customWidth="1"/>
    <col min="7434" max="7434" width="4.83203125" style="23" customWidth="1"/>
    <col min="7435" max="7435" width="7" style="23" customWidth="1"/>
    <col min="7436" max="7436" width="7.5" style="23" customWidth="1"/>
    <col min="7437" max="7437" width="4.6640625" style="23" customWidth="1"/>
    <col min="7438" max="7438" width="5.1640625" style="23" customWidth="1"/>
    <col min="7439" max="7439" width="9.6640625" style="23" customWidth="1"/>
    <col min="7440" max="7440" width="7.33203125" style="23" customWidth="1"/>
    <col min="7441" max="7441" width="4.5" style="23" customWidth="1"/>
    <col min="7442" max="7685" width="11.5" style="23"/>
    <col min="7686" max="7686" width="7.33203125" style="23" customWidth="1"/>
    <col min="7687" max="7687" width="7.5" style="23" customWidth="1"/>
    <col min="7688" max="7688" width="7.6640625" style="23" customWidth="1"/>
    <col min="7689" max="7689" width="4.5" style="23" customWidth="1"/>
    <col min="7690" max="7690" width="4.83203125" style="23" customWidth="1"/>
    <col min="7691" max="7691" width="7" style="23" customWidth="1"/>
    <col min="7692" max="7692" width="7.5" style="23" customWidth="1"/>
    <col min="7693" max="7693" width="4.6640625" style="23" customWidth="1"/>
    <col min="7694" max="7694" width="5.1640625" style="23" customWidth="1"/>
    <col min="7695" max="7695" width="9.6640625" style="23" customWidth="1"/>
    <col min="7696" max="7696" width="7.33203125" style="23" customWidth="1"/>
    <col min="7697" max="7697" width="4.5" style="23" customWidth="1"/>
    <col min="7698" max="7941" width="11.5" style="23"/>
    <col min="7942" max="7942" width="7.33203125" style="23" customWidth="1"/>
    <col min="7943" max="7943" width="7.5" style="23" customWidth="1"/>
    <col min="7944" max="7944" width="7.6640625" style="23" customWidth="1"/>
    <col min="7945" max="7945" width="4.5" style="23" customWidth="1"/>
    <col min="7946" max="7946" width="4.83203125" style="23" customWidth="1"/>
    <col min="7947" max="7947" width="7" style="23" customWidth="1"/>
    <col min="7948" max="7948" width="7.5" style="23" customWidth="1"/>
    <col min="7949" max="7949" width="4.6640625" style="23" customWidth="1"/>
    <col min="7950" max="7950" width="5.1640625" style="23" customWidth="1"/>
    <col min="7951" max="7951" width="9.6640625" style="23" customWidth="1"/>
    <col min="7952" max="7952" width="7.33203125" style="23" customWidth="1"/>
    <col min="7953" max="7953" width="4.5" style="23" customWidth="1"/>
    <col min="7954" max="8197" width="11.5" style="23"/>
    <col min="8198" max="8198" width="7.33203125" style="23" customWidth="1"/>
    <col min="8199" max="8199" width="7.5" style="23" customWidth="1"/>
    <col min="8200" max="8200" width="7.6640625" style="23" customWidth="1"/>
    <col min="8201" max="8201" width="4.5" style="23" customWidth="1"/>
    <col min="8202" max="8202" width="4.83203125" style="23" customWidth="1"/>
    <col min="8203" max="8203" width="7" style="23" customWidth="1"/>
    <col min="8204" max="8204" width="7.5" style="23" customWidth="1"/>
    <col min="8205" max="8205" width="4.6640625" style="23" customWidth="1"/>
    <col min="8206" max="8206" width="5.1640625" style="23" customWidth="1"/>
    <col min="8207" max="8207" width="9.6640625" style="23" customWidth="1"/>
    <col min="8208" max="8208" width="7.33203125" style="23" customWidth="1"/>
    <col min="8209" max="8209" width="4.5" style="23" customWidth="1"/>
    <col min="8210" max="8453" width="11.5" style="23"/>
    <col min="8454" max="8454" width="7.33203125" style="23" customWidth="1"/>
    <col min="8455" max="8455" width="7.5" style="23" customWidth="1"/>
    <col min="8456" max="8456" width="7.6640625" style="23" customWidth="1"/>
    <col min="8457" max="8457" width="4.5" style="23" customWidth="1"/>
    <col min="8458" max="8458" width="4.83203125" style="23" customWidth="1"/>
    <col min="8459" max="8459" width="7" style="23" customWidth="1"/>
    <col min="8460" max="8460" width="7.5" style="23" customWidth="1"/>
    <col min="8461" max="8461" width="4.6640625" style="23" customWidth="1"/>
    <col min="8462" max="8462" width="5.1640625" style="23" customWidth="1"/>
    <col min="8463" max="8463" width="9.6640625" style="23" customWidth="1"/>
    <col min="8464" max="8464" width="7.33203125" style="23" customWidth="1"/>
    <col min="8465" max="8465" width="4.5" style="23" customWidth="1"/>
    <col min="8466" max="8709" width="11.5" style="23"/>
    <col min="8710" max="8710" width="7.33203125" style="23" customWidth="1"/>
    <col min="8711" max="8711" width="7.5" style="23" customWidth="1"/>
    <col min="8712" max="8712" width="7.6640625" style="23" customWidth="1"/>
    <col min="8713" max="8713" width="4.5" style="23" customWidth="1"/>
    <col min="8714" max="8714" width="4.83203125" style="23" customWidth="1"/>
    <col min="8715" max="8715" width="7" style="23" customWidth="1"/>
    <col min="8716" max="8716" width="7.5" style="23" customWidth="1"/>
    <col min="8717" max="8717" width="4.6640625" style="23" customWidth="1"/>
    <col min="8718" max="8718" width="5.1640625" style="23" customWidth="1"/>
    <col min="8719" max="8719" width="9.6640625" style="23" customWidth="1"/>
    <col min="8720" max="8720" width="7.33203125" style="23" customWidth="1"/>
    <col min="8721" max="8721" width="4.5" style="23" customWidth="1"/>
    <col min="8722" max="8965" width="11.5" style="23"/>
    <col min="8966" max="8966" width="7.33203125" style="23" customWidth="1"/>
    <col min="8967" max="8967" width="7.5" style="23" customWidth="1"/>
    <col min="8968" max="8968" width="7.6640625" style="23" customWidth="1"/>
    <col min="8969" max="8969" width="4.5" style="23" customWidth="1"/>
    <col min="8970" max="8970" width="4.83203125" style="23" customWidth="1"/>
    <col min="8971" max="8971" width="7" style="23" customWidth="1"/>
    <col min="8972" max="8972" width="7.5" style="23" customWidth="1"/>
    <col min="8973" max="8973" width="4.6640625" style="23" customWidth="1"/>
    <col min="8974" max="8974" width="5.1640625" style="23" customWidth="1"/>
    <col min="8975" max="8975" width="9.6640625" style="23" customWidth="1"/>
    <col min="8976" max="8976" width="7.33203125" style="23" customWidth="1"/>
    <col min="8977" max="8977" width="4.5" style="23" customWidth="1"/>
    <col min="8978" max="9221" width="11.5" style="23"/>
    <col min="9222" max="9222" width="7.33203125" style="23" customWidth="1"/>
    <col min="9223" max="9223" width="7.5" style="23" customWidth="1"/>
    <col min="9224" max="9224" width="7.6640625" style="23" customWidth="1"/>
    <col min="9225" max="9225" width="4.5" style="23" customWidth="1"/>
    <col min="9226" max="9226" width="4.83203125" style="23" customWidth="1"/>
    <col min="9227" max="9227" width="7" style="23" customWidth="1"/>
    <col min="9228" max="9228" width="7.5" style="23" customWidth="1"/>
    <col min="9229" max="9229" width="4.6640625" style="23" customWidth="1"/>
    <col min="9230" max="9230" width="5.1640625" style="23" customWidth="1"/>
    <col min="9231" max="9231" width="9.6640625" style="23" customWidth="1"/>
    <col min="9232" max="9232" width="7.33203125" style="23" customWidth="1"/>
    <col min="9233" max="9233" width="4.5" style="23" customWidth="1"/>
    <col min="9234" max="9477" width="11.5" style="23"/>
    <col min="9478" max="9478" width="7.33203125" style="23" customWidth="1"/>
    <col min="9479" max="9479" width="7.5" style="23" customWidth="1"/>
    <col min="9480" max="9480" width="7.6640625" style="23" customWidth="1"/>
    <col min="9481" max="9481" width="4.5" style="23" customWidth="1"/>
    <col min="9482" max="9482" width="4.83203125" style="23" customWidth="1"/>
    <col min="9483" max="9483" width="7" style="23" customWidth="1"/>
    <col min="9484" max="9484" width="7.5" style="23" customWidth="1"/>
    <col min="9485" max="9485" width="4.6640625" style="23" customWidth="1"/>
    <col min="9486" max="9486" width="5.1640625" style="23" customWidth="1"/>
    <col min="9487" max="9487" width="9.6640625" style="23" customWidth="1"/>
    <col min="9488" max="9488" width="7.33203125" style="23" customWidth="1"/>
    <col min="9489" max="9489" width="4.5" style="23" customWidth="1"/>
    <col min="9490" max="9733" width="11.5" style="23"/>
    <col min="9734" max="9734" width="7.33203125" style="23" customWidth="1"/>
    <col min="9735" max="9735" width="7.5" style="23" customWidth="1"/>
    <col min="9736" max="9736" width="7.6640625" style="23" customWidth="1"/>
    <col min="9737" max="9737" width="4.5" style="23" customWidth="1"/>
    <col min="9738" max="9738" width="4.83203125" style="23" customWidth="1"/>
    <col min="9739" max="9739" width="7" style="23" customWidth="1"/>
    <col min="9740" max="9740" width="7.5" style="23" customWidth="1"/>
    <col min="9741" max="9741" width="4.6640625" style="23" customWidth="1"/>
    <col min="9742" max="9742" width="5.1640625" style="23" customWidth="1"/>
    <col min="9743" max="9743" width="9.6640625" style="23" customWidth="1"/>
    <col min="9744" max="9744" width="7.33203125" style="23" customWidth="1"/>
    <col min="9745" max="9745" width="4.5" style="23" customWidth="1"/>
    <col min="9746" max="9989" width="11.5" style="23"/>
    <col min="9990" max="9990" width="7.33203125" style="23" customWidth="1"/>
    <col min="9991" max="9991" width="7.5" style="23" customWidth="1"/>
    <col min="9992" max="9992" width="7.6640625" style="23" customWidth="1"/>
    <col min="9993" max="9993" width="4.5" style="23" customWidth="1"/>
    <col min="9994" max="9994" width="4.83203125" style="23" customWidth="1"/>
    <col min="9995" max="9995" width="7" style="23" customWidth="1"/>
    <col min="9996" max="9996" width="7.5" style="23" customWidth="1"/>
    <col min="9997" max="9997" width="4.6640625" style="23" customWidth="1"/>
    <col min="9998" max="9998" width="5.1640625" style="23" customWidth="1"/>
    <col min="9999" max="9999" width="9.6640625" style="23" customWidth="1"/>
    <col min="10000" max="10000" width="7.33203125" style="23" customWidth="1"/>
    <col min="10001" max="10001" width="4.5" style="23" customWidth="1"/>
    <col min="10002" max="10245" width="11.5" style="23"/>
    <col min="10246" max="10246" width="7.33203125" style="23" customWidth="1"/>
    <col min="10247" max="10247" width="7.5" style="23" customWidth="1"/>
    <col min="10248" max="10248" width="7.6640625" style="23" customWidth="1"/>
    <col min="10249" max="10249" width="4.5" style="23" customWidth="1"/>
    <col min="10250" max="10250" width="4.83203125" style="23" customWidth="1"/>
    <col min="10251" max="10251" width="7" style="23" customWidth="1"/>
    <col min="10252" max="10252" width="7.5" style="23" customWidth="1"/>
    <col min="10253" max="10253" width="4.6640625" style="23" customWidth="1"/>
    <col min="10254" max="10254" width="5.1640625" style="23" customWidth="1"/>
    <col min="10255" max="10255" width="9.6640625" style="23" customWidth="1"/>
    <col min="10256" max="10256" width="7.33203125" style="23" customWidth="1"/>
    <col min="10257" max="10257" width="4.5" style="23" customWidth="1"/>
    <col min="10258" max="10501" width="11.5" style="23"/>
    <col min="10502" max="10502" width="7.33203125" style="23" customWidth="1"/>
    <col min="10503" max="10503" width="7.5" style="23" customWidth="1"/>
    <col min="10504" max="10504" width="7.6640625" style="23" customWidth="1"/>
    <col min="10505" max="10505" width="4.5" style="23" customWidth="1"/>
    <col min="10506" max="10506" width="4.83203125" style="23" customWidth="1"/>
    <col min="10507" max="10507" width="7" style="23" customWidth="1"/>
    <col min="10508" max="10508" width="7.5" style="23" customWidth="1"/>
    <col min="10509" max="10509" width="4.6640625" style="23" customWidth="1"/>
    <col min="10510" max="10510" width="5.1640625" style="23" customWidth="1"/>
    <col min="10511" max="10511" width="9.6640625" style="23" customWidth="1"/>
    <col min="10512" max="10512" width="7.33203125" style="23" customWidth="1"/>
    <col min="10513" max="10513" width="4.5" style="23" customWidth="1"/>
    <col min="10514" max="10757" width="11.5" style="23"/>
    <col min="10758" max="10758" width="7.33203125" style="23" customWidth="1"/>
    <col min="10759" max="10759" width="7.5" style="23" customWidth="1"/>
    <col min="10760" max="10760" width="7.6640625" style="23" customWidth="1"/>
    <col min="10761" max="10761" width="4.5" style="23" customWidth="1"/>
    <col min="10762" max="10762" width="4.83203125" style="23" customWidth="1"/>
    <col min="10763" max="10763" width="7" style="23" customWidth="1"/>
    <col min="10764" max="10764" width="7.5" style="23" customWidth="1"/>
    <col min="10765" max="10765" width="4.6640625" style="23" customWidth="1"/>
    <col min="10766" max="10766" width="5.1640625" style="23" customWidth="1"/>
    <col min="10767" max="10767" width="9.6640625" style="23" customWidth="1"/>
    <col min="10768" max="10768" width="7.33203125" style="23" customWidth="1"/>
    <col min="10769" max="10769" width="4.5" style="23" customWidth="1"/>
    <col min="10770" max="11013" width="11.5" style="23"/>
    <col min="11014" max="11014" width="7.33203125" style="23" customWidth="1"/>
    <col min="11015" max="11015" width="7.5" style="23" customWidth="1"/>
    <col min="11016" max="11016" width="7.6640625" style="23" customWidth="1"/>
    <col min="11017" max="11017" width="4.5" style="23" customWidth="1"/>
    <col min="11018" max="11018" width="4.83203125" style="23" customWidth="1"/>
    <col min="11019" max="11019" width="7" style="23" customWidth="1"/>
    <col min="11020" max="11020" width="7.5" style="23" customWidth="1"/>
    <col min="11021" max="11021" width="4.6640625" style="23" customWidth="1"/>
    <col min="11022" max="11022" width="5.1640625" style="23" customWidth="1"/>
    <col min="11023" max="11023" width="9.6640625" style="23" customWidth="1"/>
    <col min="11024" max="11024" width="7.33203125" style="23" customWidth="1"/>
    <col min="11025" max="11025" width="4.5" style="23" customWidth="1"/>
    <col min="11026" max="11269" width="11.5" style="23"/>
    <col min="11270" max="11270" width="7.33203125" style="23" customWidth="1"/>
    <col min="11271" max="11271" width="7.5" style="23" customWidth="1"/>
    <col min="11272" max="11272" width="7.6640625" style="23" customWidth="1"/>
    <col min="11273" max="11273" width="4.5" style="23" customWidth="1"/>
    <col min="11274" max="11274" width="4.83203125" style="23" customWidth="1"/>
    <col min="11275" max="11275" width="7" style="23" customWidth="1"/>
    <col min="11276" max="11276" width="7.5" style="23" customWidth="1"/>
    <col min="11277" max="11277" width="4.6640625" style="23" customWidth="1"/>
    <col min="11278" max="11278" width="5.1640625" style="23" customWidth="1"/>
    <col min="11279" max="11279" width="9.6640625" style="23" customWidth="1"/>
    <col min="11280" max="11280" width="7.33203125" style="23" customWidth="1"/>
    <col min="11281" max="11281" width="4.5" style="23" customWidth="1"/>
    <col min="11282" max="11525" width="11.5" style="23"/>
    <col min="11526" max="11526" width="7.33203125" style="23" customWidth="1"/>
    <col min="11527" max="11527" width="7.5" style="23" customWidth="1"/>
    <col min="11528" max="11528" width="7.6640625" style="23" customWidth="1"/>
    <col min="11529" max="11529" width="4.5" style="23" customWidth="1"/>
    <col min="11530" max="11530" width="4.83203125" style="23" customWidth="1"/>
    <col min="11531" max="11531" width="7" style="23" customWidth="1"/>
    <col min="11532" max="11532" width="7.5" style="23" customWidth="1"/>
    <col min="11533" max="11533" width="4.6640625" style="23" customWidth="1"/>
    <col min="11534" max="11534" width="5.1640625" style="23" customWidth="1"/>
    <col min="11535" max="11535" width="9.6640625" style="23" customWidth="1"/>
    <col min="11536" max="11536" width="7.33203125" style="23" customWidth="1"/>
    <col min="11537" max="11537" width="4.5" style="23" customWidth="1"/>
    <col min="11538" max="11781" width="11.5" style="23"/>
    <col min="11782" max="11782" width="7.33203125" style="23" customWidth="1"/>
    <col min="11783" max="11783" width="7.5" style="23" customWidth="1"/>
    <col min="11784" max="11784" width="7.6640625" style="23" customWidth="1"/>
    <col min="11785" max="11785" width="4.5" style="23" customWidth="1"/>
    <col min="11786" max="11786" width="4.83203125" style="23" customWidth="1"/>
    <col min="11787" max="11787" width="7" style="23" customWidth="1"/>
    <col min="11788" max="11788" width="7.5" style="23" customWidth="1"/>
    <col min="11789" max="11789" width="4.6640625" style="23" customWidth="1"/>
    <col min="11790" max="11790" width="5.1640625" style="23" customWidth="1"/>
    <col min="11791" max="11791" width="9.6640625" style="23" customWidth="1"/>
    <col min="11792" max="11792" width="7.33203125" style="23" customWidth="1"/>
    <col min="11793" max="11793" width="4.5" style="23" customWidth="1"/>
    <col min="11794" max="12037" width="11.5" style="23"/>
    <col min="12038" max="12038" width="7.33203125" style="23" customWidth="1"/>
    <col min="12039" max="12039" width="7.5" style="23" customWidth="1"/>
    <col min="12040" max="12040" width="7.6640625" style="23" customWidth="1"/>
    <col min="12041" max="12041" width="4.5" style="23" customWidth="1"/>
    <col min="12042" max="12042" width="4.83203125" style="23" customWidth="1"/>
    <col min="12043" max="12043" width="7" style="23" customWidth="1"/>
    <col min="12044" max="12044" width="7.5" style="23" customWidth="1"/>
    <col min="12045" max="12045" width="4.6640625" style="23" customWidth="1"/>
    <col min="12046" max="12046" width="5.1640625" style="23" customWidth="1"/>
    <col min="12047" max="12047" width="9.6640625" style="23" customWidth="1"/>
    <col min="12048" max="12048" width="7.33203125" style="23" customWidth="1"/>
    <col min="12049" max="12049" width="4.5" style="23" customWidth="1"/>
    <col min="12050" max="12293" width="11.5" style="23"/>
    <col min="12294" max="12294" width="7.33203125" style="23" customWidth="1"/>
    <col min="12295" max="12295" width="7.5" style="23" customWidth="1"/>
    <col min="12296" max="12296" width="7.6640625" style="23" customWidth="1"/>
    <col min="12297" max="12297" width="4.5" style="23" customWidth="1"/>
    <col min="12298" max="12298" width="4.83203125" style="23" customWidth="1"/>
    <col min="12299" max="12299" width="7" style="23" customWidth="1"/>
    <col min="12300" max="12300" width="7.5" style="23" customWidth="1"/>
    <col min="12301" max="12301" width="4.6640625" style="23" customWidth="1"/>
    <col min="12302" max="12302" width="5.1640625" style="23" customWidth="1"/>
    <col min="12303" max="12303" width="9.6640625" style="23" customWidth="1"/>
    <col min="12304" max="12304" width="7.33203125" style="23" customWidth="1"/>
    <col min="12305" max="12305" width="4.5" style="23" customWidth="1"/>
    <col min="12306" max="12549" width="11.5" style="23"/>
    <col min="12550" max="12550" width="7.33203125" style="23" customWidth="1"/>
    <col min="12551" max="12551" width="7.5" style="23" customWidth="1"/>
    <col min="12552" max="12552" width="7.6640625" style="23" customWidth="1"/>
    <col min="12553" max="12553" width="4.5" style="23" customWidth="1"/>
    <col min="12554" max="12554" width="4.83203125" style="23" customWidth="1"/>
    <col min="12555" max="12555" width="7" style="23" customWidth="1"/>
    <col min="12556" max="12556" width="7.5" style="23" customWidth="1"/>
    <col min="12557" max="12557" width="4.6640625" style="23" customWidth="1"/>
    <col min="12558" max="12558" width="5.1640625" style="23" customWidth="1"/>
    <col min="12559" max="12559" width="9.6640625" style="23" customWidth="1"/>
    <col min="12560" max="12560" width="7.33203125" style="23" customWidth="1"/>
    <col min="12561" max="12561" width="4.5" style="23" customWidth="1"/>
    <col min="12562" max="12805" width="11.5" style="23"/>
    <col min="12806" max="12806" width="7.33203125" style="23" customWidth="1"/>
    <col min="12807" max="12807" width="7.5" style="23" customWidth="1"/>
    <col min="12808" max="12808" width="7.6640625" style="23" customWidth="1"/>
    <col min="12809" max="12809" width="4.5" style="23" customWidth="1"/>
    <col min="12810" max="12810" width="4.83203125" style="23" customWidth="1"/>
    <col min="12811" max="12811" width="7" style="23" customWidth="1"/>
    <col min="12812" max="12812" width="7.5" style="23" customWidth="1"/>
    <col min="12813" max="12813" width="4.6640625" style="23" customWidth="1"/>
    <col min="12814" max="12814" width="5.1640625" style="23" customWidth="1"/>
    <col min="12815" max="12815" width="9.6640625" style="23" customWidth="1"/>
    <col min="12816" max="12816" width="7.33203125" style="23" customWidth="1"/>
    <col min="12817" max="12817" width="4.5" style="23" customWidth="1"/>
    <col min="12818" max="13061" width="11.5" style="23"/>
    <col min="13062" max="13062" width="7.33203125" style="23" customWidth="1"/>
    <col min="13063" max="13063" width="7.5" style="23" customWidth="1"/>
    <col min="13064" max="13064" width="7.6640625" style="23" customWidth="1"/>
    <col min="13065" max="13065" width="4.5" style="23" customWidth="1"/>
    <col min="13066" max="13066" width="4.83203125" style="23" customWidth="1"/>
    <col min="13067" max="13067" width="7" style="23" customWidth="1"/>
    <col min="13068" max="13068" width="7.5" style="23" customWidth="1"/>
    <col min="13069" max="13069" width="4.6640625" style="23" customWidth="1"/>
    <col min="13070" max="13070" width="5.1640625" style="23" customWidth="1"/>
    <col min="13071" max="13071" width="9.6640625" style="23" customWidth="1"/>
    <col min="13072" max="13072" width="7.33203125" style="23" customWidth="1"/>
    <col min="13073" max="13073" width="4.5" style="23" customWidth="1"/>
    <col min="13074" max="13317" width="11.5" style="23"/>
    <col min="13318" max="13318" width="7.33203125" style="23" customWidth="1"/>
    <col min="13319" max="13319" width="7.5" style="23" customWidth="1"/>
    <col min="13320" max="13320" width="7.6640625" style="23" customWidth="1"/>
    <col min="13321" max="13321" width="4.5" style="23" customWidth="1"/>
    <col min="13322" max="13322" width="4.83203125" style="23" customWidth="1"/>
    <col min="13323" max="13323" width="7" style="23" customWidth="1"/>
    <col min="13324" max="13324" width="7.5" style="23" customWidth="1"/>
    <col min="13325" max="13325" width="4.6640625" style="23" customWidth="1"/>
    <col min="13326" max="13326" width="5.1640625" style="23" customWidth="1"/>
    <col min="13327" max="13327" width="9.6640625" style="23" customWidth="1"/>
    <col min="13328" max="13328" width="7.33203125" style="23" customWidth="1"/>
    <col min="13329" max="13329" width="4.5" style="23" customWidth="1"/>
    <col min="13330" max="13573" width="11.5" style="23"/>
    <col min="13574" max="13574" width="7.33203125" style="23" customWidth="1"/>
    <col min="13575" max="13575" width="7.5" style="23" customWidth="1"/>
    <col min="13576" max="13576" width="7.6640625" style="23" customWidth="1"/>
    <col min="13577" max="13577" width="4.5" style="23" customWidth="1"/>
    <col min="13578" max="13578" width="4.83203125" style="23" customWidth="1"/>
    <col min="13579" max="13579" width="7" style="23" customWidth="1"/>
    <col min="13580" max="13580" width="7.5" style="23" customWidth="1"/>
    <col min="13581" max="13581" width="4.6640625" style="23" customWidth="1"/>
    <col min="13582" max="13582" width="5.1640625" style="23" customWidth="1"/>
    <col min="13583" max="13583" width="9.6640625" style="23" customWidth="1"/>
    <col min="13584" max="13584" width="7.33203125" style="23" customWidth="1"/>
    <col min="13585" max="13585" width="4.5" style="23" customWidth="1"/>
    <col min="13586" max="13829" width="11.5" style="23"/>
    <col min="13830" max="13830" width="7.33203125" style="23" customWidth="1"/>
    <col min="13831" max="13831" width="7.5" style="23" customWidth="1"/>
    <col min="13832" max="13832" width="7.6640625" style="23" customWidth="1"/>
    <col min="13833" max="13833" width="4.5" style="23" customWidth="1"/>
    <col min="13834" max="13834" width="4.83203125" style="23" customWidth="1"/>
    <col min="13835" max="13835" width="7" style="23" customWidth="1"/>
    <col min="13836" max="13836" width="7.5" style="23" customWidth="1"/>
    <col min="13837" max="13837" width="4.6640625" style="23" customWidth="1"/>
    <col min="13838" max="13838" width="5.1640625" style="23" customWidth="1"/>
    <col min="13839" max="13839" width="9.6640625" style="23" customWidth="1"/>
    <col min="13840" max="13840" width="7.33203125" style="23" customWidth="1"/>
    <col min="13841" max="13841" width="4.5" style="23" customWidth="1"/>
    <col min="13842" max="14085" width="11.5" style="23"/>
    <col min="14086" max="14086" width="7.33203125" style="23" customWidth="1"/>
    <col min="14087" max="14087" width="7.5" style="23" customWidth="1"/>
    <col min="14088" max="14088" width="7.6640625" style="23" customWidth="1"/>
    <col min="14089" max="14089" width="4.5" style="23" customWidth="1"/>
    <col min="14090" max="14090" width="4.83203125" style="23" customWidth="1"/>
    <col min="14091" max="14091" width="7" style="23" customWidth="1"/>
    <col min="14092" max="14092" width="7.5" style="23" customWidth="1"/>
    <col min="14093" max="14093" width="4.6640625" style="23" customWidth="1"/>
    <col min="14094" max="14094" width="5.1640625" style="23" customWidth="1"/>
    <col min="14095" max="14095" width="9.6640625" style="23" customWidth="1"/>
    <col min="14096" max="14096" width="7.33203125" style="23" customWidth="1"/>
    <col min="14097" max="14097" width="4.5" style="23" customWidth="1"/>
    <col min="14098" max="14341" width="11.5" style="23"/>
    <col min="14342" max="14342" width="7.33203125" style="23" customWidth="1"/>
    <col min="14343" max="14343" width="7.5" style="23" customWidth="1"/>
    <col min="14344" max="14344" width="7.6640625" style="23" customWidth="1"/>
    <col min="14345" max="14345" width="4.5" style="23" customWidth="1"/>
    <col min="14346" max="14346" width="4.83203125" style="23" customWidth="1"/>
    <col min="14347" max="14347" width="7" style="23" customWidth="1"/>
    <col min="14348" max="14348" width="7.5" style="23" customWidth="1"/>
    <col min="14349" max="14349" width="4.6640625" style="23" customWidth="1"/>
    <col min="14350" max="14350" width="5.1640625" style="23" customWidth="1"/>
    <col min="14351" max="14351" width="9.6640625" style="23" customWidth="1"/>
    <col min="14352" max="14352" width="7.33203125" style="23" customWidth="1"/>
    <col min="14353" max="14353" width="4.5" style="23" customWidth="1"/>
    <col min="14354" max="14597" width="11.5" style="23"/>
    <col min="14598" max="14598" width="7.33203125" style="23" customWidth="1"/>
    <col min="14599" max="14599" width="7.5" style="23" customWidth="1"/>
    <col min="14600" max="14600" width="7.6640625" style="23" customWidth="1"/>
    <col min="14601" max="14601" width="4.5" style="23" customWidth="1"/>
    <col min="14602" max="14602" width="4.83203125" style="23" customWidth="1"/>
    <col min="14603" max="14603" width="7" style="23" customWidth="1"/>
    <col min="14604" max="14604" width="7.5" style="23" customWidth="1"/>
    <col min="14605" max="14605" width="4.6640625" style="23" customWidth="1"/>
    <col min="14606" max="14606" width="5.1640625" style="23" customWidth="1"/>
    <col min="14607" max="14607" width="9.6640625" style="23" customWidth="1"/>
    <col min="14608" max="14608" width="7.33203125" style="23" customWidth="1"/>
    <col min="14609" max="14609" width="4.5" style="23" customWidth="1"/>
    <col min="14610" max="14853" width="11.5" style="23"/>
    <col min="14854" max="14854" width="7.33203125" style="23" customWidth="1"/>
    <col min="14855" max="14855" width="7.5" style="23" customWidth="1"/>
    <col min="14856" max="14856" width="7.6640625" style="23" customWidth="1"/>
    <col min="14857" max="14857" width="4.5" style="23" customWidth="1"/>
    <col min="14858" max="14858" width="4.83203125" style="23" customWidth="1"/>
    <col min="14859" max="14859" width="7" style="23" customWidth="1"/>
    <col min="14860" max="14860" width="7.5" style="23" customWidth="1"/>
    <col min="14861" max="14861" width="4.6640625" style="23" customWidth="1"/>
    <col min="14862" max="14862" width="5.1640625" style="23" customWidth="1"/>
    <col min="14863" max="14863" width="9.6640625" style="23" customWidth="1"/>
    <col min="14864" max="14864" width="7.33203125" style="23" customWidth="1"/>
    <col min="14865" max="14865" width="4.5" style="23" customWidth="1"/>
    <col min="14866" max="15109" width="11.5" style="23"/>
    <col min="15110" max="15110" width="7.33203125" style="23" customWidth="1"/>
    <col min="15111" max="15111" width="7.5" style="23" customWidth="1"/>
    <col min="15112" max="15112" width="7.6640625" style="23" customWidth="1"/>
    <col min="15113" max="15113" width="4.5" style="23" customWidth="1"/>
    <col min="15114" max="15114" width="4.83203125" style="23" customWidth="1"/>
    <col min="15115" max="15115" width="7" style="23" customWidth="1"/>
    <col min="15116" max="15116" width="7.5" style="23" customWidth="1"/>
    <col min="15117" max="15117" width="4.6640625" style="23" customWidth="1"/>
    <col min="15118" max="15118" width="5.1640625" style="23" customWidth="1"/>
    <col min="15119" max="15119" width="9.6640625" style="23" customWidth="1"/>
    <col min="15120" max="15120" width="7.33203125" style="23" customWidth="1"/>
    <col min="15121" max="15121" width="4.5" style="23" customWidth="1"/>
    <col min="15122" max="15365" width="11.5" style="23"/>
    <col min="15366" max="15366" width="7.33203125" style="23" customWidth="1"/>
    <col min="15367" max="15367" width="7.5" style="23" customWidth="1"/>
    <col min="15368" max="15368" width="7.6640625" style="23" customWidth="1"/>
    <col min="15369" max="15369" width="4.5" style="23" customWidth="1"/>
    <col min="15370" max="15370" width="4.83203125" style="23" customWidth="1"/>
    <col min="15371" max="15371" width="7" style="23" customWidth="1"/>
    <col min="15372" max="15372" width="7.5" style="23" customWidth="1"/>
    <col min="15373" max="15373" width="4.6640625" style="23" customWidth="1"/>
    <col min="15374" max="15374" width="5.1640625" style="23" customWidth="1"/>
    <col min="15375" max="15375" width="9.6640625" style="23" customWidth="1"/>
    <col min="15376" max="15376" width="7.33203125" style="23" customWidth="1"/>
    <col min="15377" max="15377" width="4.5" style="23" customWidth="1"/>
    <col min="15378" max="15621" width="11.5" style="23"/>
    <col min="15622" max="15622" width="7.33203125" style="23" customWidth="1"/>
    <col min="15623" max="15623" width="7.5" style="23" customWidth="1"/>
    <col min="15624" max="15624" width="7.6640625" style="23" customWidth="1"/>
    <col min="15625" max="15625" width="4.5" style="23" customWidth="1"/>
    <col min="15626" max="15626" width="4.83203125" style="23" customWidth="1"/>
    <col min="15627" max="15627" width="7" style="23" customWidth="1"/>
    <col min="15628" max="15628" width="7.5" style="23" customWidth="1"/>
    <col min="15629" max="15629" width="4.6640625" style="23" customWidth="1"/>
    <col min="15630" max="15630" width="5.1640625" style="23" customWidth="1"/>
    <col min="15631" max="15631" width="9.6640625" style="23" customWidth="1"/>
    <col min="15632" max="15632" width="7.33203125" style="23" customWidth="1"/>
    <col min="15633" max="15633" width="4.5" style="23" customWidth="1"/>
    <col min="15634" max="15877" width="11.5" style="23"/>
    <col min="15878" max="15878" width="7.33203125" style="23" customWidth="1"/>
    <col min="15879" max="15879" width="7.5" style="23" customWidth="1"/>
    <col min="15880" max="15880" width="7.6640625" style="23" customWidth="1"/>
    <col min="15881" max="15881" width="4.5" style="23" customWidth="1"/>
    <col min="15882" max="15882" width="4.83203125" style="23" customWidth="1"/>
    <col min="15883" max="15883" width="7" style="23" customWidth="1"/>
    <col min="15884" max="15884" width="7.5" style="23" customWidth="1"/>
    <col min="15885" max="15885" width="4.6640625" style="23" customWidth="1"/>
    <col min="15886" max="15886" width="5.1640625" style="23" customWidth="1"/>
    <col min="15887" max="15887" width="9.6640625" style="23" customWidth="1"/>
    <col min="15888" max="15888" width="7.33203125" style="23" customWidth="1"/>
    <col min="15889" max="15889" width="4.5" style="23" customWidth="1"/>
    <col min="15890" max="16133" width="11.5" style="23"/>
    <col min="16134" max="16134" width="7.33203125" style="23" customWidth="1"/>
    <col min="16135" max="16135" width="7.5" style="23" customWidth="1"/>
    <col min="16136" max="16136" width="7.6640625" style="23" customWidth="1"/>
    <col min="16137" max="16137" width="4.5" style="23" customWidth="1"/>
    <col min="16138" max="16138" width="4.83203125" style="23" customWidth="1"/>
    <col min="16139" max="16139" width="7" style="23" customWidth="1"/>
    <col min="16140" max="16140" width="7.5" style="23" customWidth="1"/>
    <col min="16141" max="16141" width="4.6640625" style="23" customWidth="1"/>
    <col min="16142" max="16142" width="5.1640625" style="23" customWidth="1"/>
    <col min="16143" max="16143" width="9.6640625" style="23" customWidth="1"/>
    <col min="16144" max="16144" width="7.33203125" style="23" customWidth="1"/>
    <col min="16145" max="16145" width="4.5" style="23" customWidth="1"/>
    <col min="16146" max="16384" width="11.5" style="23"/>
  </cols>
  <sheetData>
    <row r="1" spans="2:25" ht="11" customHeight="1" thickBot="1" x14ac:dyDescent="0.25"/>
    <row r="2" spans="2:25" ht="8" customHeight="1" thickTop="1" x14ac:dyDescent="0.2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  <c r="P2" s="26"/>
      <c r="Q2" s="26"/>
      <c r="R2" s="26"/>
      <c r="S2" s="27"/>
      <c r="T2" s="26"/>
      <c r="U2" s="26"/>
      <c r="V2" s="26"/>
      <c r="W2" s="26"/>
      <c r="X2" s="26"/>
      <c r="Y2" s="28"/>
    </row>
    <row r="3" spans="2:25" ht="23" x14ac:dyDescent="0.25">
      <c r="B3" s="29"/>
      <c r="C3" s="111" t="s">
        <v>37</v>
      </c>
      <c r="D3" s="112"/>
      <c r="E3" s="112"/>
      <c r="F3" s="112"/>
      <c r="G3" s="112"/>
      <c r="H3" s="30"/>
      <c r="I3" s="30"/>
      <c r="J3" s="30"/>
      <c r="K3" s="30"/>
      <c r="L3" s="30"/>
      <c r="M3" s="30"/>
      <c r="N3" s="31"/>
      <c r="O3" s="32"/>
      <c r="P3" s="31"/>
      <c r="Q3" s="31"/>
      <c r="R3" s="31"/>
      <c r="S3" s="32"/>
      <c r="T3" s="31"/>
      <c r="U3" s="31"/>
      <c r="V3" s="31"/>
      <c r="W3" s="31"/>
      <c r="X3" s="31"/>
      <c r="Y3" s="33"/>
    </row>
    <row r="4" spans="2:25" ht="7" customHeight="1" x14ac:dyDescent="0.2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  <c r="O4" s="32"/>
      <c r="P4" s="31"/>
      <c r="Q4" s="31"/>
      <c r="R4" s="31"/>
      <c r="S4" s="32"/>
      <c r="T4" s="31"/>
      <c r="U4" s="31"/>
      <c r="V4" s="31"/>
      <c r="W4" s="31"/>
      <c r="X4" s="31"/>
      <c r="Y4" s="33"/>
    </row>
    <row r="5" spans="2:25" s="39" customFormat="1" ht="19" thickBot="1" x14ac:dyDescent="0.25">
      <c r="B5" s="34"/>
      <c r="C5" s="35" t="s">
        <v>35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6" t="s">
        <v>64</v>
      </c>
      <c r="O5" s="37"/>
      <c r="P5" s="36"/>
      <c r="Q5" s="36"/>
      <c r="R5" s="36"/>
      <c r="S5" s="37"/>
      <c r="T5" s="36"/>
      <c r="U5" s="36"/>
      <c r="V5" s="36"/>
      <c r="W5" s="36"/>
      <c r="X5" s="36"/>
      <c r="Y5" s="38"/>
    </row>
    <row r="6" spans="2:25" s="48" customFormat="1" ht="10" customHeight="1" x14ac:dyDescent="0.2">
      <c r="B6" s="40"/>
      <c r="C6" s="41"/>
      <c r="D6" s="13"/>
      <c r="E6" s="13"/>
      <c r="F6" s="42"/>
      <c r="G6" s="43"/>
      <c r="H6" s="43"/>
      <c r="I6" s="13"/>
      <c r="J6" s="13"/>
      <c r="K6" s="42"/>
      <c r="L6" s="44"/>
      <c r="M6" s="45"/>
      <c r="N6" s="41"/>
      <c r="O6" s="13"/>
      <c r="P6" s="13"/>
      <c r="Q6" s="42"/>
      <c r="R6" s="43"/>
      <c r="S6" s="43"/>
      <c r="T6" s="13"/>
      <c r="U6" s="13"/>
      <c r="V6" s="42"/>
      <c r="W6" s="44"/>
      <c r="X6" s="46"/>
      <c r="Y6" s="47"/>
    </row>
    <row r="7" spans="2:25" s="48" customFormat="1" x14ac:dyDescent="0.2">
      <c r="B7" s="40"/>
      <c r="C7" s="78"/>
      <c r="D7" s="16"/>
      <c r="E7" s="16"/>
      <c r="F7" s="114" t="s">
        <v>88</v>
      </c>
      <c r="G7" s="50"/>
      <c r="H7" s="50"/>
      <c r="I7" s="16"/>
      <c r="J7" s="16"/>
      <c r="K7" s="114" t="s">
        <v>88</v>
      </c>
      <c r="L7" s="51"/>
      <c r="M7" s="45"/>
      <c r="N7" s="78"/>
      <c r="O7" s="16"/>
      <c r="P7" s="16"/>
      <c r="Q7" s="53"/>
      <c r="R7" s="50"/>
      <c r="S7" s="50"/>
      <c r="T7" s="16"/>
      <c r="U7" s="16"/>
      <c r="V7" s="53"/>
      <c r="W7" s="51"/>
      <c r="X7" s="46"/>
      <c r="Y7" s="47"/>
    </row>
    <row r="8" spans="2:25" ht="20" x14ac:dyDescent="0.25">
      <c r="B8" s="29"/>
      <c r="C8" s="49"/>
      <c r="D8" s="14" t="s">
        <v>69</v>
      </c>
      <c r="E8" s="14" t="s">
        <v>42</v>
      </c>
      <c r="F8" s="20">
        <v>50</v>
      </c>
      <c r="G8" s="50" t="s">
        <v>5</v>
      </c>
      <c r="H8" s="50"/>
      <c r="I8" s="14" t="s">
        <v>69</v>
      </c>
      <c r="J8" s="14" t="s">
        <v>42</v>
      </c>
      <c r="K8" s="20"/>
      <c r="L8" s="51" t="s">
        <v>5</v>
      </c>
      <c r="M8" s="52"/>
      <c r="N8" s="49"/>
      <c r="O8" s="14" t="s">
        <v>39</v>
      </c>
      <c r="P8" s="14" t="s">
        <v>6</v>
      </c>
      <c r="Q8" s="53"/>
      <c r="R8" s="50"/>
      <c r="S8" s="50"/>
      <c r="T8" s="14" t="s">
        <v>17</v>
      </c>
      <c r="U8" s="14"/>
      <c r="V8" s="53"/>
      <c r="W8" s="51"/>
      <c r="X8" s="32"/>
      <c r="Y8" s="33"/>
    </row>
    <row r="9" spans="2:25" ht="22" x14ac:dyDescent="0.25">
      <c r="B9" s="29"/>
      <c r="C9" s="49"/>
      <c r="D9" s="14" t="s">
        <v>69</v>
      </c>
      <c r="E9" s="14" t="s">
        <v>42</v>
      </c>
      <c r="F9" s="20">
        <v>50</v>
      </c>
      <c r="G9" s="50" t="s">
        <v>5</v>
      </c>
      <c r="H9" s="50"/>
      <c r="I9" s="14" t="s">
        <v>69</v>
      </c>
      <c r="J9" s="14" t="s">
        <v>42</v>
      </c>
      <c r="K9" s="20"/>
      <c r="L9" s="51" t="s">
        <v>5</v>
      </c>
      <c r="M9" s="52"/>
      <c r="N9" s="49"/>
      <c r="O9" s="14" t="s">
        <v>8</v>
      </c>
      <c r="P9" s="21">
        <v>7.94</v>
      </c>
      <c r="Q9" s="54" t="s">
        <v>7</v>
      </c>
      <c r="R9" s="50"/>
      <c r="S9" s="50"/>
      <c r="T9" s="14" t="s">
        <v>41</v>
      </c>
      <c r="U9" s="21">
        <v>7.94</v>
      </c>
      <c r="V9" s="54" t="s">
        <v>46</v>
      </c>
      <c r="W9" s="51"/>
      <c r="X9" s="32"/>
      <c r="Y9" s="33"/>
    </row>
    <row r="10" spans="2:25" ht="22" x14ac:dyDescent="0.25">
      <c r="B10" s="29"/>
      <c r="C10" s="49"/>
      <c r="D10" s="14" t="s">
        <v>69</v>
      </c>
      <c r="E10" s="14" t="s">
        <v>42</v>
      </c>
      <c r="F10" s="20">
        <v>50</v>
      </c>
      <c r="G10" s="50" t="s">
        <v>5</v>
      </c>
      <c r="H10" s="50"/>
      <c r="I10" s="14" t="s">
        <v>69</v>
      </c>
      <c r="J10" s="14" t="s">
        <v>42</v>
      </c>
      <c r="K10" s="20"/>
      <c r="L10" s="51" t="s">
        <v>5</v>
      </c>
      <c r="M10" s="52"/>
      <c r="N10" s="49"/>
      <c r="O10" s="14" t="s">
        <v>8</v>
      </c>
      <c r="P10" s="15">
        <f>10*LOG10(P9*1000)</f>
        <v>38.998205024270966</v>
      </c>
      <c r="Q10" s="54" t="s">
        <v>5</v>
      </c>
      <c r="R10" s="50"/>
      <c r="S10" s="50"/>
      <c r="T10" s="14" t="s">
        <v>41</v>
      </c>
      <c r="U10" s="15">
        <f>U9/10</f>
        <v>0.79400000000000004</v>
      </c>
      <c r="V10" s="54" t="s">
        <v>48</v>
      </c>
      <c r="W10" s="51"/>
      <c r="X10" s="32"/>
      <c r="Y10" s="33"/>
    </row>
    <row r="11" spans="2:25" ht="20" x14ac:dyDescent="0.25">
      <c r="B11" s="29"/>
      <c r="C11" s="49"/>
      <c r="D11" s="14" t="s">
        <v>69</v>
      </c>
      <c r="E11" s="14" t="s">
        <v>42</v>
      </c>
      <c r="F11" s="20">
        <v>50</v>
      </c>
      <c r="G11" s="50" t="s">
        <v>5</v>
      </c>
      <c r="H11" s="50"/>
      <c r="I11" s="14" t="s">
        <v>69</v>
      </c>
      <c r="J11" s="14" t="s">
        <v>42</v>
      </c>
      <c r="K11" s="20"/>
      <c r="L11" s="51" t="s">
        <v>5</v>
      </c>
      <c r="M11" s="52"/>
      <c r="N11" s="49"/>
      <c r="O11" s="14"/>
      <c r="P11" s="15"/>
      <c r="Q11" s="54"/>
      <c r="R11" s="50"/>
      <c r="S11" s="50"/>
      <c r="T11" s="14"/>
      <c r="U11" s="15"/>
      <c r="V11" s="53"/>
      <c r="W11" s="51"/>
      <c r="X11" s="31"/>
      <c r="Y11" s="33"/>
    </row>
    <row r="12" spans="2:25" ht="20" x14ac:dyDescent="0.25">
      <c r="B12" s="29"/>
      <c r="C12" s="49"/>
      <c r="D12" s="14" t="s">
        <v>69</v>
      </c>
      <c r="E12" s="14" t="s">
        <v>42</v>
      </c>
      <c r="F12" s="20">
        <v>50</v>
      </c>
      <c r="G12" s="50" t="s">
        <v>5</v>
      </c>
      <c r="H12" s="50"/>
      <c r="I12" s="14" t="s">
        <v>69</v>
      </c>
      <c r="J12" s="14" t="s">
        <v>42</v>
      </c>
      <c r="K12" s="20"/>
      <c r="L12" s="51" t="s">
        <v>5</v>
      </c>
      <c r="M12" s="52"/>
      <c r="N12" s="49"/>
      <c r="O12" s="14" t="s">
        <v>40</v>
      </c>
      <c r="P12" s="15" t="s">
        <v>9</v>
      </c>
      <c r="Q12" s="54"/>
      <c r="R12" s="50"/>
      <c r="S12" s="50"/>
      <c r="T12" s="14"/>
      <c r="U12" s="15"/>
      <c r="V12" s="53"/>
      <c r="W12" s="51"/>
      <c r="X12" s="31"/>
      <c r="Y12" s="33"/>
    </row>
    <row r="13" spans="2:25" ht="19" thickBot="1" x14ac:dyDescent="0.25">
      <c r="B13" s="29"/>
      <c r="C13" s="55"/>
      <c r="D13" s="56"/>
      <c r="E13" s="56"/>
      <c r="F13" s="57"/>
      <c r="G13" s="58"/>
      <c r="H13" s="56"/>
      <c r="I13" s="56"/>
      <c r="J13" s="56"/>
      <c r="K13" s="57"/>
      <c r="L13" s="59"/>
      <c r="M13" s="52"/>
      <c r="N13" s="49"/>
      <c r="O13" s="14" t="s">
        <v>8</v>
      </c>
      <c r="P13" s="21">
        <v>48</v>
      </c>
      <c r="Q13" s="54" t="s">
        <v>5</v>
      </c>
      <c r="R13" s="50"/>
      <c r="S13" s="50"/>
      <c r="T13" s="14"/>
      <c r="U13" s="15"/>
      <c r="V13" s="53"/>
      <c r="W13" s="51"/>
      <c r="X13" s="31"/>
      <c r="Y13" s="33"/>
    </row>
    <row r="14" spans="2:25" ht="19" thickBot="1" x14ac:dyDescent="0.25">
      <c r="B14" s="29"/>
      <c r="C14" s="35" t="s">
        <v>36</v>
      </c>
      <c r="D14" s="35"/>
      <c r="E14" s="35"/>
      <c r="F14" s="60"/>
      <c r="G14" s="35"/>
      <c r="H14" s="35"/>
      <c r="I14" s="35"/>
      <c r="J14" s="35"/>
      <c r="K14" s="60"/>
      <c r="L14" s="35"/>
      <c r="M14" s="52"/>
      <c r="N14" s="49"/>
      <c r="O14" s="14" t="s">
        <v>8</v>
      </c>
      <c r="P14" s="15">
        <f>POWER(10,P13/10) / 1000</f>
        <v>63.095734448019343</v>
      </c>
      <c r="Q14" s="54" t="s">
        <v>7</v>
      </c>
      <c r="R14" s="50"/>
      <c r="S14" s="50"/>
      <c r="T14" s="14"/>
      <c r="U14" s="15"/>
      <c r="V14" s="53"/>
      <c r="W14" s="51"/>
      <c r="X14" s="31"/>
      <c r="Y14" s="33"/>
    </row>
    <row r="15" spans="2:25" ht="9" customHeight="1" thickBot="1" x14ac:dyDescent="0.25">
      <c r="B15" s="29"/>
      <c r="C15" s="41"/>
      <c r="D15" s="13"/>
      <c r="E15" s="13"/>
      <c r="F15" s="42"/>
      <c r="G15" s="43"/>
      <c r="H15" s="43"/>
      <c r="I15" s="13"/>
      <c r="J15" s="13"/>
      <c r="K15" s="42"/>
      <c r="L15" s="44"/>
      <c r="M15" s="52"/>
      <c r="N15" s="55"/>
      <c r="O15" s="56"/>
      <c r="P15" s="56"/>
      <c r="Q15" s="57"/>
      <c r="R15" s="58"/>
      <c r="S15" s="56"/>
      <c r="T15" s="56"/>
      <c r="U15" s="56"/>
      <c r="V15" s="57"/>
      <c r="W15" s="59"/>
      <c r="X15" s="31"/>
      <c r="Y15" s="33"/>
    </row>
    <row r="16" spans="2:25" x14ac:dyDescent="0.2">
      <c r="B16" s="29"/>
      <c r="C16" s="78"/>
      <c r="D16" s="16"/>
      <c r="E16" s="16"/>
      <c r="F16" s="114" t="s">
        <v>89</v>
      </c>
      <c r="G16" s="50"/>
      <c r="H16" s="50"/>
      <c r="I16" s="16"/>
      <c r="J16" s="16"/>
      <c r="K16" s="114" t="s">
        <v>89</v>
      </c>
      <c r="L16" s="51"/>
      <c r="M16" s="52"/>
      <c r="N16" s="31"/>
      <c r="O16" s="61"/>
      <c r="P16" s="62"/>
      <c r="Q16" s="30"/>
      <c r="R16" s="31"/>
      <c r="S16" s="61"/>
      <c r="T16" s="63"/>
      <c r="U16" s="30"/>
      <c r="V16" s="31"/>
      <c r="W16" s="31"/>
      <c r="X16" s="31"/>
      <c r="Y16" s="33"/>
    </row>
    <row r="17" spans="2:25" ht="21" thickBot="1" x14ac:dyDescent="0.3">
      <c r="B17" s="29"/>
      <c r="C17" s="49"/>
      <c r="D17" s="14" t="s">
        <v>51</v>
      </c>
      <c r="E17" s="14" t="s">
        <v>42</v>
      </c>
      <c r="F17" s="53">
        <f>K47</f>
        <v>56.989700043360187</v>
      </c>
      <c r="G17" s="50" t="s">
        <v>5</v>
      </c>
      <c r="H17" s="50"/>
      <c r="I17" s="14" t="s">
        <v>55</v>
      </c>
      <c r="J17" s="14" t="s">
        <v>42</v>
      </c>
      <c r="K17" s="53">
        <f>POWER(10, F17/10) / 1000</f>
        <v>500.00000000000057</v>
      </c>
      <c r="L17" s="51" t="s">
        <v>7</v>
      </c>
      <c r="M17" s="52"/>
      <c r="N17" s="35" t="s">
        <v>60</v>
      </c>
      <c r="O17" s="32"/>
      <c r="P17" s="31"/>
      <c r="Q17" s="31"/>
      <c r="R17" s="31"/>
      <c r="S17" s="32"/>
      <c r="T17" s="31"/>
      <c r="U17" s="31"/>
      <c r="V17" s="31"/>
      <c r="W17" s="31"/>
      <c r="X17" s="31"/>
      <c r="Y17" s="33"/>
    </row>
    <row r="18" spans="2:25" ht="8" customHeight="1" thickBot="1" x14ac:dyDescent="0.25">
      <c r="B18" s="29"/>
      <c r="C18" s="55"/>
      <c r="D18" s="56"/>
      <c r="E18" s="56"/>
      <c r="F18" s="57"/>
      <c r="G18" s="58"/>
      <c r="H18" s="56"/>
      <c r="I18" s="56"/>
      <c r="J18" s="56"/>
      <c r="K18" s="57"/>
      <c r="L18" s="59"/>
      <c r="M18" s="52"/>
      <c r="N18" s="41"/>
      <c r="O18" s="13"/>
      <c r="P18" s="13"/>
      <c r="Q18" s="42"/>
      <c r="R18" s="43"/>
      <c r="S18" s="43"/>
      <c r="T18" s="13"/>
      <c r="U18" s="13"/>
      <c r="V18" s="42"/>
      <c r="W18" s="44"/>
      <c r="X18" s="31"/>
      <c r="Y18" s="33"/>
    </row>
    <row r="19" spans="2:25" ht="9" customHeight="1" x14ac:dyDescent="0.2">
      <c r="B19" s="29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2"/>
      <c r="N19" s="78"/>
      <c r="O19" s="16"/>
      <c r="P19" s="16"/>
      <c r="Q19" s="53"/>
      <c r="R19" s="50"/>
      <c r="S19" s="50"/>
      <c r="T19" s="16"/>
      <c r="U19" s="16"/>
      <c r="V19" s="53"/>
      <c r="W19" s="51"/>
      <c r="X19" s="31"/>
      <c r="Y19" s="33"/>
    </row>
    <row r="20" spans="2:25" ht="19" thickBot="1" x14ac:dyDescent="0.25">
      <c r="B20" s="29"/>
      <c r="C20" s="35" t="s">
        <v>59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49"/>
      <c r="O20" s="14" t="s">
        <v>11</v>
      </c>
      <c r="P20" s="19" t="s">
        <v>42</v>
      </c>
      <c r="Q20" s="22">
        <v>7</v>
      </c>
      <c r="R20" s="50" t="s">
        <v>12</v>
      </c>
      <c r="S20" s="50"/>
      <c r="T20" s="16" t="s">
        <v>91</v>
      </c>
      <c r="U20" s="14"/>
      <c r="V20" s="53"/>
      <c r="W20" s="51"/>
      <c r="X20" s="31"/>
      <c r="Y20" s="33"/>
    </row>
    <row r="21" spans="2:25" ht="18" customHeight="1" x14ac:dyDescent="0.25">
      <c r="B21" s="29"/>
      <c r="C21" s="41"/>
      <c r="D21" s="13"/>
      <c r="E21" s="13"/>
      <c r="F21" s="42"/>
      <c r="G21" s="43"/>
      <c r="H21" s="43"/>
      <c r="I21" s="13"/>
      <c r="J21" s="13"/>
      <c r="K21" s="42"/>
      <c r="L21" s="44"/>
      <c r="M21" s="52"/>
      <c r="N21" s="49"/>
      <c r="O21" s="14" t="s">
        <v>49</v>
      </c>
      <c r="P21" s="19" t="s">
        <v>42</v>
      </c>
      <c r="Q21" s="22">
        <v>0</v>
      </c>
      <c r="R21" s="50" t="s">
        <v>13</v>
      </c>
      <c r="S21" s="50"/>
      <c r="T21" s="16" t="s">
        <v>90</v>
      </c>
      <c r="U21" s="14"/>
      <c r="V21" s="53"/>
      <c r="W21" s="51"/>
      <c r="X21" s="31"/>
      <c r="Y21" s="33"/>
    </row>
    <row r="22" spans="2:25" ht="20" x14ac:dyDescent="0.25">
      <c r="B22" s="29"/>
      <c r="C22" s="49"/>
      <c r="D22" s="14"/>
      <c r="E22" s="14"/>
      <c r="F22" s="115" t="s">
        <v>92</v>
      </c>
      <c r="G22" s="50"/>
      <c r="H22" s="50"/>
      <c r="I22" s="16"/>
      <c r="J22" s="14"/>
      <c r="K22" s="53"/>
      <c r="L22" s="51"/>
      <c r="M22" s="52"/>
      <c r="N22" s="49"/>
      <c r="O22" s="14" t="s">
        <v>50</v>
      </c>
      <c r="P22" s="19" t="s">
        <v>42</v>
      </c>
      <c r="Q22" s="22">
        <v>10</v>
      </c>
      <c r="R22" s="50" t="s">
        <v>5</v>
      </c>
      <c r="S22" s="50"/>
      <c r="T22" s="16" t="s">
        <v>63</v>
      </c>
      <c r="U22" s="14"/>
      <c r="V22" s="53"/>
      <c r="W22" s="51"/>
      <c r="X22" s="31"/>
      <c r="Y22" s="33"/>
    </row>
    <row r="23" spans="2:25" ht="23" thickBot="1" x14ac:dyDescent="0.3">
      <c r="B23" s="29"/>
      <c r="C23" s="49"/>
      <c r="D23" s="14" t="s">
        <v>54</v>
      </c>
      <c r="E23" s="14" t="s">
        <v>42</v>
      </c>
      <c r="F23" s="20">
        <v>0.2</v>
      </c>
      <c r="G23" s="50" t="s">
        <v>48</v>
      </c>
      <c r="H23" s="50"/>
      <c r="I23" s="16" t="s">
        <v>56</v>
      </c>
      <c r="J23" s="14"/>
      <c r="K23" s="53"/>
      <c r="L23" s="51"/>
      <c r="M23" s="52"/>
      <c r="N23" s="55"/>
      <c r="O23" s="56"/>
      <c r="P23" s="64"/>
      <c r="Q23" s="65"/>
      <c r="R23" s="58"/>
      <c r="S23" s="56"/>
      <c r="T23" s="56"/>
      <c r="U23" s="56"/>
      <c r="V23" s="57"/>
      <c r="W23" s="59"/>
      <c r="X23" s="31"/>
      <c r="Y23" s="33"/>
    </row>
    <row r="24" spans="2:25" ht="19" thickBot="1" x14ac:dyDescent="0.25">
      <c r="B24" s="29"/>
      <c r="C24" s="55"/>
      <c r="D24" s="56"/>
      <c r="E24" s="56"/>
      <c r="F24" s="57"/>
      <c r="G24" s="58"/>
      <c r="H24" s="56"/>
      <c r="I24" s="56"/>
      <c r="J24" s="56"/>
      <c r="K24" s="57"/>
      <c r="L24" s="59"/>
      <c r="M24" s="52"/>
      <c r="N24" s="35" t="s">
        <v>36</v>
      </c>
      <c r="O24" s="61"/>
      <c r="P24" s="66"/>
      <c r="Q24" s="67"/>
      <c r="R24" s="31"/>
      <c r="S24" s="61"/>
      <c r="T24" s="63"/>
      <c r="U24" s="30"/>
      <c r="V24" s="31"/>
      <c r="W24" s="31"/>
      <c r="X24" s="31"/>
      <c r="Y24" s="33"/>
    </row>
    <row r="25" spans="2:25" ht="19" thickBot="1" x14ac:dyDescent="0.25">
      <c r="B25" s="29"/>
      <c r="C25" s="35" t="s">
        <v>36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41"/>
      <c r="O25" s="13"/>
      <c r="P25" s="18"/>
      <c r="Q25" s="42"/>
      <c r="R25" s="43"/>
      <c r="S25" s="43"/>
      <c r="T25" s="13"/>
      <c r="U25" s="13"/>
      <c r="V25" s="42"/>
      <c r="W25" s="44"/>
      <c r="X25" s="31"/>
      <c r="Y25" s="33"/>
    </row>
    <row r="26" spans="2:25" ht="20" x14ac:dyDescent="0.25">
      <c r="B26" s="29"/>
      <c r="C26" s="41"/>
      <c r="D26" s="13"/>
      <c r="E26" s="13"/>
      <c r="F26" s="42"/>
      <c r="G26" s="43"/>
      <c r="H26" s="43"/>
      <c r="I26" s="13"/>
      <c r="J26" s="13"/>
      <c r="K26" s="42"/>
      <c r="L26" s="44"/>
      <c r="M26" s="52"/>
      <c r="N26" s="49"/>
      <c r="O26" s="14" t="s">
        <v>53</v>
      </c>
      <c r="P26" s="19" t="s">
        <v>42</v>
      </c>
      <c r="Q26" s="68">
        <f>1000*EXP((F17-Q22-20*LOG10(Q20)-32.15+Q21)*LN(10)/20)</f>
        <v>788.65482040958511</v>
      </c>
      <c r="R26" s="50" t="s">
        <v>14</v>
      </c>
      <c r="S26" s="50"/>
      <c r="T26" s="16" t="s">
        <v>37</v>
      </c>
      <c r="U26" s="14"/>
      <c r="V26" s="53"/>
      <c r="W26" s="51"/>
      <c r="X26" s="31"/>
      <c r="Y26" s="33"/>
    </row>
    <row r="27" spans="2:25" ht="20" x14ac:dyDescent="0.25">
      <c r="B27" s="29"/>
      <c r="C27" s="49"/>
      <c r="D27" s="14" t="s">
        <v>52</v>
      </c>
      <c r="E27" s="14" t="s">
        <v>42</v>
      </c>
      <c r="F27" s="68">
        <f>SQRT(K17/(4 * PI()* F23 *10))</f>
        <v>4.4603102903819307</v>
      </c>
      <c r="G27" s="50" t="s">
        <v>14</v>
      </c>
      <c r="H27" s="50"/>
      <c r="I27" s="16" t="s">
        <v>37</v>
      </c>
      <c r="J27" s="14"/>
      <c r="K27" s="53"/>
      <c r="L27" s="51"/>
      <c r="M27" s="52"/>
      <c r="N27" s="49"/>
      <c r="O27" s="14" t="s">
        <v>62</v>
      </c>
      <c r="P27" s="19" t="s">
        <v>42</v>
      </c>
      <c r="Q27" s="68">
        <f xml:space="preserve"> Q22 + 20*LOG10(Q20) + 77.21</f>
        <v>104.11196080028513</v>
      </c>
      <c r="R27" s="50" t="s">
        <v>61</v>
      </c>
      <c r="S27" s="50"/>
      <c r="T27" s="16"/>
      <c r="U27" s="14"/>
      <c r="V27" s="53"/>
      <c r="W27" s="51"/>
      <c r="X27" s="31"/>
      <c r="Y27" s="33"/>
    </row>
    <row r="28" spans="2:25" ht="20" x14ac:dyDescent="0.25">
      <c r="B28" s="29"/>
      <c r="C28" s="49"/>
      <c r="D28" s="14" t="s">
        <v>57</v>
      </c>
      <c r="E28" s="14" t="s">
        <v>42</v>
      </c>
      <c r="F28" s="68">
        <f>SQRT(F23*377*10)</f>
        <v>27.459060435491963</v>
      </c>
      <c r="G28" s="50" t="s">
        <v>10</v>
      </c>
      <c r="H28" s="50"/>
      <c r="I28" s="16"/>
      <c r="J28" s="14"/>
      <c r="K28" s="53"/>
      <c r="L28" s="51"/>
      <c r="M28" s="52"/>
      <c r="N28" s="49"/>
      <c r="O28" s="14" t="s">
        <v>47</v>
      </c>
      <c r="P28" s="19" t="s">
        <v>42</v>
      </c>
      <c r="Q28" s="68">
        <f>EXP(Q27*LN(10)/20) / 1000000</f>
        <v>0.16054546413133131</v>
      </c>
      <c r="R28" s="50" t="s">
        <v>10</v>
      </c>
      <c r="S28" s="50"/>
      <c r="T28" s="16"/>
      <c r="U28" s="14"/>
      <c r="V28" s="53"/>
      <c r="W28" s="51"/>
      <c r="X28" s="31"/>
      <c r="Y28" s="33"/>
    </row>
    <row r="29" spans="2:25" ht="21" thickBot="1" x14ac:dyDescent="0.3">
      <c r="B29" s="29"/>
      <c r="C29" s="49"/>
      <c r="D29" s="14" t="s">
        <v>58</v>
      </c>
      <c r="E29" s="14" t="s">
        <v>42</v>
      </c>
      <c r="F29" s="68">
        <f>F28/377</f>
        <v>7.2835704072922974E-2</v>
      </c>
      <c r="G29" s="50" t="s">
        <v>19</v>
      </c>
      <c r="H29" s="50"/>
      <c r="I29" s="16"/>
      <c r="J29" s="14"/>
      <c r="K29" s="53"/>
      <c r="L29" s="51"/>
      <c r="M29" s="52"/>
      <c r="N29" s="55"/>
      <c r="O29" s="56"/>
      <c r="P29" s="64"/>
      <c r="Q29" s="57"/>
      <c r="R29" s="58"/>
      <c r="S29" s="56"/>
      <c r="T29" s="56"/>
      <c r="U29" s="56"/>
      <c r="V29" s="57"/>
      <c r="W29" s="59"/>
      <c r="X29" s="31"/>
      <c r="Y29" s="33"/>
    </row>
    <row r="30" spans="2:25" ht="11" customHeight="1" thickBot="1" x14ac:dyDescent="0.25">
      <c r="B30" s="29"/>
      <c r="C30" s="55"/>
      <c r="D30" s="56"/>
      <c r="E30" s="56"/>
      <c r="F30" s="57"/>
      <c r="G30" s="58"/>
      <c r="H30" s="56"/>
      <c r="I30" s="56"/>
      <c r="J30" s="56"/>
      <c r="K30" s="57"/>
      <c r="L30" s="59"/>
      <c r="M30" s="52"/>
      <c r="N30" s="31"/>
      <c r="O30" s="32"/>
      <c r="P30" s="31"/>
      <c r="Q30" s="31"/>
      <c r="R30" s="31"/>
      <c r="S30" s="32"/>
      <c r="T30" s="31"/>
      <c r="U30" s="31"/>
      <c r="V30" s="31"/>
      <c r="W30" s="31"/>
      <c r="X30" s="31"/>
      <c r="Y30" s="33"/>
    </row>
    <row r="31" spans="2:25" ht="7" customHeight="1" x14ac:dyDescent="0.2">
      <c r="B31" s="29"/>
      <c r="C31" s="52"/>
      <c r="D31" s="52"/>
      <c r="E31" s="69"/>
      <c r="F31" s="52"/>
      <c r="G31" s="52"/>
      <c r="H31" s="52"/>
      <c r="I31" s="52"/>
      <c r="J31" s="52"/>
      <c r="K31" s="52"/>
      <c r="L31" s="52"/>
      <c r="M31" s="52"/>
      <c r="N31" s="31"/>
      <c r="O31" s="32"/>
      <c r="P31" s="31"/>
      <c r="Q31" s="31"/>
      <c r="R31" s="31"/>
      <c r="S31" s="32"/>
      <c r="T31" s="31"/>
      <c r="U31" s="31"/>
      <c r="V31" s="31"/>
      <c r="W31" s="31"/>
      <c r="X31" s="31"/>
      <c r="Y31" s="33"/>
    </row>
    <row r="32" spans="2:25" s="39" customFormat="1" x14ac:dyDescent="0.2">
      <c r="B32" s="34"/>
      <c r="C32" s="70" t="s">
        <v>68</v>
      </c>
      <c r="D32" s="70"/>
      <c r="E32" s="71"/>
      <c r="F32" s="70"/>
      <c r="G32" s="70"/>
      <c r="H32" s="70"/>
      <c r="I32" s="70"/>
      <c r="J32" s="70"/>
      <c r="K32" s="70"/>
      <c r="L32" s="70"/>
      <c r="M32" s="70"/>
      <c r="N32" s="36" t="s">
        <v>68</v>
      </c>
      <c r="O32" s="37"/>
      <c r="P32" s="36"/>
      <c r="Q32" s="36"/>
      <c r="R32" s="36"/>
      <c r="S32" s="37"/>
      <c r="T32" s="36"/>
      <c r="U32" s="36"/>
      <c r="V32" s="36"/>
      <c r="W32" s="36"/>
      <c r="X32" s="36"/>
      <c r="Y32" s="38"/>
    </row>
    <row r="33" spans="2:25" x14ac:dyDescent="0.2">
      <c r="B33" s="29"/>
      <c r="C33" s="52"/>
      <c r="D33" s="52"/>
      <c r="E33" s="69"/>
      <c r="F33" s="52"/>
      <c r="G33" s="52"/>
      <c r="H33" s="52"/>
      <c r="I33" s="52"/>
      <c r="J33" s="52"/>
      <c r="K33" s="52"/>
      <c r="L33" s="52"/>
      <c r="M33" s="52"/>
      <c r="N33" s="31"/>
      <c r="O33" s="32"/>
      <c r="P33" s="31"/>
      <c r="Q33" s="31"/>
      <c r="R33" s="31"/>
      <c r="S33" s="32"/>
      <c r="T33" s="31"/>
      <c r="U33" s="31"/>
      <c r="V33" s="31"/>
      <c r="W33" s="31"/>
      <c r="X33" s="31"/>
      <c r="Y33" s="33"/>
    </row>
    <row r="34" spans="2:25" x14ac:dyDescent="0.2">
      <c r="B34" s="29"/>
      <c r="C34" s="52"/>
      <c r="D34" s="52"/>
      <c r="E34" s="69"/>
      <c r="F34" s="52"/>
      <c r="G34" s="52"/>
      <c r="H34" s="52"/>
      <c r="I34" s="52"/>
      <c r="J34" s="52"/>
      <c r="K34" s="52"/>
      <c r="L34" s="52"/>
      <c r="M34" s="52"/>
      <c r="N34" s="31"/>
      <c r="O34" s="32"/>
      <c r="P34" s="31"/>
      <c r="Q34" s="31"/>
      <c r="R34" s="31"/>
      <c r="S34" s="32"/>
      <c r="T34" s="31"/>
      <c r="U34" s="31"/>
      <c r="V34" s="31"/>
      <c r="W34" s="31"/>
      <c r="X34" s="31"/>
      <c r="Y34" s="33"/>
    </row>
    <row r="35" spans="2:25" x14ac:dyDescent="0.2">
      <c r="B35" s="29"/>
      <c r="C35" s="52"/>
      <c r="D35" s="52"/>
      <c r="E35" s="69"/>
      <c r="F35" s="52"/>
      <c r="G35" s="52"/>
      <c r="H35" s="52"/>
      <c r="I35" s="52"/>
      <c r="J35" s="52"/>
      <c r="K35" s="52"/>
      <c r="L35" s="52"/>
      <c r="M35" s="52"/>
      <c r="N35" s="31"/>
      <c r="O35" s="30"/>
      <c r="P35" s="31"/>
      <c r="Q35" s="31"/>
      <c r="R35" s="31"/>
      <c r="S35" s="72"/>
      <c r="T35" s="30"/>
      <c r="U35" s="31"/>
      <c r="V35" s="31"/>
      <c r="W35" s="31"/>
      <c r="X35" s="31"/>
      <c r="Y35" s="33"/>
    </row>
    <row r="36" spans="2:25" x14ac:dyDescent="0.2">
      <c r="B36" s="29"/>
      <c r="C36" s="52"/>
      <c r="D36" s="52"/>
      <c r="E36" s="69"/>
      <c r="F36" s="52"/>
      <c r="G36" s="52"/>
      <c r="H36" s="52"/>
      <c r="I36" s="52"/>
      <c r="J36" s="52"/>
      <c r="K36" s="52"/>
      <c r="L36" s="52"/>
      <c r="M36" s="52"/>
      <c r="N36" s="31"/>
      <c r="O36" s="30"/>
      <c r="P36" s="31"/>
      <c r="Q36" s="30"/>
      <c r="R36" s="31"/>
      <c r="S36" s="72"/>
      <c r="T36" s="30"/>
      <c r="U36" s="31"/>
      <c r="V36" s="30"/>
      <c r="W36" s="31"/>
      <c r="X36" s="31"/>
      <c r="Y36" s="33"/>
    </row>
    <row r="37" spans="2:25" x14ac:dyDescent="0.2">
      <c r="B37" s="29"/>
      <c r="C37" s="52"/>
      <c r="D37" s="52"/>
      <c r="E37" s="69"/>
      <c r="F37" s="52"/>
      <c r="G37" s="52"/>
      <c r="H37" s="52"/>
      <c r="I37" s="52"/>
      <c r="J37" s="52"/>
      <c r="K37" s="52"/>
      <c r="L37" s="52"/>
      <c r="M37" s="52"/>
      <c r="N37" s="31"/>
      <c r="O37" s="32"/>
      <c r="P37" s="31"/>
      <c r="Q37" s="31"/>
      <c r="R37" s="31"/>
      <c r="S37" s="32"/>
      <c r="T37" s="31"/>
      <c r="U37" s="31"/>
      <c r="V37" s="31"/>
      <c r="W37" s="31"/>
      <c r="X37" s="31"/>
      <c r="Y37" s="33"/>
    </row>
    <row r="38" spans="2:25" x14ac:dyDescent="0.2">
      <c r="B38" s="29"/>
      <c r="C38" s="52"/>
      <c r="D38" s="52"/>
      <c r="E38" s="69"/>
      <c r="F38" s="52"/>
      <c r="G38" s="52"/>
      <c r="H38" s="52"/>
      <c r="I38" s="52"/>
      <c r="J38" s="52"/>
      <c r="K38" s="52"/>
      <c r="L38" s="52"/>
      <c r="M38" s="52"/>
      <c r="N38" s="31"/>
      <c r="O38" s="32"/>
      <c r="P38" s="31"/>
      <c r="Q38" s="31"/>
      <c r="R38" s="31"/>
      <c r="S38" s="32"/>
      <c r="T38" s="31"/>
      <c r="U38" s="31"/>
      <c r="V38" s="31"/>
      <c r="W38" s="31"/>
      <c r="X38" s="31"/>
      <c r="Y38" s="33"/>
    </row>
    <row r="39" spans="2:25" s="39" customFormat="1" x14ac:dyDescent="0.2">
      <c r="B39" s="29"/>
      <c r="C39" s="52"/>
      <c r="D39" s="52"/>
      <c r="E39" s="69"/>
      <c r="F39" s="52"/>
      <c r="G39" s="52"/>
      <c r="H39" s="52"/>
      <c r="I39" s="52"/>
      <c r="J39" s="52"/>
      <c r="K39" s="52"/>
      <c r="L39" s="52"/>
      <c r="M39" s="35"/>
      <c r="N39" s="36"/>
      <c r="O39" s="73"/>
      <c r="P39" s="35"/>
      <c r="Q39" s="35"/>
      <c r="R39" s="36"/>
      <c r="S39" s="73"/>
      <c r="T39" s="35"/>
      <c r="U39" s="35"/>
      <c r="V39" s="36"/>
      <c r="W39" s="36"/>
      <c r="X39" s="36"/>
      <c r="Y39" s="38"/>
    </row>
    <row r="40" spans="2:25" x14ac:dyDescent="0.2">
      <c r="B40" s="29"/>
      <c r="C40" s="52"/>
      <c r="D40" s="52"/>
      <c r="E40" s="69"/>
      <c r="F40" s="52"/>
      <c r="G40" s="52"/>
      <c r="H40" s="52"/>
      <c r="I40" s="52"/>
      <c r="J40" s="52"/>
      <c r="K40" s="52"/>
      <c r="L40" s="52"/>
      <c r="M40" s="30"/>
      <c r="N40" s="31"/>
      <c r="O40" s="32"/>
      <c r="P40" s="31"/>
      <c r="Q40" s="31"/>
      <c r="R40" s="31"/>
      <c r="S40" s="32"/>
      <c r="T40" s="31"/>
      <c r="U40" s="31"/>
      <c r="V40" s="31"/>
      <c r="W40" s="31"/>
      <c r="X40" s="31"/>
      <c r="Y40" s="33"/>
    </row>
    <row r="41" spans="2:25" x14ac:dyDescent="0.2">
      <c r="B41" s="29"/>
      <c r="C41" s="52"/>
      <c r="D41" s="52"/>
      <c r="E41" s="69"/>
      <c r="F41" s="52"/>
      <c r="G41" s="52"/>
      <c r="H41" s="52"/>
      <c r="I41" s="52"/>
      <c r="J41" s="52"/>
      <c r="K41" s="52"/>
      <c r="L41" s="52"/>
      <c r="M41" s="30"/>
      <c r="N41" s="31"/>
      <c r="O41" s="32"/>
      <c r="P41" s="31"/>
      <c r="Q41" s="31"/>
      <c r="R41" s="31"/>
      <c r="S41" s="32"/>
      <c r="T41" s="31"/>
      <c r="U41" s="31"/>
      <c r="V41" s="31"/>
      <c r="W41" s="31"/>
      <c r="X41" s="31"/>
      <c r="Y41" s="33"/>
    </row>
    <row r="42" spans="2:25" ht="19" thickBot="1" x14ac:dyDescent="0.25">
      <c r="B42" s="74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6"/>
      <c r="P42" s="75"/>
      <c r="Q42" s="75"/>
      <c r="R42" s="75"/>
      <c r="S42" s="76"/>
      <c r="T42" s="75"/>
      <c r="U42" s="75"/>
      <c r="V42" s="75"/>
      <c r="W42" s="75"/>
      <c r="X42" s="75"/>
      <c r="Y42" s="77"/>
    </row>
    <row r="43" spans="2:25" ht="19" thickTop="1" x14ac:dyDescent="0.2"/>
    <row r="45" spans="2:25" x14ac:dyDescent="0.2">
      <c r="B45" s="23" t="s">
        <v>96</v>
      </c>
    </row>
    <row r="47" spans="2:25" x14ac:dyDescent="0.2">
      <c r="D47" s="116">
        <f>IF(F8=C47,-1000,F8)</f>
        <v>50</v>
      </c>
      <c r="F47" s="116">
        <f>IF(K8=E47,-1000,K8)</f>
        <v>-1000</v>
      </c>
      <c r="K47" s="23">
        <f>10*LOG10(EXP(D47*LN(10)/10) + EXP(D48*LN(10)/10) + EXP(D49*LN(10)/10) + EXP(D50*LN(10)/10) + EXP(D51*LN(10)/10) + EXP(F47*LN(10)/10) + EXP(F48*LN(10)/10) + EXP(F49*LN(10)/10) + EXP(F50*LN(10)/10) + EXP(F51*LN(10)/10))</f>
        <v>56.989700043360187</v>
      </c>
    </row>
    <row r="48" spans="2:25" x14ac:dyDescent="0.2">
      <c r="D48" s="116">
        <f t="shared" ref="D48:D51" si="0">IF(F9=C48,-1000,F9)</f>
        <v>50</v>
      </c>
      <c r="F48" s="116">
        <f t="shared" ref="F48:F51" si="1">IF(K9=E48,-1000,K9)</f>
        <v>-1000</v>
      </c>
    </row>
    <row r="49" spans="4:6" x14ac:dyDescent="0.2">
      <c r="D49" s="116">
        <f t="shared" si="0"/>
        <v>50</v>
      </c>
      <c r="F49" s="116">
        <f t="shared" si="1"/>
        <v>-1000</v>
      </c>
    </row>
    <row r="50" spans="4:6" x14ac:dyDescent="0.2">
      <c r="D50" s="116">
        <f t="shared" si="0"/>
        <v>50</v>
      </c>
      <c r="F50" s="116">
        <f t="shared" si="1"/>
        <v>-1000</v>
      </c>
    </row>
    <row r="51" spans="4:6" x14ac:dyDescent="0.2">
      <c r="D51" s="116">
        <f t="shared" si="0"/>
        <v>50</v>
      </c>
      <c r="F51" s="116">
        <f t="shared" si="1"/>
        <v>-1000</v>
      </c>
    </row>
  </sheetData>
  <sheetProtection sheet="1" selectLockedCells="1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9AE-F2BF-E04F-B6A2-D4B475DCF38D}">
  <dimension ref="A12:A100"/>
  <sheetViews>
    <sheetView zoomScale="120" zoomScaleNormal="120" workbookViewId="0">
      <selection activeCell="W12" sqref="W12"/>
    </sheetView>
  </sheetViews>
  <sheetFormatPr baseColWidth="10" defaultRowHeight="16" x14ac:dyDescent="0.2"/>
  <cols>
    <col min="1" max="16384" width="10.83203125" style="122"/>
  </cols>
  <sheetData>
    <row r="12" s="122" customFormat="1" x14ac:dyDescent="0.2"/>
    <row r="14" s="122" customFormat="1" x14ac:dyDescent="0.2"/>
    <row r="15" s="122" customFormat="1" x14ac:dyDescent="0.2"/>
    <row r="16" s="122" customFormat="1" x14ac:dyDescent="0.2"/>
    <row r="17" s="122" customFormat="1" x14ac:dyDescent="0.2"/>
    <row r="18" s="122" customFormat="1" x14ac:dyDescent="0.2"/>
    <row r="19" s="122" customFormat="1" x14ac:dyDescent="0.2"/>
    <row r="20" s="122" customFormat="1" x14ac:dyDescent="0.2"/>
    <row r="21" s="122" customFormat="1" x14ac:dyDescent="0.2"/>
    <row r="24" s="122" customFormat="1" x14ac:dyDescent="0.2"/>
    <row r="26" s="122" customFormat="1" x14ac:dyDescent="0.2"/>
    <row r="27" s="122" customFormat="1" x14ac:dyDescent="0.2"/>
    <row r="28" s="122" customFormat="1" x14ac:dyDescent="0.2"/>
    <row r="29" s="122" customFormat="1" x14ac:dyDescent="0.2"/>
    <row r="30" s="122" customFormat="1" x14ac:dyDescent="0.2"/>
    <row r="31" s="122" customFormat="1" x14ac:dyDescent="0.2"/>
    <row r="32" s="122" customFormat="1" x14ac:dyDescent="0.2"/>
    <row r="33" s="122" customFormat="1" x14ac:dyDescent="0.2"/>
    <row r="37" s="122" customFormat="1" x14ac:dyDescent="0.2"/>
    <row r="38" s="122" customFormat="1" x14ac:dyDescent="0.2"/>
    <row r="39" s="122" customFormat="1" x14ac:dyDescent="0.2"/>
    <row r="40" s="122" customFormat="1" x14ac:dyDescent="0.2"/>
    <row r="41" s="122" customFormat="1" x14ac:dyDescent="0.2"/>
    <row r="42" s="122" customFormat="1" x14ac:dyDescent="0.2"/>
    <row r="43" s="122" customFormat="1" x14ac:dyDescent="0.2"/>
    <row r="44" s="122" customFormat="1" x14ac:dyDescent="0.2"/>
    <row r="45" s="122" customFormat="1" x14ac:dyDescent="0.2"/>
    <row r="46" s="122" customFormat="1" x14ac:dyDescent="0.2"/>
    <row r="47" s="122" customFormat="1" x14ac:dyDescent="0.2"/>
    <row r="48" s="122" customFormat="1" x14ac:dyDescent="0.2"/>
    <row r="49" s="122" customFormat="1" x14ac:dyDescent="0.2"/>
    <row r="50" s="122" customFormat="1" x14ac:dyDescent="0.2"/>
    <row r="51" s="122" customFormat="1" x14ac:dyDescent="0.2"/>
    <row r="52" s="122" customFormat="1" x14ac:dyDescent="0.2"/>
    <row r="53" s="122" customFormat="1" x14ac:dyDescent="0.2"/>
    <row r="54" s="122" customFormat="1" x14ac:dyDescent="0.2"/>
    <row r="55" s="122" customFormat="1" x14ac:dyDescent="0.2"/>
    <row r="56" s="122" customFormat="1" x14ac:dyDescent="0.2"/>
    <row r="57" s="122" customFormat="1" x14ac:dyDescent="0.2"/>
    <row r="58" s="122" customFormat="1" x14ac:dyDescent="0.2"/>
    <row r="59" s="122" customFormat="1" x14ac:dyDescent="0.2"/>
    <row r="60" s="122" customFormat="1" x14ac:dyDescent="0.2"/>
    <row r="61" s="122" customFormat="1" x14ac:dyDescent="0.2"/>
    <row r="62" s="122" customFormat="1" x14ac:dyDescent="0.2"/>
    <row r="63" s="122" customFormat="1" x14ac:dyDescent="0.2"/>
    <row r="64" s="122" customFormat="1" x14ac:dyDescent="0.2"/>
    <row r="65" s="122" customFormat="1" x14ac:dyDescent="0.2"/>
    <row r="66" s="122" customFormat="1" x14ac:dyDescent="0.2"/>
    <row r="67" s="122" customFormat="1" x14ac:dyDescent="0.2"/>
    <row r="68" s="122" customFormat="1" x14ac:dyDescent="0.2"/>
    <row r="69" s="122" customFormat="1" x14ac:dyDescent="0.2"/>
    <row r="70" s="122" customFormat="1" x14ac:dyDescent="0.2"/>
    <row r="71" s="122" customFormat="1" x14ac:dyDescent="0.2"/>
    <row r="72" s="122" customFormat="1" x14ac:dyDescent="0.2"/>
    <row r="73" s="122" customFormat="1" x14ac:dyDescent="0.2"/>
    <row r="74" s="122" customFormat="1" x14ac:dyDescent="0.2"/>
    <row r="75" s="122" customFormat="1" x14ac:dyDescent="0.2"/>
    <row r="76" s="122" customFormat="1" x14ac:dyDescent="0.2"/>
    <row r="77" s="122" customFormat="1" x14ac:dyDescent="0.2"/>
    <row r="78" s="122" customFormat="1" x14ac:dyDescent="0.2"/>
    <row r="79" s="122" customFormat="1" x14ac:dyDescent="0.2"/>
    <row r="80" s="122" customFormat="1" x14ac:dyDescent="0.2"/>
    <row r="81" s="122" customFormat="1" x14ac:dyDescent="0.2"/>
    <row r="82" s="122" customFormat="1" x14ac:dyDescent="0.2"/>
    <row r="83" s="122" customFormat="1" x14ac:dyDescent="0.2"/>
    <row r="84" s="122" customFormat="1" x14ac:dyDescent="0.2"/>
    <row r="85" s="122" customFormat="1" x14ac:dyDescent="0.2"/>
    <row r="91" s="122" customFormat="1" x14ac:dyDescent="0.2"/>
    <row r="92" s="122" customFormat="1" x14ac:dyDescent="0.2"/>
    <row r="93" s="122" customFormat="1" x14ac:dyDescent="0.2"/>
    <row r="94" s="122" customFormat="1" x14ac:dyDescent="0.2"/>
    <row r="95" s="122" customFormat="1" x14ac:dyDescent="0.2"/>
    <row r="96" s="122" customFormat="1" x14ac:dyDescent="0.2"/>
    <row r="97" s="122" customFormat="1" x14ac:dyDescent="0.2"/>
    <row r="98" s="122" customFormat="1" x14ac:dyDescent="0.2"/>
    <row r="99" s="122" customFormat="1" x14ac:dyDescent="0.2"/>
    <row r="100" s="122" customFormat="1" x14ac:dyDescent="0.2"/>
  </sheetData>
  <sheetProtection sheet="1" objects="1" scenarios="1"/>
  <phoneticPr fontId="9" type="noConversion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19DC-B297-1645-BE2B-43EB13080AE3}">
  <dimension ref="C11:W23"/>
  <sheetViews>
    <sheetView zoomScale="120" zoomScaleNormal="120" workbookViewId="0">
      <selection activeCell="W12" sqref="W12"/>
    </sheetView>
  </sheetViews>
  <sheetFormatPr baseColWidth="10" defaultRowHeight="19" x14ac:dyDescent="0.25"/>
  <cols>
    <col min="1" max="2" width="10.83203125" style="6"/>
    <col min="3" max="3" width="10.83203125" style="4" customWidth="1"/>
    <col min="4" max="7" width="10.83203125" style="4"/>
    <col min="8" max="8" width="4" style="4" customWidth="1"/>
    <col min="9" max="9" width="4" style="6" customWidth="1"/>
    <col min="10" max="12" width="10.83203125" style="6"/>
    <col min="13" max="13" width="18.6640625" style="6" customWidth="1"/>
    <col min="14" max="16384" width="10.83203125" style="6"/>
  </cols>
  <sheetData>
    <row r="11" spans="3:23" x14ac:dyDescent="0.25">
      <c r="D11" s="5"/>
      <c r="E11" s="5"/>
      <c r="F11" s="5"/>
      <c r="G11" s="5"/>
      <c r="H11" s="1"/>
    </row>
    <row r="12" spans="3:23" ht="21" x14ac:dyDescent="0.25">
      <c r="C12" s="7" t="s">
        <v>65</v>
      </c>
      <c r="D12" s="8"/>
      <c r="E12" s="8"/>
      <c r="F12" s="8"/>
      <c r="G12" s="8"/>
      <c r="H12" s="9"/>
      <c r="I12" s="10"/>
      <c r="J12" s="7" t="s">
        <v>66</v>
      </c>
      <c r="K12" s="8"/>
      <c r="L12" s="8"/>
      <c r="M12" s="8"/>
      <c r="N12" s="8"/>
      <c r="O12" s="1"/>
    </row>
    <row r="13" spans="3:23" ht="18" x14ac:dyDescent="0.2">
      <c r="C13" s="11" t="s">
        <v>11</v>
      </c>
      <c r="D13" s="5" t="s">
        <v>15</v>
      </c>
      <c r="E13" s="5" t="s">
        <v>16</v>
      </c>
      <c r="F13" s="5" t="s">
        <v>17</v>
      </c>
      <c r="G13" s="5" t="s">
        <v>18</v>
      </c>
      <c r="H13" s="1"/>
      <c r="J13" s="11" t="s">
        <v>11</v>
      </c>
      <c r="K13" s="5" t="s">
        <v>15</v>
      </c>
      <c r="L13" s="5" t="s">
        <v>16</v>
      </c>
      <c r="M13" s="5" t="s">
        <v>17</v>
      </c>
      <c r="N13" s="5" t="s">
        <v>18</v>
      </c>
      <c r="O13" s="1"/>
      <c r="R13" s="2" t="s">
        <v>43</v>
      </c>
      <c r="S13" s="1"/>
      <c r="T13" s="1"/>
      <c r="U13" s="1"/>
      <c r="V13" s="3" t="s">
        <v>38</v>
      </c>
      <c r="W13" s="2"/>
    </row>
    <row r="14" spans="3:23" ht="18" x14ac:dyDescent="0.2">
      <c r="C14" s="11" t="s">
        <v>12</v>
      </c>
      <c r="D14" s="5" t="s">
        <v>10</v>
      </c>
      <c r="E14" s="5" t="s">
        <v>19</v>
      </c>
      <c r="F14" s="5" t="s">
        <v>20</v>
      </c>
      <c r="G14" s="5" t="s">
        <v>21</v>
      </c>
      <c r="H14" s="1"/>
      <c r="J14" s="11" t="s">
        <v>12</v>
      </c>
      <c r="K14" s="5" t="s">
        <v>10</v>
      </c>
      <c r="L14" s="5" t="s">
        <v>19</v>
      </c>
      <c r="M14" s="5" t="s">
        <v>20</v>
      </c>
      <c r="N14" s="5" t="s">
        <v>21</v>
      </c>
      <c r="O14" s="1"/>
      <c r="R14" s="2" t="s">
        <v>44</v>
      </c>
      <c r="S14" s="1"/>
      <c r="T14" s="2"/>
      <c r="U14" s="1"/>
      <c r="V14" s="3" t="s">
        <v>45</v>
      </c>
      <c r="W14" s="2"/>
    </row>
    <row r="15" spans="3:23" ht="18" x14ac:dyDescent="0.2">
      <c r="C15" s="11">
        <v>0.3</v>
      </c>
      <c r="D15" s="5">
        <v>614</v>
      </c>
      <c r="E15" s="5">
        <v>1.63</v>
      </c>
      <c r="F15" s="5">
        <v>100</v>
      </c>
      <c r="G15" s="5">
        <v>6</v>
      </c>
      <c r="H15" s="1"/>
      <c r="J15" s="11">
        <v>0.3</v>
      </c>
      <c r="K15" s="5">
        <v>614</v>
      </c>
      <c r="L15" s="5">
        <v>1.63</v>
      </c>
      <c r="M15" s="5">
        <v>100</v>
      </c>
      <c r="N15" s="5">
        <v>30</v>
      </c>
      <c r="O15" s="1"/>
    </row>
    <row r="16" spans="3:23" ht="18" x14ac:dyDescent="0.2">
      <c r="C16" s="11">
        <v>3</v>
      </c>
      <c r="D16" s="5">
        <f>1842/C16</f>
        <v>614</v>
      </c>
      <c r="E16" s="5">
        <f>4.89/C16</f>
        <v>1.63</v>
      </c>
      <c r="F16" s="5">
        <f>900/(C16*C16)</f>
        <v>100</v>
      </c>
      <c r="G16" s="5">
        <v>6</v>
      </c>
      <c r="H16" s="1"/>
      <c r="J16" s="11">
        <v>1.34</v>
      </c>
      <c r="K16" s="5">
        <f>824/J16</f>
        <v>614.92537313432831</v>
      </c>
      <c r="L16" s="5">
        <f>2.19/J16</f>
        <v>1.6343283582089552</v>
      </c>
      <c r="M16" s="5">
        <f>180/(J16*J16)</f>
        <v>100.24504343951881</v>
      </c>
      <c r="N16" s="5">
        <v>30</v>
      </c>
      <c r="O16" s="1"/>
    </row>
    <row r="17" spans="3:15" ht="18" x14ac:dyDescent="0.2">
      <c r="C17" s="11">
        <v>30</v>
      </c>
      <c r="D17" s="5">
        <f>1842/C17</f>
        <v>61.4</v>
      </c>
      <c r="E17" s="5">
        <f>4.89/C17</f>
        <v>0.16299999999999998</v>
      </c>
      <c r="F17" s="5">
        <f>900/(C17*C17)</f>
        <v>1</v>
      </c>
      <c r="G17" s="5">
        <v>6</v>
      </c>
      <c r="H17" s="1"/>
      <c r="J17" s="11">
        <v>30</v>
      </c>
      <c r="K17" s="5">
        <f>824/J17</f>
        <v>27.466666666666665</v>
      </c>
      <c r="L17" s="5">
        <f>2.19/J17</f>
        <v>7.2999999999999995E-2</v>
      </c>
      <c r="M17" s="5">
        <f>180/(J17*J17)</f>
        <v>0.2</v>
      </c>
      <c r="N17" s="5">
        <v>30</v>
      </c>
      <c r="O17" s="1"/>
    </row>
    <row r="18" spans="3:15" ht="18" x14ac:dyDescent="0.2">
      <c r="C18" s="11">
        <v>300</v>
      </c>
      <c r="D18" s="5">
        <f>D17</f>
        <v>61.4</v>
      </c>
      <c r="E18" s="5">
        <f>E17</f>
        <v>0.16299999999999998</v>
      </c>
      <c r="F18" s="5">
        <f>C18/300</f>
        <v>1</v>
      </c>
      <c r="G18" s="5">
        <v>6</v>
      </c>
      <c r="H18" s="1"/>
      <c r="J18" s="11">
        <v>300</v>
      </c>
      <c r="K18" s="5">
        <f>K17</f>
        <v>27.466666666666665</v>
      </c>
      <c r="L18" s="5">
        <f>L17</f>
        <v>7.2999999999999995E-2</v>
      </c>
      <c r="M18" s="5">
        <f>J18/1500</f>
        <v>0.2</v>
      </c>
      <c r="N18" s="5">
        <v>30</v>
      </c>
      <c r="O18" s="1"/>
    </row>
    <row r="19" spans="3:15" ht="18" x14ac:dyDescent="0.2">
      <c r="C19" s="11">
        <v>1500</v>
      </c>
      <c r="D19" s="5"/>
      <c r="E19" s="5"/>
      <c r="F19" s="5">
        <f>C19/300</f>
        <v>5</v>
      </c>
      <c r="G19" s="5">
        <v>6</v>
      </c>
      <c r="H19" s="1"/>
      <c r="J19" s="11">
        <v>1500</v>
      </c>
      <c r="K19" s="5"/>
      <c r="L19" s="5"/>
      <c r="M19" s="5">
        <f>J19/1500</f>
        <v>1</v>
      </c>
      <c r="N19" s="5">
        <v>30</v>
      </c>
      <c r="O19" s="1"/>
    </row>
    <row r="20" spans="3:15" ht="18" x14ac:dyDescent="0.2">
      <c r="C20" s="11">
        <v>100000</v>
      </c>
      <c r="D20" s="5"/>
      <c r="E20" s="5"/>
      <c r="F20" s="5">
        <v>5</v>
      </c>
      <c r="G20" s="5">
        <v>6</v>
      </c>
      <c r="H20" s="1"/>
      <c r="J20" s="11">
        <v>100000</v>
      </c>
      <c r="K20" s="5"/>
      <c r="L20" s="5"/>
      <c r="M20" s="5">
        <v>1</v>
      </c>
      <c r="N20" s="5">
        <v>30</v>
      </c>
      <c r="O20" s="1"/>
    </row>
    <row r="21" spans="3:15" x14ac:dyDescent="0.25">
      <c r="C21" s="11"/>
      <c r="D21" s="5"/>
      <c r="E21" s="5"/>
      <c r="F21" s="5"/>
      <c r="G21" s="5"/>
      <c r="H21" s="1"/>
      <c r="J21" s="4"/>
      <c r="K21" s="4"/>
      <c r="L21" s="4"/>
      <c r="M21" s="4"/>
      <c r="N21" s="4"/>
      <c r="O21" s="4"/>
    </row>
    <row r="22" spans="3:15" x14ac:dyDescent="0.25">
      <c r="C22" s="11"/>
      <c r="D22" s="5"/>
      <c r="E22" s="5"/>
      <c r="F22" s="5"/>
      <c r="G22" s="12" t="s">
        <v>67</v>
      </c>
      <c r="H22" s="1"/>
      <c r="J22" s="4"/>
      <c r="K22" s="4"/>
      <c r="L22" s="4"/>
      <c r="M22" s="4"/>
      <c r="N22" s="12" t="s">
        <v>67</v>
      </c>
      <c r="O22" s="4"/>
    </row>
    <row r="23" spans="3:15" x14ac:dyDescent="0.25">
      <c r="D23" s="5"/>
      <c r="E23" s="5"/>
      <c r="F23" s="5"/>
      <c r="G23" s="5"/>
      <c r="H23" s="1"/>
      <c r="J23" s="4"/>
      <c r="K23" s="4"/>
      <c r="L23" s="4"/>
      <c r="M23" s="4"/>
      <c r="N23" s="4"/>
      <c r="O23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Limits Human</vt:lpstr>
      <vt:lpstr>Limits Devices</vt:lpstr>
      <vt:lpstr>Security Distance</vt:lpstr>
      <vt:lpstr>FCC &amp; Sun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2022-05-27T07:48:34Z</dcterms:created>
  <dcterms:modified xsi:type="dcterms:W3CDTF">2023-03-04T16:12:48Z</dcterms:modified>
</cp:coreProperties>
</file>