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ausstocker/Desktop/80 Video Projekte/09 neue Video Entwürfe/94 Calling Alpha Centauri/10 Material Sammlung/"/>
    </mc:Choice>
  </mc:AlternateContent>
  <xr:revisionPtr revIDLastSave="0" documentId="13_ncr:1_{AA92C5F6-CF89-6643-8F61-74BD90BF0632}" xr6:coauthVersionLast="47" xr6:coauthVersionMax="47" xr10:uidLastSave="{00000000-0000-0000-0000-000000000000}"/>
  <bookViews>
    <workbookView xWindow="0" yWindow="480" windowWidth="40960" windowHeight="22560" xr2:uid="{324773E4-7BA6-3249-BF76-45EB82BF810C}"/>
  </bookViews>
  <sheets>
    <sheet name="Cover" sheetId="10" r:id="rId1"/>
    <sheet name="Galctic Link Budget" sheetId="18" r:id="rId2"/>
    <sheet name="Amateur Galctic Link Budget" sheetId="15" r:id="rId3"/>
    <sheet name="Astro Tech Galctic Link Budget" sheetId="1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8" l="1"/>
  <c r="E28" i="18"/>
  <c r="D28" i="18"/>
  <c r="S27" i="18"/>
  <c r="X27" i="18" s="1"/>
  <c r="U28" i="18" s="1"/>
  <c r="X28" i="18" s="1"/>
  <c r="D27" i="18"/>
  <c r="G27" i="18" s="1"/>
  <c r="G26" i="18"/>
  <c r="D26" i="18"/>
  <c r="E26" i="18" s="1"/>
  <c r="G25" i="18"/>
  <c r="E25" i="18"/>
  <c r="D25" i="18"/>
  <c r="G24" i="18"/>
  <c r="E24" i="18"/>
  <c r="D24" i="18"/>
  <c r="D23" i="18"/>
  <c r="G23" i="18" s="1"/>
  <c r="U22" i="18"/>
  <c r="D22" i="18"/>
  <c r="G22" i="18" s="1"/>
  <c r="U21" i="18"/>
  <c r="G21" i="18"/>
  <c r="E21" i="18"/>
  <c r="D21" i="18"/>
  <c r="U20" i="18"/>
  <c r="X20" i="18" s="1"/>
  <c r="Z20" i="18" s="1"/>
  <c r="D20" i="18"/>
  <c r="G20" i="18" s="1"/>
  <c r="G19" i="18"/>
  <c r="D19" i="18"/>
  <c r="E19" i="18" s="1"/>
  <c r="D17" i="18"/>
  <c r="G17" i="18" s="1"/>
  <c r="U16" i="18"/>
  <c r="D16" i="18"/>
  <c r="G16" i="18" s="1"/>
  <c r="U15" i="18"/>
  <c r="X15" i="18" s="1"/>
  <c r="Z15" i="18" s="1"/>
  <c r="Z16" i="18" s="1"/>
  <c r="G15" i="18"/>
  <c r="F15" i="18"/>
  <c r="E15" i="18"/>
  <c r="U14" i="18"/>
  <c r="U18" i="18" s="1"/>
  <c r="G14" i="18"/>
  <c r="F14" i="18"/>
  <c r="E14" i="18"/>
  <c r="S10" i="18"/>
  <c r="U10" i="18" s="1"/>
  <c r="G28" i="17"/>
  <c r="E28" i="17"/>
  <c r="D28" i="17"/>
  <c r="S27" i="17"/>
  <c r="X27" i="17" s="1"/>
  <c r="U28" i="17" s="1"/>
  <c r="X28" i="17" s="1"/>
  <c r="D27" i="17"/>
  <c r="G27" i="17" s="1"/>
  <c r="G26" i="17"/>
  <c r="D26" i="17"/>
  <c r="E26" i="17" s="1"/>
  <c r="G25" i="17"/>
  <c r="E25" i="17"/>
  <c r="D25" i="17"/>
  <c r="G24" i="17"/>
  <c r="E24" i="17"/>
  <c r="D24" i="17"/>
  <c r="D23" i="17"/>
  <c r="G23" i="17" s="1"/>
  <c r="U22" i="17"/>
  <c r="D22" i="17"/>
  <c r="G22" i="17" s="1"/>
  <c r="U21" i="17"/>
  <c r="G21" i="17"/>
  <c r="E21" i="17"/>
  <c r="D21" i="17"/>
  <c r="U20" i="17"/>
  <c r="X20" i="17" s="1"/>
  <c r="Z20" i="17" s="1"/>
  <c r="D20" i="17"/>
  <c r="G20" i="17" s="1"/>
  <c r="G19" i="17"/>
  <c r="D19" i="17"/>
  <c r="E19" i="17" s="1"/>
  <c r="D17" i="17"/>
  <c r="G17" i="17" s="1"/>
  <c r="U16" i="17"/>
  <c r="D16" i="17"/>
  <c r="G16" i="17" s="1"/>
  <c r="U15" i="17"/>
  <c r="X15" i="17" s="1"/>
  <c r="Z15" i="17" s="1"/>
  <c r="Z16" i="17" s="1"/>
  <c r="G15" i="17"/>
  <c r="F15" i="17"/>
  <c r="E15" i="17"/>
  <c r="U14" i="17"/>
  <c r="G14" i="17"/>
  <c r="F14" i="17"/>
  <c r="E14" i="17"/>
  <c r="S10" i="17"/>
  <c r="U10" i="17" s="1"/>
  <c r="U18" i="17" l="1"/>
  <c r="S18" i="17" s="1"/>
  <c r="N27" i="18"/>
  <c r="N20" i="18"/>
  <c r="N17" i="18"/>
  <c r="N23" i="18"/>
  <c r="N22" i="18"/>
  <c r="N16" i="18"/>
  <c r="N28" i="18"/>
  <c r="N25" i="18"/>
  <c r="N21" i="18"/>
  <c r="N19" i="18"/>
  <c r="N24" i="18"/>
  <c r="N26" i="18"/>
  <c r="N15" i="18"/>
  <c r="N14" i="18"/>
  <c r="U24" i="18"/>
  <c r="S18" i="18"/>
  <c r="Z21" i="18"/>
  <c r="S11" i="18"/>
  <c r="U11" i="18" s="1"/>
  <c r="E16" i="18"/>
  <c r="U27" i="18"/>
  <c r="E22" i="18"/>
  <c r="E23" i="18"/>
  <c r="E17" i="18"/>
  <c r="E20" i="18"/>
  <c r="E27" i="18"/>
  <c r="N27" i="17"/>
  <c r="N20" i="17"/>
  <c r="N17" i="17"/>
  <c r="N22" i="17"/>
  <c r="N16" i="17"/>
  <c r="N28" i="17"/>
  <c r="N25" i="17"/>
  <c r="N23" i="17"/>
  <c r="N24" i="17"/>
  <c r="N21" i="17"/>
  <c r="N19" i="17"/>
  <c r="N15" i="17"/>
  <c r="N14" i="17"/>
  <c r="N26" i="17"/>
  <c r="U24" i="17"/>
  <c r="Z21" i="17"/>
  <c r="S11" i="17"/>
  <c r="U11" i="17" s="1"/>
  <c r="U27" i="17"/>
  <c r="E22" i="17"/>
  <c r="E23" i="17"/>
  <c r="E16" i="17"/>
  <c r="E17" i="17"/>
  <c r="E20" i="17"/>
  <c r="E27" i="17"/>
  <c r="G28" i="15"/>
  <c r="E28" i="15"/>
  <c r="D28" i="15"/>
  <c r="S27" i="15"/>
  <c r="X27" i="15" s="1"/>
  <c r="U28" i="15" s="1"/>
  <c r="X28" i="15" s="1"/>
  <c r="D27" i="15"/>
  <c r="G27" i="15" s="1"/>
  <c r="G26" i="15"/>
  <c r="D26" i="15"/>
  <c r="E26" i="15" s="1"/>
  <c r="G25" i="15"/>
  <c r="E25" i="15"/>
  <c r="D25" i="15"/>
  <c r="G24" i="15"/>
  <c r="E24" i="15"/>
  <c r="D24" i="15"/>
  <c r="D23" i="15"/>
  <c r="G23" i="15" s="1"/>
  <c r="U22" i="15"/>
  <c r="D22" i="15"/>
  <c r="G22" i="15" s="1"/>
  <c r="U21" i="15"/>
  <c r="G21" i="15"/>
  <c r="E21" i="15"/>
  <c r="D21" i="15"/>
  <c r="U20" i="15"/>
  <c r="X20" i="15" s="1"/>
  <c r="Z20" i="15" s="1"/>
  <c r="D20" i="15"/>
  <c r="G20" i="15" s="1"/>
  <c r="G19" i="15"/>
  <c r="D19" i="15"/>
  <c r="E19" i="15" s="1"/>
  <c r="D17" i="15"/>
  <c r="G17" i="15" s="1"/>
  <c r="U16" i="15"/>
  <c r="D16" i="15"/>
  <c r="G16" i="15" s="1"/>
  <c r="U15" i="15"/>
  <c r="X15" i="15" s="1"/>
  <c r="Z15" i="15" s="1"/>
  <c r="Z16" i="15" s="1"/>
  <c r="G15" i="15"/>
  <c r="F15" i="15"/>
  <c r="E15" i="15"/>
  <c r="U14" i="15"/>
  <c r="G14" i="15"/>
  <c r="F14" i="15"/>
  <c r="E14" i="15"/>
  <c r="S10" i="15"/>
  <c r="U10" i="15" s="1"/>
  <c r="M26" i="18" l="1"/>
  <c r="M19" i="18"/>
  <c r="M15" i="18"/>
  <c r="M14" i="18"/>
  <c r="M20" i="18"/>
  <c r="M17" i="18"/>
  <c r="M22" i="18"/>
  <c r="M21" i="18"/>
  <c r="M27" i="18"/>
  <c r="M23" i="18"/>
  <c r="M16" i="18"/>
  <c r="M25" i="18"/>
  <c r="M24" i="18"/>
  <c r="M28" i="18"/>
  <c r="L28" i="18"/>
  <c r="L25" i="18"/>
  <c r="L24" i="18"/>
  <c r="K23" i="18"/>
  <c r="K22" i="18"/>
  <c r="L21" i="18"/>
  <c r="K16" i="18"/>
  <c r="K28" i="18"/>
  <c r="L26" i="18"/>
  <c r="K25" i="18"/>
  <c r="K24" i="18"/>
  <c r="K21" i="18"/>
  <c r="L19" i="18"/>
  <c r="L27" i="18"/>
  <c r="K26" i="18"/>
  <c r="L20" i="18"/>
  <c r="K19" i="18"/>
  <c r="K14" i="18"/>
  <c r="K27" i="18"/>
  <c r="L22" i="18"/>
  <c r="K17" i="18"/>
  <c r="K15" i="18"/>
  <c r="L23" i="18"/>
  <c r="L17" i="18"/>
  <c r="K20" i="18"/>
  <c r="U27" i="15"/>
  <c r="M26" i="17"/>
  <c r="M19" i="17"/>
  <c r="M15" i="17"/>
  <c r="M14" i="17"/>
  <c r="M27" i="17"/>
  <c r="M20" i="17"/>
  <c r="M17" i="17"/>
  <c r="M22" i="17"/>
  <c r="M16" i="17"/>
  <c r="M25" i="17"/>
  <c r="M21" i="17"/>
  <c r="M23" i="17"/>
  <c r="M24" i="17"/>
  <c r="M28" i="17"/>
  <c r="L28" i="17"/>
  <c r="L25" i="17"/>
  <c r="L24" i="17"/>
  <c r="K23" i="17"/>
  <c r="K22" i="17"/>
  <c r="L21" i="17"/>
  <c r="K16" i="17"/>
  <c r="K28" i="17"/>
  <c r="L26" i="17"/>
  <c r="K25" i="17"/>
  <c r="K24" i="17"/>
  <c r="L19" i="17"/>
  <c r="L27" i="17"/>
  <c r="K26" i="17"/>
  <c r="L20" i="17"/>
  <c r="K19" i="17"/>
  <c r="L17" i="17"/>
  <c r="K15" i="17"/>
  <c r="K14" i="17"/>
  <c r="K27" i="17"/>
  <c r="L23" i="17"/>
  <c r="L22" i="17"/>
  <c r="K17" i="17"/>
  <c r="K21" i="17"/>
  <c r="K20" i="17"/>
  <c r="U18" i="15"/>
  <c r="U24" i="15" s="1"/>
  <c r="Z21" i="15"/>
  <c r="S11" i="15"/>
  <c r="U11" i="15" s="1"/>
  <c r="N27" i="15"/>
  <c r="N20" i="15"/>
  <c r="N17" i="15"/>
  <c r="N15" i="15"/>
  <c r="N23" i="15"/>
  <c r="N22" i="15"/>
  <c r="N16" i="15"/>
  <c r="N21" i="15"/>
  <c r="N28" i="15"/>
  <c r="N25" i="15"/>
  <c r="N24" i="15"/>
  <c r="N26" i="15"/>
  <c r="N19" i="15"/>
  <c r="N14" i="15"/>
  <c r="E22" i="15"/>
  <c r="E23" i="15"/>
  <c r="E27" i="15"/>
  <c r="E16" i="15"/>
  <c r="E17" i="15"/>
  <c r="E20" i="15"/>
  <c r="L15" i="18" l="1"/>
  <c r="L14" i="18"/>
  <c r="L16" i="18"/>
  <c r="L15" i="17"/>
  <c r="L14" i="17"/>
  <c r="L16" i="17"/>
  <c r="S18" i="15"/>
  <c r="L28" i="15"/>
  <c r="L25" i="15"/>
  <c r="L24" i="15"/>
  <c r="K23" i="15"/>
  <c r="K22" i="15"/>
  <c r="L21" i="15"/>
  <c r="K16" i="15"/>
  <c r="K21" i="15"/>
  <c r="K19" i="15"/>
  <c r="K15" i="15"/>
  <c r="K17" i="15"/>
  <c r="K28" i="15"/>
  <c r="L26" i="15"/>
  <c r="K25" i="15"/>
  <c r="K24" i="15"/>
  <c r="L19" i="15"/>
  <c r="L27" i="15"/>
  <c r="K26" i="15"/>
  <c r="L20" i="15"/>
  <c r="L17" i="15"/>
  <c r="K14" i="15"/>
  <c r="K27" i="15"/>
  <c r="L23" i="15"/>
  <c r="L22" i="15"/>
  <c r="K20" i="15"/>
  <c r="M26" i="15"/>
  <c r="M19" i="15"/>
  <c r="M15" i="15"/>
  <c r="M14" i="15"/>
  <c r="M27" i="15"/>
  <c r="M20" i="15"/>
  <c r="M17" i="15"/>
  <c r="M16" i="15"/>
  <c r="M23" i="15"/>
  <c r="M22" i="15"/>
  <c r="M28" i="15"/>
  <c r="M25" i="15"/>
  <c r="M24" i="15"/>
  <c r="M21" i="15"/>
  <c r="L15" i="15" l="1"/>
  <c r="L14" i="15"/>
  <c r="L16" i="15"/>
</calcChain>
</file>

<file path=xl/sharedStrings.xml><?xml version="1.0" encoding="utf-8"?>
<sst xmlns="http://schemas.openxmlformats.org/spreadsheetml/2006/main" count="305" uniqueCount="79">
  <si>
    <t>Distance</t>
  </si>
  <si>
    <t>Moon</t>
  </si>
  <si>
    <t>light years</t>
  </si>
  <si>
    <t>kilometer</t>
  </si>
  <si>
    <t>dB</t>
  </si>
  <si>
    <t>Alpha Centauri</t>
  </si>
  <si>
    <t>Some Stars in this range</t>
  </si>
  <si>
    <t>Few Stars in this range</t>
  </si>
  <si>
    <t>Many Stars in this range</t>
  </si>
  <si>
    <t>Structures in the Milky Way</t>
  </si>
  <si>
    <t>Whole Milky Way</t>
  </si>
  <si>
    <t>Almost nothing else</t>
  </si>
  <si>
    <t>Few other galaxis</t>
  </si>
  <si>
    <t>Many other galaxis</t>
  </si>
  <si>
    <t>Some clusters of galxis</t>
  </si>
  <si>
    <t>Mars, closest distance</t>
  </si>
  <si>
    <t>AE</t>
  </si>
  <si>
    <t>Almost whole known universe</t>
  </si>
  <si>
    <t>Frequency/MHz</t>
  </si>
  <si>
    <t>Input</t>
  </si>
  <si>
    <t>Output</t>
  </si>
  <si>
    <t xml:space="preserve">       Tutorials on YouTube</t>
  </si>
  <si>
    <t>TX Power</t>
  </si>
  <si>
    <t>W</t>
  </si>
  <si>
    <t>Pathloss</t>
  </si>
  <si>
    <t>dBm</t>
  </si>
  <si>
    <t>TX Antenna Gain</t>
  </si>
  <si>
    <t>dBi</t>
  </si>
  <si>
    <t>No of TX Stations</t>
  </si>
  <si>
    <t>Message Repeats</t>
  </si>
  <si>
    <t>RX Antenna Gain</t>
  </si>
  <si>
    <t>Temperature</t>
  </si>
  <si>
    <t>Bandwidth</t>
  </si>
  <si>
    <t>Hz</t>
  </si>
  <si>
    <t>K</t>
  </si>
  <si>
    <t>Transfer Rate</t>
  </si>
  <si>
    <t>RX Thermal Noise</t>
  </si>
  <si>
    <t>No of RX Stations</t>
  </si>
  <si>
    <t>Cosmic Background Radiation</t>
  </si>
  <si>
    <t>°</t>
  </si>
  <si>
    <t>Noise Level Sun on Earth</t>
  </si>
  <si>
    <t>Modulation Levels</t>
  </si>
  <si>
    <t>TX Effective Radiated Power</t>
  </si>
  <si>
    <t>Signal in the distance</t>
  </si>
  <si>
    <t>Legend</t>
  </si>
  <si>
    <t>bit/s</t>
  </si>
  <si>
    <t>Byte/y</t>
  </si>
  <si>
    <t>Byte/d</t>
  </si>
  <si>
    <t>Measures and the galactic Link Budget</t>
  </si>
  <si>
    <t>Astronomic pathloss</t>
  </si>
  <si>
    <t>(for comparison)</t>
  </si>
  <si>
    <t>(defines RX Sensitivity)</t>
  </si>
  <si>
    <t>Total Gain against Pathloss</t>
  </si>
  <si>
    <t>€/kWh</t>
  </si>
  <si>
    <t>€/Byte</t>
  </si>
  <si>
    <t>Cost per kWh and per Byte</t>
  </si>
  <si>
    <t>Objects</t>
  </si>
  <si>
    <t>targeted</t>
  </si>
  <si>
    <t>Sun</t>
  </si>
  <si>
    <t>Signal</t>
  </si>
  <si>
    <t>Sens.</t>
  </si>
  <si>
    <t>Solar System (Voyager)</t>
  </si>
  <si>
    <t>other Star</t>
  </si>
  <si>
    <t>our Sun</t>
  </si>
  <si>
    <t>Star</t>
  </si>
  <si>
    <t>€/Mbyte</t>
  </si>
  <si>
    <t>m</t>
  </si>
  <si>
    <t xml:space="preserve">Cool experiments and tools for hobbyists and </t>
  </si>
  <si>
    <t>future professionals</t>
  </si>
  <si>
    <t>Tutorial on YouTube!</t>
  </si>
  <si>
    <t>Cool Tool:</t>
  </si>
  <si>
    <t>Further distribution without changes is permitted</t>
  </si>
  <si>
    <t>Message to Alpha Centauri</t>
  </si>
  <si>
    <t>Communication over astronomic distance</t>
  </si>
  <si>
    <t xml:space="preserve">Version 05.06.2022 </t>
  </si>
  <si>
    <t>Wave propagation path loss</t>
  </si>
  <si>
    <t>Galactic link budget</t>
  </si>
  <si>
    <t>Radio noise from sun and other stars</t>
  </si>
  <si>
    <r>
      <t>m</t>
    </r>
    <r>
      <rPr>
        <vertAlign val="superscript"/>
        <sz val="12"/>
        <color theme="0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</si>
</sst>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0.0"/>
    <numFmt numFmtId="167" formatCode="#,##0.0"/>
    <numFmt numFmtId="168" formatCode="0.0E+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Times New Roman"/>
      <family val="1"/>
    </font>
    <font>
      <b/>
      <sz val="16"/>
      <color theme="0"/>
      <name val="Times New Roman"/>
      <family val="1"/>
    </font>
    <font>
      <b/>
      <i/>
      <sz val="12"/>
      <color theme="0"/>
      <name val="Times New Roman"/>
      <family val="1"/>
    </font>
    <font>
      <b/>
      <sz val="12"/>
      <color theme="0"/>
      <name val="Times New Roman"/>
      <family val="1"/>
    </font>
    <font>
      <vertAlign val="superscript"/>
      <sz val="12"/>
      <color theme="0"/>
      <name val="Times New Roman"/>
      <family val="1"/>
    </font>
    <font>
      <b/>
      <sz val="18"/>
      <color theme="0"/>
      <name val="Times New Roman"/>
      <family val="1"/>
    </font>
    <font>
      <b/>
      <i/>
      <sz val="14"/>
      <color theme="0"/>
      <name val="Times New Roman"/>
      <family val="1"/>
    </font>
    <font>
      <b/>
      <sz val="26"/>
      <color theme="0"/>
      <name val="Times New Roman"/>
      <family val="1"/>
    </font>
    <font>
      <sz val="20"/>
      <color theme="0"/>
      <name val="Times New Roman"/>
      <family val="1"/>
    </font>
    <font>
      <sz val="16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3" fillId="2" borderId="0" xfId="0" applyFont="1" applyFill="1" applyAlignment="1">
      <alignment horizontal="left"/>
    </xf>
    <xf numFmtId="164" fontId="3" fillId="2" borderId="0" xfId="1" applyNumberFormat="1" applyFont="1" applyFill="1" applyAlignment="1">
      <alignment horizontal="left" indent="1"/>
    </xf>
    <xf numFmtId="43" fontId="3" fillId="2" borderId="0" xfId="1" applyNumberFormat="1" applyFont="1" applyFill="1" applyAlignment="1">
      <alignment horizontal="left" indent="1"/>
    </xf>
    <xf numFmtId="1" fontId="3" fillId="2" borderId="0" xfId="0" applyNumberFormat="1" applyFont="1" applyFill="1" applyAlignment="1">
      <alignment horizontal="left"/>
    </xf>
    <xf numFmtId="1" fontId="3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right"/>
    </xf>
    <xf numFmtId="2" fontId="3" fillId="2" borderId="0" xfId="0" applyNumberFormat="1" applyFont="1" applyFill="1" applyAlignment="1">
      <alignment horizontal="left"/>
    </xf>
    <xf numFmtId="0" fontId="4" fillId="2" borderId="0" xfId="0" applyFont="1" applyFill="1"/>
    <xf numFmtId="164" fontId="4" fillId="2" borderId="0" xfId="1" applyNumberFormat="1" applyFont="1" applyFill="1" applyAlignment="1">
      <alignment horizontal="right" indent="1"/>
    </xf>
    <xf numFmtId="43" fontId="4" fillId="2" borderId="0" xfId="1" applyNumberFormat="1" applyFont="1" applyFill="1" applyAlignment="1">
      <alignment horizontal="right" indent="1"/>
    </xf>
    <xf numFmtId="164" fontId="4" fillId="2" borderId="0" xfId="1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2" fontId="4" fillId="2" borderId="0" xfId="0" applyNumberFormat="1" applyFont="1" applyFill="1"/>
    <xf numFmtId="0" fontId="2" fillId="2" borderId="0" xfId="0" applyFont="1" applyFill="1"/>
    <xf numFmtId="164" fontId="2" fillId="2" borderId="0" xfId="1" applyNumberFormat="1" applyFont="1" applyFill="1" applyAlignment="1">
      <alignment horizontal="right" indent="1"/>
    </xf>
    <xf numFmtId="43" fontId="2" fillId="2" borderId="0" xfId="1" applyNumberFormat="1" applyFont="1" applyFill="1" applyAlignment="1">
      <alignment horizontal="right" indent="1"/>
    </xf>
    <xf numFmtId="164" fontId="2" fillId="2" borderId="1" xfId="1" applyNumberFormat="1" applyFont="1" applyFill="1" applyBorder="1" applyAlignment="1">
      <alignment horizontal="right" indent="1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1" xfId="0" applyFont="1" applyFill="1" applyBorder="1"/>
    <xf numFmtId="1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/>
    <xf numFmtId="0" fontId="2" fillId="2" borderId="2" xfId="0" applyFont="1" applyFill="1" applyBorder="1"/>
    <xf numFmtId="166" fontId="2" fillId="2" borderId="2" xfId="0" applyNumberFormat="1" applyFont="1" applyFill="1" applyBorder="1"/>
    <xf numFmtId="2" fontId="2" fillId="2" borderId="2" xfId="0" applyNumberFormat="1" applyFont="1" applyFill="1" applyBorder="1"/>
    <xf numFmtId="0" fontId="5" fillId="2" borderId="0" xfId="0" applyFont="1" applyFill="1"/>
    <xf numFmtId="164" fontId="5" fillId="2" borderId="0" xfId="1" applyNumberFormat="1" applyFont="1" applyFill="1" applyAlignment="1">
      <alignment horizontal="right" indent="1"/>
    </xf>
    <xf numFmtId="43" fontId="5" fillId="2" borderId="0" xfId="1" applyNumberFormat="1" applyFont="1" applyFill="1" applyAlignment="1">
      <alignment horizontal="right" indent="1"/>
    </xf>
    <xf numFmtId="0" fontId="5" fillId="2" borderId="4" xfId="0" applyFont="1" applyFill="1" applyBorder="1" applyAlignment="1">
      <alignment horizontal="right"/>
    </xf>
    <xf numFmtId="164" fontId="2" fillId="2" borderId="0" xfId="1" applyNumberFormat="1" applyFont="1" applyFill="1" applyBorder="1" applyAlignment="1" applyProtection="1">
      <alignment horizontal="right"/>
      <protection locked="0"/>
    </xf>
    <xf numFmtId="0" fontId="5" fillId="2" borderId="5" xfId="0" applyFont="1" applyFill="1" applyBorder="1" applyAlignment="1">
      <alignment horizontal="right"/>
    </xf>
    <xf numFmtId="0" fontId="5" fillId="2" borderId="4" xfId="0" applyFont="1" applyFill="1" applyBorder="1"/>
    <xf numFmtId="1" fontId="5" fillId="2" borderId="0" xfId="0" applyNumberFormat="1" applyFont="1" applyFill="1" applyBorder="1" applyAlignment="1">
      <alignment horizontal="center"/>
    </xf>
    <xf numFmtId="0" fontId="5" fillId="2" borderId="5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Protection="1">
      <protection locked="0"/>
    </xf>
    <xf numFmtId="166" fontId="5" fillId="2" borderId="0" xfId="0" applyNumberFormat="1" applyFont="1" applyFill="1" applyBorder="1"/>
    <xf numFmtId="0" fontId="5" fillId="2" borderId="0" xfId="0" applyFont="1" applyFill="1" applyBorder="1"/>
    <xf numFmtId="0" fontId="2" fillId="2" borderId="0" xfId="0" applyFont="1" applyFill="1" applyBorder="1" applyAlignment="1">
      <alignment horizontal="left"/>
    </xf>
    <xf numFmtId="2" fontId="5" fillId="2" borderId="0" xfId="0" applyNumberFormat="1" applyFont="1" applyFill="1" applyBorder="1"/>
    <xf numFmtId="164" fontId="2" fillId="2" borderId="6" xfId="1" applyNumberFormat="1" applyFont="1" applyFill="1" applyBorder="1" applyAlignment="1">
      <alignment horizontal="right" indent="1"/>
    </xf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2" fillId="2" borderId="6" xfId="0" applyFont="1" applyFill="1" applyBorder="1"/>
    <xf numFmtId="1" fontId="2" fillId="2" borderId="7" xfId="0" applyNumberFormat="1" applyFont="1" applyFill="1" applyBorder="1" applyAlignment="1">
      <alignment horizontal="center"/>
    </xf>
    <xf numFmtId="0" fontId="2" fillId="2" borderId="8" xfId="0" applyFont="1" applyFill="1" applyBorder="1"/>
    <xf numFmtId="0" fontId="2" fillId="2" borderId="4" xfId="0" applyFont="1" applyFill="1" applyBorder="1"/>
    <xf numFmtId="3" fontId="2" fillId="2" borderId="0" xfId="0" applyNumberFormat="1" applyFont="1" applyFill="1" applyBorder="1" applyProtection="1">
      <protection locked="0"/>
    </xf>
    <xf numFmtId="166" fontId="2" fillId="2" borderId="0" xfId="0" applyNumberFormat="1" applyFont="1" applyFill="1" applyBorder="1"/>
    <xf numFmtId="2" fontId="2" fillId="2" borderId="0" xfId="0" applyNumberFormat="1" applyFont="1" applyFill="1" applyBorder="1"/>
    <xf numFmtId="0" fontId="2" fillId="2" borderId="5" xfId="0" applyFont="1" applyFill="1" applyBorder="1"/>
    <xf numFmtId="164" fontId="2" fillId="2" borderId="0" xfId="1" applyNumberFormat="1" applyFont="1" applyFill="1" applyBorder="1" applyAlignment="1">
      <alignment horizontal="right" indent="1"/>
    </xf>
    <xf numFmtId="0" fontId="2" fillId="2" borderId="0" xfId="0" applyFont="1" applyFill="1" applyBorder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right"/>
    </xf>
    <xf numFmtId="164" fontId="4" fillId="2" borderId="0" xfId="1" applyNumberFormat="1" applyFont="1" applyFill="1" applyAlignment="1">
      <alignment horizontal="center"/>
    </xf>
    <xf numFmtId="166" fontId="2" fillId="2" borderId="0" xfId="0" applyNumberFormat="1" applyFont="1" applyFill="1"/>
    <xf numFmtId="2" fontId="2" fillId="2" borderId="0" xfId="0" applyNumberFormat="1" applyFont="1" applyFill="1"/>
    <xf numFmtId="164" fontId="2" fillId="2" borderId="2" xfId="1" applyNumberFormat="1" applyFont="1" applyFill="1" applyBorder="1" applyAlignment="1">
      <alignment horizontal="right" indent="1"/>
    </xf>
    <xf numFmtId="43" fontId="2" fillId="2" borderId="2" xfId="1" applyNumberFormat="1" applyFont="1" applyFill="1" applyBorder="1" applyAlignment="1">
      <alignment horizontal="right" indent="1"/>
    </xf>
    <xf numFmtId="165" fontId="2" fillId="2" borderId="2" xfId="1" applyNumberFormat="1" applyFont="1" applyFill="1" applyBorder="1" applyAlignment="1">
      <alignment horizontal="right"/>
    </xf>
    <xf numFmtId="11" fontId="2" fillId="2" borderId="0" xfId="0" applyNumberFormat="1" applyFont="1" applyFill="1" applyBorder="1"/>
    <xf numFmtId="164" fontId="5" fillId="2" borderId="0" xfId="1" applyNumberFormat="1" applyFont="1" applyFill="1" applyBorder="1" applyAlignment="1">
      <alignment horizontal="right"/>
    </xf>
    <xf numFmtId="43" fontId="5" fillId="2" borderId="0" xfId="1" applyNumberFormat="1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164" fontId="2" fillId="2" borderId="0" xfId="1" applyNumberFormat="1" applyFont="1" applyFill="1" applyBorder="1" applyAlignment="1">
      <alignment horizontal="right"/>
    </xf>
    <xf numFmtId="43" fontId="2" fillId="2" borderId="0" xfId="1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1" fontId="2" fillId="2" borderId="0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right"/>
    </xf>
    <xf numFmtId="43" fontId="2" fillId="2" borderId="0" xfId="1" applyNumberFormat="1" applyFont="1" applyFill="1" applyBorder="1" applyAlignment="1">
      <alignment horizontal="right" indent="1"/>
    </xf>
    <xf numFmtId="1" fontId="2" fillId="2" borderId="0" xfId="0" applyNumberFormat="1" applyFont="1" applyFill="1" applyBorder="1" applyAlignment="1">
      <alignment horizontal="right"/>
    </xf>
    <xf numFmtId="2" fontId="2" fillId="2" borderId="0" xfId="0" applyNumberFormat="1" applyFont="1" applyFill="1" applyBorder="1" applyAlignment="1">
      <alignment horizontal="right"/>
    </xf>
    <xf numFmtId="167" fontId="2" fillId="2" borderId="0" xfId="0" applyNumberFormat="1" applyFont="1" applyFill="1" applyBorder="1"/>
    <xf numFmtId="166" fontId="2" fillId="2" borderId="5" xfId="0" applyNumberFormat="1" applyFont="1" applyFill="1" applyBorder="1"/>
    <xf numFmtId="167" fontId="2" fillId="2" borderId="0" xfId="0" applyNumberFormat="1" applyFont="1" applyFill="1"/>
    <xf numFmtId="4" fontId="2" fillId="2" borderId="0" xfId="0" applyNumberFormat="1" applyFont="1" applyFill="1" applyBorder="1"/>
    <xf numFmtId="168" fontId="2" fillId="2" borderId="0" xfId="0" applyNumberFormat="1" applyFont="1" applyFill="1" applyBorder="1"/>
    <xf numFmtId="0" fontId="2" fillId="2" borderId="7" xfId="0" applyFont="1" applyFill="1" applyBorder="1"/>
    <xf numFmtId="164" fontId="2" fillId="2" borderId="7" xfId="1" applyNumberFormat="1" applyFont="1" applyFill="1" applyBorder="1" applyAlignment="1">
      <alignment horizontal="right" indent="1"/>
    </xf>
    <xf numFmtId="43" fontId="2" fillId="2" borderId="7" xfId="1" applyNumberFormat="1" applyFont="1" applyFill="1" applyBorder="1" applyAlignment="1">
      <alignment horizontal="right" indent="1"/>
    </xf>
    <xf numFmtId="166" fontId="2" fillId="2" borderId="7" xfId="0" applyNumberFormat="1" applyFont="1" applyFill="1" applyBorder="1"/>
    <xf numFmtId="2" fontId="2" fillId="2" borderId="7" xfId="0" applyNumberFormat="1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7" fillId="2" borderId="0" xfId="0" applyFont="1" applyFill="1" applyProtection="1">
      <protection hidden="1"/>
    </xf>
    <xf numFmtId="0" fontId="5" fillId="2" borderId="0" xfId="0" applyFont="1" applyFill="1" applyProtection="1">
      <protection hidden="1"/>
    </xf>
    <xf numFmtId="0" fontId="8" fillId="2" borderId="0" xfId="0" applyFont="1" applyFill="1"/>
    <xf numFmtId="0" fontId="9" fillId="2" borderId="0" xfId="0" applyFont="1" applyFill="1" applyProtection="1">
      <protection hidden="1"/>
    </xf>
    <xf numFmtId="0" fontId="10" fillId="2" borderId="0" xfId="0" applyFont="1" applyFill="1"/>
    <xf numFmtId="0" fontId="11" fillId="2" borderId="0" xfId="0" applyFont="1" applyFill="1" applyAlignment="1">
      <alignment horizontal="left"/>
    </xf>
    <xf numFmtId="14" fontId="2" fillId="2" borderId="0" xfId="0" applyNumberFormat="1" applyFont="1" applyFill="1" applyAlignment="1">
      <alignment horizontal="left"/>
    </xf>
    <xf numFmtId="0" fontId="2" fillId="2" borderId="0" xfId="0" applyFont="1" applyFill="1" applyProtection="1">
      <protection hidden="1"/>
    </xf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</cellXfs>
  <cellStyles count="2">
    <cellStyle name="Komma" xfId="1" builtinId="3"/>
    <cellStyle name="Standard" xfId="0" builtinId="0"/>
  </cellStyles>
  <dxfs count="27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CF0C3"/>
      <color rgb="FFFF7E79"/>
      <color rgb="FFFFFD78"/>
      <color rgb="FFF4ED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youtube.com/channel/UClPnzFiUQ_J0KyaXQarIFhQ/featured" TargetMode="External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youtube.com/channel/UClPnzFiUQ_J0KyaXQarIFhQ/featured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youtube.com/channel/UClPnzFiUQ_J0KyaXQarIFhQ/featured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youtube.com/channel/UClPnzFiUQ_J0KyaXQarIFhQ/featured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281215</xdr:colOff>
      <xdr:row>12</xdr:row>
      <xdr:rowOff>190499</xdr:rowOff>
    </xdr:from>
    <xdr:to>
      <xdr:col>5</xdr:col>
      <xdr:colOff>32657</xdr:colOff>
      <xdr:row>21</xdr:row>
      <xdr:rowOff>185056</xdr:rowOff>
    </xdr:to>
    <xdr:pic>
      <xdr:nvPicPr>
        <xdr:cNvPr id="3" name="Grafik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283F76-DD09-AC46-913A-DE3ABB092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47915" y="2743199"/>
          <a:ext cx="1821542" cy="1823357"/>
        </a:xfrm>
        <a:prstGeom prst="rect">
          <a:avLst/>
        </a:prstGeom>
      </xdr:spPr>
    </xdr:pic>
    <xdr:clientData/>
  </xdr:twoCellAnchor>
  <xdr:twoCellAnchor editAs="oneCell">
    <xdr:from>
      <xdr:col>4</xdr:col>
      <xdr:colOff>173257</xdr:colOff>
      <xdr:row>5</xdr:row>
      <xdr:rowOff>80902</xdr:rowOff>
    </xdr:from>
    <xdr:to>
      <xdr:col>11</xdr:col>
      <xdr:colOff>205615</xdr:colOff>
      <xdr:row>22</xdr:row>
      <xdr:rowOff>85205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302768-5C49-D749-B11B-801268D3E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100000"/>
                  </a14:imgEffect>
                  <a14:imgEffect>
                    <a14:colorTemperature colorTemp="6583"/>
                  </a14:imgEffect>
                  <a14:imgEffect>
                    <a14:saturation sat="368000"/>
                  </a14:imgEffect>
                  <a14:imgEffect>
                    <a14:brightnessContrast bright="8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20317357">
          <a:off x="2154457" y="1223902"/>
          <a:ext cx="7372958" cy="34841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67233</xdr:colOff>
      <xdr:row>0</xdr:row>
      <xdr:rowOff>112059</xdr:rowOff>
    </xdr:from>
    <xdr:to>
      <xdr:col>2</xdr:col>
      <xdr:colOff>1382057</xdr:colOff>
      <xdr:row>6</xdr:row>
      <xdr:rowOff>185265</xdr:rowOff>
    </xdr:to>
    <xdr:pic>
      <xdr:nvPicPr>
        <xdr:cNvPr id="2" name="Grafik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E8CB4-22A8-5446-8DA0-C6A83447A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3133" y="112059"/>
          <a:ext cx="1314824" cy="13559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67233</xdr:colOff>
      <xdr:row>0</xdr:row>
      <xdr:rowOff>112059</xdr:rowOff>
    </xdr:from>
    <xdr:to>
      <xdr:col>2</xdr:col>
      <xdr:colOff>1382057</xdr:colOff>
      <xdr:row>6</xdr:row>
      <xdr:rowOff>185265</xdr:rowOff>
    </xdr:to>
    <xdr:pic>
      <xdr:nvPicPr>
        <xdr:cNvPr id="2" name="Grafik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BB4D86-E0F9-5B4A-9EFA-2732A5FC1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21233" y="112059"/>
          <a:ext cx="1314824" cy="1355906"/>
        </a:xfrm>
        <a:prstGeom prst="rect">
          <a:avLst/>
        </a:prstGeom>
      </xdr:spPr>
    </xdr:pic>
    <xdr:clientData/>
  </xdr:twoCellAnchor>
  <xdr:twoCellAnchor>
    <xdr:from>
      <xdr:col>20</xdr:col>
      <xdr:colOff>120937</xdr:colOff>
      <xdr:row>2</xdr:row>
      <xdr:rowOff>27312</xdr:rowOff>
    </xdr:from>
    <xdr:to>
      <xdr:col>28</xdr:col>
      <xdr:colOff>715805</xdr:colOff>
      <xdr:row>11</xdr:row>
      <xdr:rowOff>138243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9C757DD0-0E80-D743-AC5A-987C1C7D1D6F}"/>
            </a:ext>
          </a:extLst>
        </xdr:cNvPr>
        <xdr:cNvSpPr txBox="1"/>
      </xdr:nvSpPr>
      <xdr:spPr>
        <a:xfrm rot="2612307">
          <a:off x="11113493" y="485923"/>
          <a:ext cx="3515868" cy="1994764"/>
        </a:xfrm>
        <a:prstGeom prst="rect">
          <a:avLst/>
        </a:prstGeom>
        <a:noFill/>
        <a:ln w="9525" cmpd="sng">
          <a:noFill/>
        </a:ln>
        <a:effectLst>
          <a:outerShdw blurRad="50800" dist="38100" dir="18900000" algn="bl" rotWithShape="0">
            <a:prstClr val="black">
              <a:alpha val="55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5400" b="1" i="1">
              <a:solidFill>
                <a:srgbClr val="FF0000">
                  <a:alpha val="50674"/>
                </a:srgbClr>
              </a:solidFill>
            </a:rPr>
            <a:t>Amateur</a:t>
          </a:r>
          <a:r>
            <a:rPr lang="de-DE" sz="5400" b="1" i="1" baseline="0">
              <a:solidFill>
                <a:srgbClr val="FF0000">
                  <a:alpha val="50674"/>
                </a:srgbClr>
              </a:solidFill>
            </a:rPr>
            <a:t> Radio</a:t>
          </a:r>
          <a:endParaRPr lang="de-DE" sz="5400" b="1" i="1">
            <a:solidFill>
              <a:srgbClr val="FF0000">
                <a:alpha val="50674"/>
              </a:srgb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67233</xdr:colOff>
      <xdr:row>0</xdr:row>
      <xdr:rowOff>112059</xdr:rowOff>
    </xdr:from>
    <xdr:to>
      <xdr:col>2</xdr:col>
      <xdr:colOff>1382057</xdr:colOff>
      <xdr:row>6</xdr:row>
      <xdr:rowOff>185265</xdr:rowOff>
    </xdr:to>
    <xdr:pic>
      <xdr:nvPicPr>
        <xdr:cNvPr id="2" name="Grafik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9E1A9F-E09C-8E4F-856A-E15EB5F90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3133" y="112059"/>
          <a:ext cx="1314824" cy="1355906"/>
        </a:xfrm>
        <a:prstGeom prst="rect">
          <a:avLst/>
        </a:prstGeom>
      </xdr:spPr>
    </xdr:pic>
    <xdr:clientData/>
  </xdr:twoCellAnchor>
  <xdr:twoCellAnchor>
    <xdr:from>
      <xdr:col>20</xdr:col>
      <xdr:colOff>120937</xdr:colOff>
      <xdr:row>2</xdr:row>
      <xdr:rowOff>27312</xdr:rowOff>
    </xdr:from>
    <xdr:to>
      <xdr:col>28</xdr:col>
      <xdr:colOff>715805</xdr:colOff>
      <xdr:row>11</xdr:row>
      <xdr:rowOff>138243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161B56C-35AA-4F4C-A90C-A6F961DD8D43}"/>
            </a:ext>
          </a:extLst>
        </xdr:cNvPr>
        <xdr:cNvSpPr txBox="1"/>
      </xdr:nvSpPr>
      <xdr:spPr>
        <a:xfrm rot="2612307">
          <a:off x="11106437" y="484512"/>
          <a:ext cx="3515868" cy="1977831"/>
        </a:xfrm>
        <a:prstGeom prst="rect">
          <a:avLst/>
        </a:prstGeom>
        <a:noFill/>
        <a:ln w="9525" cmpd="sng">
          <a:noFill/>
        </a:ln>
        <a:effectLst>
          <a:outerShdw blurRad="50800" dist="38100" dir="18900000" algn="bl" rotWithShape="0">
            <a:prstClr val="black">
              <a:alpha val="55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5400" b="1" i="1">
              <a:solidFill>
                <a:srgbClr val="FF0000">
                  <a:alpha val="50674"/>
                </a:srgbClr>
              </a:solidFill>
            </a:rPr>
            <a:t>Astro</a:t>
          </a:r>
        </a:p>
        <a:p>
          <a:pPr algn="l"/>
          <a:r>
            <a:rPr lang="de-DE" sz="5400" b="1" i="1" baseline="0">
              <a:solidFill>
                <a:srgbClr val="FF0000">
                  <a:alpha val="50674"/>
                </a:srgbClr>
              </a:solidFill>
            </a:rPr>
            <a:t>High Tech</a:t>
          </a:r>
          <a:endParaRPr lang="de-DE" sz="5400" b="1" i="1">
            <a:solidFill>
              <a:srgbClr val="FF0000">
                <a:alpha val="50674"/>
              </a:srgb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52D9-F90E-2C4B-8C46-1859FF63A81A}">
  <dimension ref="B1:L38"/>
  <sheetViews>
    <sheetView tabSelected="1" zoomScale="145" zoomScaleNormal="145" workbookViewId="0">
      <selection activeCell="M23" sqref="M23"/>
    </sheetView>
  </sheetViews>
  <sheetFormatPr baseColWidth="10" defaultRowHeight="16" x14ac:dyDescent="0.2"/>
  <cols>
    <col min="1" max="1" width="3.5" style="17" customWidth="1"/>
    <col min="2" max="2" width="4.1640625" style="17" customWidth="1"/>
    <col min="3" max="3" width="12.5" style="17" customWidth="1"/>
    <col min="4" max="4" width="5.6640625" style="17" customWidth="1"/>
    <col min="5" max="5" width="4.83203125" style="17" customWidth="1"/>
    <col min="6" max="6" width="31.83203125" style="17" customWidth="1"/>
    <col min="7" max="10" width="10.83203125" style="17"/>
    <col min="11" max="11" width="16" style="17" customWidth="1"/>
    <col min="12" max="12" width="4.33203125" style="17" customWidth="1"/>
    <col min="13" max="16384" width="10.83203125" style="17"/>
  </cols>
  <sheetData>
    <row r="1" spans="2:12" ht="17" thickBot="1" x14ac:dyDescent="0.25"/>
    <row r="2" spans="2:12" ht="17" thickTop="1" x14ac:dyDescent="0.2">
      <c r="B2" s="87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2:12" x14ac:dyDescent="0.2">
      <c r="B3" s="90"/>
      <c r="L3" s="91"/>
    </row>
    <row r="4" spans="2:12" ht="23" x14ac:dyDescent="0.25">
      <c r="B4" s="90"/>
      <c r="C4" s="92"/>
      <c r="L4" s="91"/>
    </row>
    <row r="5" spans="2:12" x14ac:dyDescent="0.2">
      <c r="B5" s="90"/>
      <c r="L5" s="91"/>
    </row>
    <row r="6" spans="2:12" x14ac:dyDescent="0.2">
      <c r="B6" s="90"/>
      <c r="C6" s="93" t="s">
        <v>67</v>
      </c>
      <c r="L6" s="91"/>
    </row>
    <row r="7" spans="2:12" x14ac:dyDescent="0.2">
      <c r="B7" s="90"/>
      <c r="C7" s="93" t="s">
        <v>68</v>
      </c>
      <c r="L7" s="91"/>
    </row>
    <row r="8" spans="2:12" x14ac:dyDescent="0.2">
      <c r="B8" s="90"/>
      <c r="L8" s="91"/>
    </row>
    <row r="9" spans="2:12" x14ac:dyDescent="0.2">
      <c r="B9" s="90"/>
      <c r="L9" s="91"/>
    </row>
    <row r="10" spans="2:12" x14ac:dyDescent="0.2">
      <c r="B10" s="90"/>
      <c r="L10" s="91"/>
    </row>
    <row r="11" spans="2:12" x14ac:dyDescent="0.2">
      <c r="B11" s="90"/>
      <c r="L11" s="91"/>
    </row>
    <row r="12" spans="2:12" x14ac:dyDescent="0.2">
      <c r="B12" s="90"/>
      <c r="L12" s="91"/>
    </row>
    <row r="13" spans="2:12" x14ac:dyDescent="0.2">
      <c r="B13" s="90"/>
      <c r="L13" s="91"/>
    </row>
    <row r="14" spans="2:12" x14ac:dyDescent="0.2">
      <c r="B14" s="90"/>
      <c r="L14" s="91"/>
    </row>
    <row r="15" spans="2:12" x14ac:dyDescent="0.2">
      <c r="B15" s="90"/>
      <c r="L15" s="91"/>
    </row>
    <row r="16" spans="2:12" x14ac:dyDescent="0.2">
      <c r="B16" s="90"/>
      <c r="L16" s="91"/>
    </row>
    <row r="17" spans="2:12" x14ac:dyDescent="0.2">
      <c r="B17" s="90"/>
      <c r="L17" s="91"/>
    </row>
    <row r="18" spans="2:12" x14ac:dyDescent="0.2">
      <c r="B18" s="90"/>
      <c r="L18" s="91"/>
    </row>
    <row r="19" spans="2:12" x14ac:dyDescent="0.2">
      <c r="B19" s="90"/>
      <c r="L19" s="91"/>
    </row>
    <row r="20" spans="2:12" x14ac:dyDescent="0.2">
      <c r="B20" s="90"/>
      <c r="L20" s="91"/>
    </row>
    <row r="21" spans="2:12" x14ac:dyDescent="0.2">
      <c r="B21" s="90"/>
      <c r="L21" s="91"/>
    </row>
    <row r="22" spans="2:12" ht="18" x14ac:dyDescent="0.2">
      <c r="B22" s="90"/>
      <c r="C22" s="94" t="s">
        <v>69</v>
      </c>
      <c r="L22" s="91"/>
    </row>
    <row r="23" spans="2:12" x14ac:dyDescent="0.2">
      <c r="B23" s="90"/>
      <c r="L23" s="91"/>
    </row>
    <row r="24" spans="2:12" x14ac:dyDescent="0.2">
      <c r="B24" s="90"/>
      <c r="L24" s="91"/>
    </row>
    <row r="25" spans="2:12" x14ac:dyDescent="0.2">
      <c r="B25" s="90"/>
      <c r="L25" s="91"/>
    </row>
    <row r="26" spans="2:12" x14ac:dyDescent="0.2">
      <c r="B26" s="90"/>
      <c r="L26" s="91"/>
    </row>
    <row r="27" spans="2:12" ht="33" x14ac:dyDescent="0.35">
      <c r="B27" s="90"/>
      <c r="C27" s="92" t="s">
        <v>70</v>
      </c>
      <c r="E27" s="95" t="s">
        <v>72</v>
      </c>
      <c r="F27" s="96"/>
      <c r="L27" s="91"/>
    </row>
    <row r="28" spans="2:12" ht="25" x14ac:dyDescent="0.25">
      <c r="B28" s="90"/>
      <c r="E28" s="96"/>
      <c r="F28" s="96"/>
      <c r="L28" s="91"/>
    </row>
    <row r="29" spans="2:12" ht="19" customHeight="1" x14ac:dyDescent="0.2">
      <c r="B29" s="90"/>
      <c r="F29" s="97" t="s">
        <v>73</v>
      </c>
      <c r="L29" s="91"/>
    </row>
    <row r="30" spans="2:12" ht="19" customHeight="1" x14ac:dyDescent="0.2">
      <c r="B30" s="90"/>
      <c r="F30" s="97" t="s">
        <v>75</v>
      </c>
      <c r="L30" s="91"/>
    </row>
    <row r="31" spans="2:12" ht="19" customHeight="1" x14ac:dyDescent="0.2">
      <c r="B31" s="90"/>
      <c r="F31" s="97" t="s">
        <v>77</v>
      </c>
      <c r="L31" s="91"/>
    </row>
    <row r="32" spans="2:12" ht="19" customHeight="1" x14ac:dyDescent="0.2">
      <c r="B32" s="90"/>
      <c r="F32" s="97" t="s">
        <v>76</v>
      </c>
      <c r="L32" s="91"/>
    </row>
    <row r="33" spans="2:12" ht="18" customHeight="1" x14ac:dyDescent="0.2">
      <c r="B33" s="90"/>
      <c r="F33" s="97"/>
      <c r="L33" s="91"/>
    </row>
    <row r="34" spans="2:12" x14ac:dyDescent="0.2">
      <c r="B34" s="90"/>
      <c r="C34" s="17" t="s">
        <v>74</v>
      </c>
      <c r="L34" s="91"/>
    </row>
    <row r="35" spans="2:12" x14ac:dyDescent="0.2">
      <c r="B35" s="90"/>
      <c r="C35" s="98"/>
      <c r="L35" s="91"/>
    </row>
    <row r="36" spans="2:12" x14ac:dyDescent="0.2">
      <c r="B36" s="90"/>
      <c r="C36" s="99" t="s">
        <v>71</v>
      </c>
      <c r="L36" s="91"/>
    </row>
    <row r="37" spans="2:12" ht="17" thickBot="1" x14ac:dyDescent="0.25">
      <c r="B37" s="100"/>
      <c r="C37" s="101"/>
      <c r="D37" s="101"/>
      <c r="E37" s="101"/>
      <c r="F37" s="101"/>
      <c r="G37" s="101"/>
      <c r="H37" s="101"/>
      <c r="I37" s="101"/>
      <c r="J37" s="101"/>
      <c r="K37" s="101"/>
      <c r="L37" s="102"/>
    </row>
    <row r="38" spans="2:12" ht="17" thickTop="1" x14ac:dyDescent="0.2"/>
  </sheetData>
  <sheetProtection sheet="1" scenarios="1" selectLockedCells="1" selectUnlockedCells="1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5E79-9955-3D47-985F-FCBC25386922}">
  <dimension ref="B2:AC29"/>
  <sheetViews>
    <sheetView zoomScale="180" zoomScaleNormal="180" workbookViewId="0">
      <selection activeCell="G6" sqref="G6"/>
    </sheetView>
  </sheetViews>
  <sheetFormatPr baseColWidth="10" defaultRowHeight="16" outlineLevelCol="1" x14ac:dyDescent="0.2"/>
  <cols>
    <col min="1" max="1" width="1" style="17" customWidth="1"/>
    <col min="2" max="2" width="1.83203125" style="17" customWidth="1"/>
    <col min="3" max="3" width="25.33203125" style="17" customWidth="1"/>
    <col min="4" max="4" width="32.1640625" style="18" hidden="1" customWidth="1" outlineLevel="1"/>
    <col min="5" max="5" width="25.6640625" style="19" hidden="1" customWidth="1" outlineLevel="1"/>
    <col min="6" max="6" width="18.1640625" style="18" customWidth="1" collapsed="1"/>
    <col min="7" max="7" width="8.6640625" style="58" customWidth="1"/>
    <col min="8" max="8" width="1.5" style="58" customWidth="1"/>
    <col min="9" max="9" width="1.6640625" style="17" customWidth="1"/>
    <col min="10" max="10" width="1.1640625" style="17" customWidth="1"/>
    <col min="11" max="14" width="9.1640625" style="57" customWidth="1"/>
    <col min="15" max="15" width="1.1640625" style="17" customWidth="1"/>
    <col min="16" max="16" width="1.6640625" style="17" customWidth="1"/>
    <col min="17" max="17" width="1.33203125" style="17" customWidth="1"/>
    <col min="18" max="18" width="26.1640625" style="17" customWidth="1"/>
    <col min="19" max="19" width="11.33203125" style="17" customWidth="1"/>
    <col min="20" max="20" width="6.5" style="17" customWidth="1"/>
    <col min="21" max="21" width="8.6640625" style="60" customWidth="1"/>
    <col min="22" max="22" width="4.6640625" style="17" customWidth="1"/>
    <col min="23" max="23" width="1.1640625" style="17" customWidth="1"/>
    <col min="24" max="24" width="9.83203125" style="58" customWidth="1"/>
    <col min="25" max="25" width="2" style="17" customWidth="1"/>
    <col min="26" max="26" width="8" style="61" customWidth="1"/>
    <col min="27" max="27" width="2.5" style="17" customWidth="1"/>
    <col min="28" max="28" width="1.5" style="17" customWidth="1"/>
    <col min="29" max="16384" width="10.83203125" style="17"/>
  </cols>
  <sheetData>
    <row r="2" spans="2:29" s="1" customFormat="1" ht="20" x14ac:dyDescent="0.2">
      <c r="D2" s="2"/>
      <c r="E2" s="3"/>
      <c r="F2" s="1" t="s">
        <v>49</v>
      </c>
      <c r="K2" s="4" t="s">
        <v>43</v>
      </c>
      <c r="L2" s="4"/>
      <c r="M2" s="5"/>
      <c r="N2" s="5"/>
      <c r="R2" s="1" t="s">
        <v>48</v>
      </c>
      <c r="U2" s="6"/>
      <c r="X2" s="7"/>
      <c r="Z2" s="8"/>
    </row>
    <row r="4" spans="2:29" s="9" customFormat="1" ht="17" thickBot="1" x14ac:dyDescent="0.25">
      <c r="D4" s="10"/>
      <c r="E4" s="11"/>
      <c r="F4" s="10"/>
      <c r="G4" s="12" t="s">
        <v>19</v>
      </c>
      <c r="H4" s="13"/>
      <c r="K4" s="14"/>
      <c r="L4" s="14"/>
      <c r="M4" s="14"/>
      <c r="N4" s="14" t="s">
        <v>44</v>
      </c>
      <c r="S4" s="13" t="s">
        <v>19</v>
      </c>
      <c r="T4" s="13"/>
      <c r="U4" s="15" t="s">
        <v>20</v>
      </c>
      <c r="X4" s="13"/>
      <c r="Z4" s="16"/>
    </row>
    <row r="5" spans="2:29" x14ac:dyDescent="0.2">
      <c r="F5" s="20"/>
      <c r="G5" s="21"/>
      <c r="H5" s="22"/>
      <c r="J5" s="23"/>
      <c r="K5" s="24"/>
      <c r="L5" s="24"/>
      <c r="M5" s="24"/>
      <c r="N5" s="24"/>
      <c r="O5" s="25"/>
      <c r="Q5" s="23"/>
      <c r="R5" s="26"/>
      <c r="S5" s="26"/>
      <c r="T5" s="26"/>
      <c r="U5" s="27"/>
      <c r="V5" s="26"/>
      <c r="W5" s="26"/>
      <c r="X5" s="21"/>
      <c r="Y5" s="26"/>
      <c r="Z5" s="28"/>
      <c r="AA5" s="26"/>
      <c r="AB5" s="25"/>
    </row>
    <row r="6" spans="2:29" s="29" customFormat="1" x14ac:dyDescent="0.2">
      <c r="D6" s="30"/>
      <c r="E6" s="31"/>
      <c r="F6" s="32" t="s">
        <v>18</v>
      </c>
      <c r="G6" s="33">
        <v>145</v>
      </c>
      <c r="H6" s="34"/>
      <c r="J6" s="35"/>
      <c r="K6" s="36" t="s">
        <v>63</v>
      </c>
      <c r="L6" s="36" t="s">
        <v>62</v>
      </c>
      <c r="M6" s="36"/>
      <c r="N6" s="36" t="s">
        <v>24</v>
      </c>
      <c r="O6" s="37"/>
      <c r="Q6" s="35"/>
      <c r="R6" s="38" t="s">
        <v>31</v>
      </c>
      <c r="S6" s="39">
        <v>20</v>
      </c>
      <c r="T6" s="38" t="s">
        <v>34</v>
      </c>
      <c r="U6" s="40"/>
      <c r="V6" s="41"/>
      <c r="W6" s="41"/>
      <c r="X6" s="42" t="s">
        <v>51</v>
      </c>
      <c r="Y6" s="41"/>
      <c r="Z6" s="43"/>
      <c r="AA6" s="41"/>
      <c r="AB6" s="37"/>
    </row>
    <row r="7" spans="2:29" ht="17" thickBot="1" x14ac:dyDescent="0.25">
      <c r="B7" s="9" t="s">
        <v>21</v>
      </c>
      <c r="F7" s="44"/>
      <c r="G7" s="45"/>
      <c r="H7" s="46"/>
      <c r="J7" s="47"/>
      <c r="K7" s="48"/>
      <c r="L7" s="48"/>
      <c r="M7" s="48"/>
      <c r="N7" s="48"/>
      <c r="O7" s="49"/>
      <c r="Q7" s="50"/>
      <c r="R7" s="38" t="s">
        <v>32</v>
      </c>
      <c r="S7" s="51">
        <v>5000000</v>
      </c>
      <c r="T7" s="38" t="s">
        <v>33</v>
      </c>
      <c r="U7" s="52"/>
      <c r="V7" s="38"/>
      <c r="W7" s="38"/>
      <c r="X7" s="42" t="s">
        <v>51</v>
      </c>
      <c r="Y7" s="38"/>
      <c r="Z7" s="53"/>
      <c r="AA7" s="38"/>
      <c r="AB7" s="54"/>
    </row>
    <row r="8" spans="2:29" x14ac:dyDescent="0.2">
      <c r="F8" s="55"/>
      <c r="G8" s="56"/>
      <c r="H8" s="56"/>
      <c r="Q8" s="50"/>
      <c r="R8" s="38" t="s">
        <v>38</v>
      </c>
      <c r="S8" s="38">
        <v>2.7349999999999999</v>
      </c>
      <c r="T8" s="38" t="s">
        <v>34</v>
      </c>
      <c r="U8" s="52"/>
      <c r="V8" s="38"/>
      <c r="W8" s="38"/>
      <c r="X8" s="42" t="s">
        <v>50</v>
      </c>
      <c r="Y8" s="38"/>
      <c r="Z8" s="53"/>
      <c r="AA8" s="38"/>
      <c r="AB8" s="54"/>
    </row>
    <row r="9" spans="2:29" ht="17" thickBot="1" x14ac:dyDescent="0.25">
      <c r="C9" s="9"/>
      <c r="F9" s="10"/>
      <c r="G9" s="10" t="s">
        <v>20</v>
      </c>
      <c r="M9" s="59"/>
      <c r="N9" s="59" t="s">
        <v>20</v>
      </c>
      <c r="Q9" s="50"/>
      <c r="AB9" s="54"/>
    </row>
    <row r="10" spans="2:29" x14ac:dyDescent="0.2">
      <c r="B10" s="23"/>
      <c r="C10" s="26"/>
      <c r="D10" s="62"/>
      <c r="E10" s="63"/>
      <c r="F10" s="62"/>
      <c r="G10" s="64"/>
      <c r="H10" s="22"/>
      <c r="J10" s="23"/>
      <c r="K10" s="24"/>
      <c r="L10" s="24"/>
      <c r="M10" s="24"/>
      <c r="N10" s="24"/>
      <c r="O10" s="25"/>
      <c r="Q10" s="50"/>
      <c r="R10" s="17" t="s">
        <v>36</v>
      </c>
      <c r="S10" s="65">
        <f xml:space="preserve"> 4*1.3806505*POWER(10,-23)*S6*S7</f>
        <v>5.5226020000000007E-15</v>
      </c>
      <c r="T10" s="38" t="s">
        <v>23</v>
      </c>
      <c r="U10" s="60">
        <f>10*LOG(S10*1000)</f>
        <v>-112.57856254156741</v>
      </c>
      <c r="V10" s="38" t="s">
        <v>25</v>
      </c>
      <c r="W10" s="38"/>
      <c r="X10" s="42" t="s">
        <v>51</v>
      </c>
      <c r="Y10" s="38"/>
      <c r="Z10" s="53"/>
      <c r="AA10" s="38"/>
      <c r="AB10" s="54"/>
    </row>
    <row r="11" spans="2:29" s="29" customFormat="1" x14ac:dyDescent="0.2">
      <c r="B11" s="35"/>
      <c r="C11" s="41" t="s">
        <v>56</v>
      </c>
      <c r="D11" s="66" t="s">
        <v>0</v>
      </c>
      <c r="E11" s="67" t="s">
        <v>0</v>
      </c>
      <c r="F11" s="66" t="s">
        <v>0</v>
      </c>
      <c r="G11" s="68" t="s">
        <v>24</v>
      </c>
      <c r="H11" s="34"/>
      <c r="J11" s="35"/>
      <c r="K11" s="36" t="s">
        <v>58</v>
      </c>
      <c r="L11" s="36" t="s">
        <v>64</v>
      </c>
      <c r="M11" s="36" t="s">
        <v>59</v>
      </c>
      <c r="N11" s="36" t="s">
        <v>60</v>
      </c>
      <c r="O11" s="37"/>
      <c r="Q11" s="50"/>
      <c r="R11" s="38" t="s">
        <v>40</v>
      </c>
      <c r="S11" s="65">
        <f xml:space="preserve"> 1E-20 *Z20 *S7</f>
        <v>1.9966729479568262E-12</v>
      </c>
      <c r="T11" s="38" t="s">
        <v>23</v>
      </c>
      <c r="U11" s="52">
        <f>10*LOG(S11*1000)</f>
        <v>-86.996930660906031</v>
      </c>
      <c r="V11" s="38" t="s">
        <v>25</v>
      </c>
      <c r="X11" s="42" t="s">
        <v>50</v>
      </c>
      <c r="Y11" s="38"/>
      <c r="Z11" s="53"/>
      <c r="AA11" s="38"/>
      <c r="AB11" s="54"/>
      <c r="AC11" s="17"/>
    </row>
    <row r="12" spans="2:29" x14ac:dyDescent="0.2">
      <c r="B12" s="50"/>
      <c r="C12" s="38" t="s">
        <v>57</v>
      </c>
      <c r="D12" s="69" t="s">
        <v>3</v>
      </c>
      <c r="E12" s="70" t="s">
        <v>16</v>
      </c>
      <c r="F12" s="69" t="s">
        <v>2</v>
      </c>
      <c r="G12" s="56" t="s">
        <v>4</v>
      </c>
      <c r="H12" s="71"/>
      <c r="J12" s="50"/>
      <c r="K12" s="72" t="s">
        <v>25</v>
      </c>
      <c r="L12" s="72" t="s">
        <v>25</v>
      </c>
      <c r="M12" s="72" t="s">
        <v>25</v>
      </c>
      <c r="N12" s="72" t="s">
        <v>25</v>
      </c>
      <c r="O12" s="73"/>
      <c r="Q12" s="50"/>
      <c r="AB12" s="54"/>
    </row>
    <row r="13" spans="2:29" x14ac:dyDescent="0.2">
      <c r="B13" s="50"/>
      <c r="C13" s="38"/>
      <c r="D13" s="69"/>
      <c r="E13" s="70"/>
      <c r="F13" s="69"/>
      <c r="G13" s="56"/>
      <c r="H13" s="71"/>
      <c r="J13" s="50"/>
      <c r="K13" s="72"/>
      <c r="L13" s="72"/>
      <c r="M13" s="72"/>
      <c r="N13" s="72"/>
      <c r="O13" s="54"/>
      <c r="Q13" s="50"/>
      <c r="AB13" s="54"/>
    </row>
    <row r="14" spans="2:29" x14ac:dyDescent="0.2">
      <c r="B14" s="50"/>
      <c r="C14" s="72" t="s">
        <v>1</v>
      </c>
      <c r="D14" s="55">
        <v>384000</v>
      </c>
      <c r="E14" s="74">
        <f>D14/150000000</f>
        <v>2.5600000000000002E-3</v>
      </c>
      <c r="F14" s="55">
        <f>D14/300000/36000/24/365</f>
        <v>4.058853373921867E-9</v>
      </c>
      <c r="G14" s="75">
        <f>20*LOG(G$6) + 20*LOG(D14) + 32.5</f>
        <v>187.41398453205011</v>
      </c>
      <c r="H14" s="73"/>
      <c r="J14" s="50"/>
      <c r="K14" s="72">
        <f>U$11</f>
        <v>-86.996930660906031</v>
      </c>
      <c r="L14" s="72">
        <f>K$17</f>
        <v>-195.03486253945226</v>
      </c>
      <c r="M14" s="72">
        <f>U$24 - G14</f>
        <v>-57.413984532050108</v>
      </c>
      <c r="N14" s="72">
        <f>U$10</f>
        <v>-112.57856254156741</v>
      </c>
      <c r="O14" s="54"/>
      <c r="Q14" s="50"/>
      <c r="R14" s="38" t="s">
        <v>22</v>
      </c>
      <c r="S14" s="51">
        <v>100</v>
      </c>
      <c r="T14" s="38" t="s">
        <v>23</v>
      </c>
      <c r="U14" s="52">
        <f>10*LOG(S14*1000)</f>
        <v>50</v>
      </c>
      <c r="V14" s="38" t="s">
        <v>25</v>
      </c>
      <c r="W14" s="38"/>
      <c r="X14" s="56"/>
      <c r="Y14" s="38"/>
      <c r="Z14" s="53"/>
      <c r="AA14" s="38"/>
      <c r="AB14" s="54"/>
    </row>
    <row r="15" spans="2:29" ht="18" x14ac:dyDescent="0.2">
      <c r="B15" s="50"/>
      <c r="C15" s="72" t="s">
        <v>15</v>
      </c>
      <c r="D15" s="55">
        <v>56000000</v>
      </c>
      <c r="E15" s="74">
        <f t="shared" ref="E15:E28" si="0">D15/150000000</f>
        <v>0.37333333333333335</v>
      </c>
      <c r="F15" s="55">
        <f>D15/300000/36000/24/365</f>
        <v>5.9191611703027224E-7</v>
      </c>
      <c r="G15" s="75">
        <f>20*LOG(G$6) + 20*LOG(D15) + 32.5</f>
        <v>230.69112058482352</v>
      </c>
      <c r="H15" s="73"/>
      <c r="J15" s="50"/>
      <c r="K15" s="72">
        <f>U$11-3</f>
        <v>-89.996930660906031</v>
      </c>
      <c r="L15" s="72">
        <f t="shared" ref="L15:L16" si="1">K$17</f>
        <v>-195.03486253945226</v>
      </c>
      <c r="M15" s="72">
        <f>U$24 - G15</f>
        <v>-100.69112058482352</v>
      </c>
      <c r="N15" s="72">
        <f>U$10</f>
        <v>-112.57856254156741</v>
      </c>
      <c r="O15" s="54"/>
      <c r="Q15" s="50"/>
      <c r="R15" s="38" t="s">
        <v>26</v>
      </c>
      <c r="S15" s="39">
        <v>50</v>
      </c>
      <c r="T15" s="38" t="s">
        <v>27</v>
      </c>
      <c r="U15" s="52">
        <f>S15</f>
        <v>50</v>
      </c>
      <c r="V15" s="38" t="s">
        <v>27</v>
      </c>
      <c r="W15" s="38"/>
      <c r="X15" s="76">
        <f>SQRT(41253/(POWER(10,U15/10)))</f>
        <v>0.64228498347696095</v>
      </c>
      <c r="Y15" s="38" t="s">
        <v>39</v>
      </c>
      <c r="Z15" s="77">
        <f>PI() * (21/(G$6*0.001*X15)) * (21/(G$6*0.001*X15)) / 4</f>
        <v>39933.458959136529</v>
      </c>
      <c r="AA15" s="38" t="s">
        <v>78</v>
      </c>
      <c r="AB15" s="54"/>
    </row>
    <row r="16" spans="2:29" x14ac:dyDescent="0.2">
      <c r="B16" s="50"/>
      <c r="C16" s="72" t="s">
        <v>61</v>
      </c>
      <c r="D16" s="55">
        <f>F16*300000*3600*24*365</f>
        <v>15137280000</v>
      </c>
      <c r="E16" s="74">
        <f t="shared" si="0"/>
        <v>100.9152</v>
      </c>
      <c r="F16" s="55">
        <v>1.6000000000000001E-3</v>
      </c>
      <c r="G16" s="75">
        <f>20*LOG(G$6) + 20*LOG(D16) + 32.5</f>
        <v>279.32831693091862</v>
      </c>
      <c r="H16" s="73"/>
      <c r="J16" s="50"/>
      <c r="K16" s="72">
        <f>U$11-20*LOG(E16)</f>
        <v>-127.07606236601151</v>
      </c>
      <c r="L16" s="72">
        <f t="shared" si="1"/>
        <v>-195.03486253945226</v>
      </c>
      <c r="M16" s="72">
        <f>U$24 - G16</f>
        <v>-149.32831693091862</v>
      </c>
      <c r="N16" s="72">
        <f>U$10</f>
        <v>-112.57856254156741</v>
      </c>
      <c r="O16" s="78"/>
      <c r="Q16" s="50"/>
      <c r="R16" s="38" t="s">
        <v>28</v>
      </c>
      <c r="S16" s="51">
        <v>10</v>
      </c>
      <c r="T16" s="38"/>
      <c r="U16" s="52">
        <f>10*LOG(S16)</f>
        <v>10</v>
      </c>
      <c r="V16" s="38" t="s">
        <v>4</v>
      </c>
      <c r="Z16" s="79">
        <f>2*SQRT(Z15/PI())</f>
        <v>225.48804647881295</v>
      </c>
      <c r="AA16" s="17" t="s">
        <v>66</v>
      </c>
      <c r="AB16" s="54"/>
    </row>
    <row r="17" spans="2:28" x14ac:dyDescent="0.2">
      <c r="B17" s="50"/>
      <c r="C17" s="72" t="s">
        <v>5</v>
      </c>
      <c r="D17" s="55">
        <f t="shared" ref="D17:D28" si="2">F17*300000*3600*24*365</f>
        <v>37843200000000</v>
      </c>
      <c r="E17" s="74">
        <f t="shared" si="0"/>
        <v>252288</v>
      </c>
      <c r="F17" s="55">
        <v>4</v>
      </c>
      <c r="G17" s="75">
        <f>20*LOG(G$6) + 20*LOG(D17) + 32.5</f>
        <v>347.28711710435937</v>
      </c>
      <c r="H17" s="73"/>
      <c r="J17" s="50"/>
      <c r="K17" s="72">
        <f t="shared" ref="K17:K28" si="3">U$11-20*LOG(E17)</f>
        <v>-195.03486253945226</v>
      </c>
      <c r="L17" s="72">
        <f>U$11-U$20</f>
        <v>-106.99693066090603</v>
      </c>
      <c r="M17" s="72">
        <f>U$24 - G17</f>
        <v>-217.28711710435937</v>
      </c>
      <c r="N17" s="72">
        <f>U$10</f>
        <v>-112.57856254156741</v>
      </c>
      <c r="O17" s="78"/>
      <c r="Q17" s="50"/>
      <c r="Z17" s="79"/>
      <c r="AB17" s="54"/>
    </row>
    <row r="18" spans="2:28" x14ac:dyDescent="0.2">
      <c r="B18" s="50"/>
      <c r="C18" s="72"/>
      <c r="D18" s="55"/>
      <c r="E18" s="74"/>
      <c r="F18" s="55"/>
      <c r="G18" s="75"/>
      <c r="H18" s="73"/>
      <c r="J18" s="50"/>
      <c r="K18" s="72"/>
      <c r="L18" s="72"/>
      <c r="M18" s="72"/>
      <c r="N18" s="72"/>
      <c r="O18" s="78"/>
      <c r="Q18" s="50"/>
      <c r="R18" s="17" t="s">
        <v>42</v>
      </c>
      <c r="S18" s="65">
        <f>POWER(10,U18/10)</f>
        <v>100000000000</v>
      </c>
      <c r="T18" s="17" t="s">
        <v>23</v>
      </c>
      <c r="U18" s="60">
        <f>SUM(U14:U17)</f>
        <v>110</v>
      </c>
      <c r="V18" s="17" t="s">
        <v>25</v>
      </c>
      <c r="Z18" s="79"/>
      <c r="AB18" s="54"/>
    </row>
    <row r="19" spans="2:28" x14ac:dyDescent="0.2">
      <c r="B19" s="50"/>
      <c r="C19" s="72" t="s">
        <v>7</v>
      </c>
      <c r="D19" s="55">
        <f t="shared" si="2"/>
        <v>94608000000000</v>
      </c>
      <c r="E19" s="74">
        <f t="shared" si="0"/>
        <v>630720</v>
      </c>
      <c r="F19" s="55">
        <v>10</v>
      </c>
      <c r="G19" s="75">
        <f t="shared" ref="G19:G28" si="4">20*LOG(G$6) + 20*LOG(D19) + 32.5</f>
        <v>355.24591727780012</v>
      </c>
      <c r="H19" s="73"/>
      <c r="J19" s="50"/>
      <c r="K19" s="72">
        <f t="shared" si="3"/>
        <v>-202.99366271289301</v>
      </c>
      <c r="L19" s="72">
        <f t="shared" ref="L19:L28" si="5">U$11-U$20</f>
        <v>-106.99693066090603</v>
      </c>
      <c r="M19" s="72">
        <f t="shared" ref="M19:M28" si="6">U$24 - G19</f>
        <v>-225.24591727780012</v>
      </c>
      <c r="N19" s="72">
        <f t="shared" ref="N19:N28" si="7">U$10</f>
        <v>-112.57856254156741</v>
      </c>
      <c r="O19" s="78"/>
      <c r="Q19" s="50"/>
      <c r="Z19" s="79"/>
      <c r="AB19" s="54"/>
    </row>
    <row r="20" spans="2:28" ht="18" x14ac:dyDescent="0.2">
      <c r="B20" s="50"/>
      <c r="C20" s="72" t="s">
        <v>6</v>
      </c>
      <c r="D20" s="55">
        <f t="shared" si="2"/>
        <v>946080000000000</v>
      </c>
      <c r="E20" s="74">
        <f t="shared" si="0"/>
        <v>6307200</v>
      </c>
      <c r="F20" s="55">
        <v>100</v>
      </c>
      <c r="G20" s="75">
        <f t="shared" si="4"/>
        <v>375.24591727780012</v>
      </c>
      <c r="H20" s="73"/>
      <c r="J20" s="50"/>
      <c r="K20" s="72">
        <f t="shared" si="3"/>
        <v>-222.99366271289301</v>
      </c>
      <c r="L20" s="72">
        <f t="shared" si="5"/>
        <v>-106.99693066090603</v>
      </c>
      <c r="M20" s="72">
        <f t="shared" si="6"/>
        <v>-245.24591727780012</v>
      </c>
      <c r="N20" s="72">
        <f t="shared" si="7"/>
        <v>-112.57856254156741</v>
      </c>
      <c r="O20" s="78"/>
      <c r="Q20" s="50"/>
      <c r="R20" s="38" t="s">
        <v>30</v>
      </c>
      <c r="S20" s="39">
        <v>20</v>
      </c>
      <c r="T20" s="38" t="s">
        <v>27</v>
      </c>
      <c r="U20" s="52">
        <f>S20</f>
        <v>20</v>
      </c>
      <c r="V20" s="38" t="s">
        <v>27</v>
      </c>
      <c r="W20" s="38"/>
      <c r="X20" s="76">
        <f>SQRT(41253/(POWER(10,U20/10)))</f>
        <v>20.310834547108101</v>
      </c>
      <c r="Y20" s="38" t="s">
        <v>39</v>
      </c>
      <c r="Z20" s="77">
        <f>PI() * (21/(G$6*0.001*X20)) * (21/(G$6*0.001*X20)) / 4</f>
        <v>39.93345895913653</v>
      </c>
      <c r="AA20" s="38" t="s">
        <v>78</v>
      </c>
      <c r="AB20" s="54"/>
    </row>
    <row r="21" spans="2:28" x14ac:dyDescent="0.2">
      <c r="B21" s="50"/>
      <c r="C21" s="72" t="s">
        <v>8</v>
      </c>
      <c r="D21" s="55">
        <f t="shared" si="2"/>
        <v>9460800000000000</v>
      </c>
      <c r="E21" s="74">
        <f t="shared" si="0"/>
        <v>63072000</v>
      </c>
      <c r="F21" s="55">
        <v>1000</v>
      </c>
      <c r="G21" s="75">
        <f t="shared" si="4"/>
        <v>395.24591727780012</v>
      </c>
      <c r="H21" s="73"/>
      <c r="J21" s="50"/>
      <c r="K21" s="72">
        <f t="shared" si="3"/>
        <v>-242.99366271289301</v>
      </c>
      <c r="L21" s="72">
        <f t="shared" si="5"/>
        <v>-106.99693066090603</v>
      </c>
      <c r="M21" s="72">
        <f t="shared" si="6"/>
        <v>-265.24591727780012</v>
      </c>
      <c r="N21" s="72">
        <f t="shared" si="7"/>
        <v>-112.57856254156741</v>
      </c>
      <c r="O21" s="78"/>
      <c r="Q21" s="50"/>
      <c r="R21" s="38" t="s">
        <v>37</v>
      </c>
      <c r="S21" s="51">
        <v>1</v>
      </c>
      <c r="T21" s="38"/>
      <c r="U21" s="52">
        <f>10*LOG(S21)</f>
        <v>0</v>
      </c>
      <c r="V21" s="38" t="s">
        <v>4</v>
      </c>
      <c r="Z21" s="79">
        <f>2*SQRT(Z20/PI())</f>
        <v>7.1305581201495931</v>
      </c>
      <c r="AA21" s="17" t="s">
        <v>66</v>
      </c>
      <c r="AB21" s="54"/>
    </row>
    <row r="22" spans="2:28" x14ac:dyDescent="0.2">
      <c r="B22" s="50"/>
      <c r="C22" s="72" t="s">
        <v>9</v>
      </c>
      <c r="D22" s="55">
        <f t="shared" si="2"/>
        <v>9.4608E+16</v>
      </c>
      <c r="E22" s="74">
        <f t="shared" si="0"/>
        <v>630720000</v>
      </c>
      <c r="F22" s="55">
        <v>10000</v>
      </c>
      <c r="G22" s="75">
        <f t="shared" si="4"/>
        <v>415.24591727780012</v>
      </c>
      <c r="H22" s="73"/>
      <c r="J22" s="50"/>
      <c r="K22" s="72">
        <f t="shared" si="3"/>
        <v>-262.99366271289301</v>
      </c>
      <c r="L22" s="72">
        <f t="shared" si="5"/>
        <v>-106.99693066090603</v>
      </c>
      <c r="M22" s="72">
        <f t="shared" si="6"/>
        <v>-285.24591727780012</v>
      </c>
      <c r="N22" s="72">
        <f t="shared" si="7"/>
        <v>-112.57856254156741</v>
      </c>
      <c r="O22" s="78"/>
      <c r="Q22" s="50"/>
      <c r="R22" s="38" t="s">
        <v>29</v>
      </c>
      <c r="S22" s="51">
        <v>1</v>
      </c>
      <c r="T22" s="38"/>
      <c r="U22" s="52">
        <f>10*LOG(S22)</f>
        <v>0</v>
      </c>
      <c r="V22" s="38" t="s">
        <v>4</v>
      </c>
      <c r="W22" s="38"/>
      <c r="X22" s="56"/>
      <c r="Y22" s="38"/>
      <c r="Z22" s="77"/>
      <c r="AA22" s="38"/>
      <c r="AB22" s="54"/>
    </row>
    <row r="23" spans="2:28" x14ac:dyDescent="0.2">
      <c r="B23" s="50"/>
      <c r="C23" s="72" t="s">
        <v>10</v>
      </c>
      <c r="D23" s="55">
        <f t="shared" si="2"/>
        <v>9.4608E+17</v>
      </c>
      <c r="E23" s="74">
        <f t="shared" si="0"/>
        <v>6307200000</v>
      </c>
      <c r="F23" s="55">
        <v>100000</v>
      </c>
      <c r="G23" s="75">
        <f t="shared" si="4"/>
        <v>435.24591727780012</v>
      </c>
      <c r="H23" s="73"/>
      <c r="J23" s="50"/>
      <c r="K23" s="72">
        <f t="shared" si="3"/>
        <v>-282.99366271289301</v>
      </c>
      <c r="L23" s="72">
        <f t="shared" si="5"/>
        <v>-106.99693066090603</v>
      </c>
      <c r="M23" s="72">
        <f t="shared" si="6"/>
        <v>-305.24591727780012</v>
      </c>
      <c r="N23" s="72">
        <f t="shared" si="7"/>
        <v>-112.57856254156741</v>
      </c>
      <c r="O23" s="78"/>
      <c r="Q23" s="50"/>
      <c r="W23" s="38"/>
      <c r="X23" s="56"/>
      <c r="Y23" s="38"/>
      <c r="Z23" s="77"/>
      <c r="AA23" s="38"/>
      <c r="AB23" s="54"/>
    </row>
    <row r="24" spans="2:28" x14ac:dyDescent="0.2">
      <c r="B24" s="50"/>
      <c r="C24" s="72" t="s">
        <v>11</v>
      </c>
      <c r="D24" s="55">
        <f t="shared" si="2"/>
        <v>9.4608E+18</v>
      </c>
      <c r="E24" s="74">
        <f t="shared" si="0"/>
        <v>63072000000</v>
      </c>
      <c r="F24" s="55">
        <v>1000000</v>
      </c>
      <c r="G24" s="75">
        <f t="shared" si="4"/>
        <v>455.24591727780012</v>
      </c>
      <c r="H24" s="73"/>
      <c r="J24" s="50"/>
      <c r="K24" s="72">
        <f t="shared" si="3"/>
        <v>-302.99366271289301</v>
      </c>
      <c r="L24" s="72">
        <f t="shared" si="5"/>
        <v>-106.99693066090603</v>
      </c>
      <c r="M24" s="72">
        <f t="shared" si="6"/>
        <v>-325.24591727780012</v>
      </c>
      <c r="N24" s="72">
        <f t="shared" si="7"/>
        <v>-112.57856254156741</v>
      </c>
      <c r="O24" s="78"/>
      <c r="Q24" s="50"/>
      <c r="R24" s="38" t="s">
        <v>52</v>
      </c>
      <c r="S24" s="38"/>
      <c r="T24" s="38"/>
      <c r="U24" s="52">
        <f>SUM(U18:U22)</f>
        <v>130</v>
      </c>
      <c r="V24" s="38" t="s">
        <v>25</v>
      </c>
      <c r="W24" s="38"/>
      <c r="X24" s="56"/>
      <c r="Y24" s="38"/>
      <c r="Z24" s="53"/>
      <c r="AA24" s="38"/>
      <c r="AB24" s="54"/>
    </row>
    <row r="25" spans="2:28" x14ac:dyDescent="0.2">
      <c r="B25" s="50"/>
      <c r="C25" s="72" t="s">
        <v>12</v>
      </c>
      <c r="D25" s="55">
        <f t="shared" si="2"/>
        <v>9.4608E+19</v>
      </c>
      <c r="E25" s="74">
        <f t="shared" si="0"/>
        <v>630720000000</v>
      </c>
      <c r="F25" s="55">
        <v>10000000</v>
      </c>
      <c r="G25" s="75">
        <f t="shared" si="4"/>
        <v>475.24591727780012</v>
      </c>
      <c r="H25" s="73"/>
      <c r="J25" s="50"/>
      <c r="K25" s="72">
        <f t="shared" si="3"/>
        <v>-322.99366271289301</v>
      </c>
      <c r="L25" s="72">
        <f t="shared" si="5"/>
        <v>-106.99693066090603</v>
      </c>
      <c r="M25" s="72">
        <f t="shared" si="6"/>
        <v>-345.24591727780012</v>
      </c>
      <c r="N25" s="72">
        <f t="shared" si="7"/>
        <v>-112.57856254156741</v>
      </c>
      <c r="O25" s="78"/>
      <c r="Q25" s="50"/>
      <c r="T25" s="38"/>
      <c r="U25" s="52"/>
      <c r="V25" s="38"/>
      <c r="W25" s="38"/>
      <c r="X25" s="56"/>
      <c r="Y25" s="38"/>
      <c r="Z25" s="53"/>
      <c r="AA25" s="38"/>
      <c r="AB25" s="54"/>
    </row>
    <row r="26" spans="2:28" x14ac:dyDescent="0.2">
      <c r="B26" s="50"/>
      <c r="C26" s="72" t="s">
        <v>13</v>
      </c>
      <c r="D26" s="55">
        <f t="shared" si="2"/>
        <v>9.4608E+20</v>
      </c>
      <c r="E26" s="74">
        <f t="shared" si="0"/>
        <v>6307200000000</v>
      </c>
      <c r="F26" s="55">
        <v>100000000</v>
      </c>
      <c r="G26" s="75">
        <f t="shared" si="4"/>
        <v>495.24591727780012</v>
      </c>
      <c r="H26" s="73"/>
      <c r="J26" s="50"/>
      <c r="K26" s="72">
        <f t="shared" si="3"/>
        <v>-342.99366271289301</v>
      </c>
      <c r="L26" s="72">
        <f t="shared" si="5"/>
        <v>-106.99693066090603</v>
      </c>
      <c r="M26" s="72">
        <f t="shared" si="6"/>
        <v>-365.24591727780012</v>
      </c>
      <c r="N26" s="72">
        <f t="shared" si="7"/>
        <v>-112.57856254156741</v>
      </c>
      <c r="O26" s="78"/>
      <c r="Q26" s="50"/>
      <c r="R26" s="38" t="s">
        <v>41</v>
      </c>
      <c r="S26" s="39">
        <v>16</v>
      </c>
      <c r="T26" s="38"/>
      <c r="U26" s="52"/>
      <c r="V26" s="38"/>
      <c r="W26" s="38"/>
      <c r="X26" s="56"/>
      <c r="Y26" s="38"/>
      <c r="Z26" s="53"/>
      <c r="AA26" s="38"/>
      <c r="AB26" s="54"/>
    </row>
    <row r="27" spans="2:28" x14ac:dyDescent="0.2">
      <c r="B27" s="50"/>
      <c r="C27" s="72" t="s">
        <v>14</v>
      </c>
      <c r="D27" s="55">
        <f t="shared" si="2"/>
        <v>9.4608E+21</v>
      </c>
      <c r="E27" s="74">
        <f t="shared" si="0"/>
        <v>63072000000000</v>
      </c>
      <c r="F27" s="55">
        <v>1000000000</v>
      </c>
      <c r="G27" s="75">
        <f t="shared" si="4"/>
        <v>515.24591727780012</v>
      </c>
      <c r="H27" s="73"/>
      <c r="J27" s="50"/>
      <c r="K27" s="72">
        <f t="shared" si="3"/>
        <v>-362.99366271289307</v>
      </c>
      <c r="L27" s="72">
        <f t="shared" si="5"/>
        <v>-106.99693066090603</v>
      </c>
      <c r="M27" s="72">
        <f t="shared" si="6"/>
        <v>-385.24591727780012</v>
      </c>
      <c r="N27" s="72">
        <f t="shared" si="7"/>
        <v>-112.57856254156741</v>
      </c>
      <c r="O27" s="78"/>
      <c r="Q27" s="50"/>
      <c r="R27" s="38" t="s">
        <v>35</v>
      </c>
      <c r="S27" s="80">
        <f>0.5 * S26 *S7 /S22</f>
        <v>40000000</v>
      </c>
      <c r="T27" s="38" t="s">
        <v>45</v>
      </c>
      <c r="U27" s="81">
        <f>S27*3600*24/8</f>
        <v>432000000000</v>
      </c>
      <c r="V27" s="38" t="s">
        <v>47</v>
      </c>
      <c r="W27" s="38"/>
      <c r="X27" s="81">
        <f>S27*3600*24*360/8</f>
        <v>155520000000000</v>
      </c>
      <c r="Y27" s="38" t="s">
        <v>46</v>
      </c>
      <c r="Z27" s="53"/>
      <c r="AA27" s="38"/>
      <c r="AB27" s="54"/>
    </row>
    <row r="28" spans="2:28" x14ac:dyDescent="0.2">
      <c r="B28" s="50"/>
      <c r="C28" s="72" t="s">
        <v>17</v>
      </c>
      <c r="D28" s="55">
        <f t="shared" si="2"/>
        <v>9.4607999999999996E+22</v>
      </c>
      <c r="E28" s="74">
        <f t="shared" si="0"/>
        <v>630720000000000</v>
      </c>
      <c r="F28" s="55">
        <v>10000000000</v>
      </c>
      <c r="G28" s="75">
        <f t="shared" si="4"/>
        <v>535.24591727780012</v>
      </c>
      <c r="H28" s="73"/>
      <c r="J28" s="50"/>
      <c r="K28" s="72">
        <f t="shared" si="3"/>
        <v>-382.99366271289307</v>
      </c>
      <c r="L28" s="72">
        <f t="shared" si="5"/>
        <v>-106.99693066090603</v>
      </c>
      <c r="M28" s="72">
        <f t="shared" si="6"/>
        <v>-405.24591727780012</v>
      </c>
      <c r="N28" s="72">
        <f t="shared" si="7"/>
        <v>-112.57856254156741</v>
      </c>
      <c r="O28" s="78"/>
      <c r="Q28" s="50"/>
      <c r="R28" s="38" t="s">
        <v>55</v>
      </c>
      <c r="S28" s="53">
        <v>1.5</v>
      </c>
      <c r="T28" s="38" t="s">
        <v>53</v>
      </c>
      <c r="U28" s="81">
        <f>S16*S28*S14*24*365/1000/X27</f>
        <v>8.449074074074074E-11</v>
      </c>
      <c r="V28" s="38" t="s">
        <v>54</v>
      </c>
      <c r="W28" s="38"/>
      <c r="X28" s="81">
        <f>1000000*U28</f>
        <v>8.4490740740740745E-5</v>
      </c>
      <c r="Y28" s="17" t="s">
        <v>65</v>
      </c>
      <c r="Z28" s="53"/>
      <c r="AA28" s="38"/>
      <c r="AB28" s="54"/>
    </row>
    <row r="29" spans="2:28" ht="17" thickBot="1" x14ac:dyDescent="0.25">
      <c r="B29" s="47"/>
      <c r="C29" s="82"/>
      <c r="D29" s="83"/>
      <c r="E29" s="84"/>
      <c r="F29" s="83"/>
      <c r="G29" s="45"/>
      <c r="H29" s="46"/>
      <c r="J29" s="47"/>
      <c r="K29" s="48"/>
      <c r="L29" s="48"/>
      <c r="M29" s="48"/>
      <c r="N29" s="72"/>
      <c r="O29" s="49"/>
      <c r="Q29" s="47"/>
      <c r="R29" s="82"/>
      <c r="S29" s="82"/>
      <c r="T29" s="82"/>
      <c r="U29" s="85"/>
      <c r="V29" s="82"/>
      <c r="W29" s="82"/>
      <c r="X29" s="45"/>
      <c r="Y29" s="82"/>
      <c r="Z29" s="86"/>
      <c r="AA29" s="82"/>
      <c r="AB29" s="49"/>
    </row>
  </sheetData>
  <sheetProtection sheet="1" formatColumns="0" formatRows="0"/>
  <conditionalFormatting sqref="K14">
    <cfRule type="expression" dxfId="26" priority="9">
      <formula>$K14&gt;$M14</formula>
    </cfRule>
  </conditionalFormatting>
  <conditionalFormatting sqref="L14">
    <cfRule type="expression" dxfId="25" priority="8">
      <formula>$L14&gt;$M14</formula>
    </cfRule>
  </conditionalFormatting>
  <conditionalFormatting sqref="N14">
    <cfRule type="expression" dxfId="24" priority="7">
      <formula>$N14&gt;$M14</formula>
    </cfRule>
  </conditionalFormatting>
  <conditionalFormatting sqref="M14">
    <cfRule type="expression" dxfId="23" priority="6">
      <formula>AND($M14&gt;$K14,$M14&gt;$L14,$M14&gt;$N14)</formula>
    </cfRule>
  </conditionalFormatting>
  <conditionalFormatting sqref="M15:M28">
    <cfRule type="expression" dxfId="22" priority="5">
      <formula>AND($M15&gt;$K15,$M15&gt;$L15,$M15&gt;$N15)</formula>
    </cfRule>
  </conditionalFormatting>
  <conditionalFormatting sqref="C14:C28">
    <cfRule type="expression" dxfId="21" priority="4">
      <formula>AND($M14&gt;$K14,$M14&gt;$L14,$M14&gt;$N14)</formula>
    </cfRule>
  </conditionalFormatting>
  <conditionalFormatting sqref="L15:L28">
    <cfRule type="expression" dxfId="20" priority="3">
      <formula>$L15&gt;$M15</formula>
    </cfRule>
  </conditionalFormatting>
  <conditionalFormatting sqref="K15:K28">
    <cfRule type="expression" dxfId="19" priority="2">
      <formula>$K15&gt;$M15</formula>
    </cfRule>
  </conditionalFormatting>
  <conditionalFormatting sqref="N15:N29">
    <cfRule type="expression" dxfId="18" priority="1">
      <formula>$N15&gt;$M15</formula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167F-06CB-D14B-8C64-41B10AC8D0F9}">
  <dimension ref="B2:AC29"/>
  <sheetViews>
    <sheetView zoomScale="180" zoomScaleNormal="180" workbookViewId="0">
      <selection activeCell="X28" sqref="X28"/>
    </sheetView>
  </sheetViews>
  <sheetFormatPr baseColWidth="10" defaultRowHeight="16" outlineLevelCol="1" x14ac:dyDescent="0.2"/>
  <cols>
    <col min="1" max="1" width="1" style="17" customWidth="1"/>
    <col min="2" max="2" width="1.83203125" style="17" customWidth="1"/>
    <col min="3" max="3" width="25.33203125" style="17" customWidth="1"/>
    <col min="4" max="4" width="32.1640625" style="18" hidden="1" customWidth="1" outlineLevel="1"/>
    <col min="5" max="5" width="25.6640625" style="19" hidden="1" customWidth="1" outlineLevel="1"/>
    <col min="6" max="6" width="18.1640625" style="18" customWidth="1" collapsed="1"/>
    <col min="7" max="7" width="8.6640625" style="58" customWidth="1"/>
    <col min="8" max="8" width="1.5" style="58" customWidth="1"/>
    <col min="9" max="9" width="1.6640625" style="17" customWidth="1"/>
    <col min="10" max="10" width="1.1640625" style="17" customWidth="1"/>
    <col min="11" max="14" width="9.1640625" style="57" customWidth="1"/>
    <col min="15" max="15" width="1.1640625" style="17" customWidth="1"/>
    <col min="16" max="16" width="1.6640625" style="17" customWidth="1"/>
    <col min="17" max="17" width="1.33203125" style="17" customWidth="1"/>
    <col min="18" max="18" width="26.1640625" style="17" customWidth="1"/>
    <col min="19" max="19" width="11.33203125" style="17" customWidth="1"/>
    <col min="20" max="20" width="6.5" style="17" customWidth="1"/>
    <col min="21" max="21" width="8.6640625" style="60" customWidth="1"/>
    <col min="22" max="22" width="4.6640625" style="17" customWidth="1"/>
    <col min="23" max="23" width="1.1640625" style="17" customWidth="1"/>
    <col min="24" max="24" width="9.83203125" style="58" customWidth="1"/>
    <col min="25" max="25" width="2" style="17" customWidth="1"/>
    <col min="26" max="26" width="8" style="61" customWidth="1"/>
    <col min="27" max="27" width="2.5" style="17" customWidth="1"/>
    <col min="28" max="28" width="1.5" style="17" customWidth="1"/>
    <col min="29" max="16384" width="10.83203125" style="17"/>
  </cols>
  <sheetData>
    <row r="2" spans="2:29" s="1" customFormat="1" ht="20" x14ac:dyDescent="0.2">
      <c r="D2" s="2"/>
      <c r="E2" s="3"/>
      <c r="F2" s="1" t="s">
        <v>49</v>
      </c>
      <c r="K2" s="4" t="s">
        <v>43</v>
      </c>
      <c r="L2" s="4"/>
      <c r="M2" s="5"/>
      <c r="N2" s="5"/>
      <c r="R2" s="1" t="s">
        <v>48</v>
      </c>
      <c r="U2" s="6"/>
      <c r="X2" s="7"/>
      <c r="Z2" s="8"/>
    </row>
    <row r="4" spans="2:29" s="9" customFormat="1" ht="17" thickBot="1" x14ac:dyDescent="0.25">
      <c r="D4" s="10"/>
      <c r="E4" s="11"/>
      <c r="F4" s="10"/>
      <c r="G4" s="12" t="s">
        <v>19</v>
      </c>
      <c r="H4" s="13"/>
      <c r="K4" s="14"/>
      <c r="L4" s="14"/>
      <c r="M4" s="14"/>
      <c r="N4" s="14" t="s">
        <v>44</v>
      </c>
      <c r="S4" s="13" t="s">
        <v>19</v>
      </c>
      <c r="T4" s="13"/>
      <c r="U4" s="15" t="s">
        <v>20</v>
      </c>
      <c r="X4" s="13"/>
      <c r="Z4" s="16"/>
    </row>
    <row r="5" spans="2:29" x14ac:dyDescent="0.2">
      <c r="F5" s="20"/>
      <c r="G5" s="21"/>
      <c r="H5" s="22"/>
      <c r="J5" s="23"/>
      <c r="K5" s="24"/>
      <c r="L5" s="24"/>
      <c r="M5" s="24"/>
      <c r="N5" s="24"/>
      <c r="O5" s="25"/>
      <c r="Q5" s="23"/>
      <c r="R5" s="26"/>
      <c r="S5" s="26"/>
      <c r="T5" s="26"/>
      <c r="U5" s="27"/>
      <c r="V5" s="26"/>
      <c r="W5" s="26"/>
      <c r="X5" s="21"/>
      <c r="Y5" s="26"/>
      <c r="Z5" s="28"/>
      <c r="AA5" s="26"/>
      <c r="AB5" s="25"/>
    </row>
    <row r="6" spans="2:29" s="29" customFormat="1" x14ac:dyDescent="0.2">
      <c r="D6" s="30"/>
      <c r="E6" s="31"/>
      <c r="F6" s="32" t="s">
        <v>18</v>
      </c>
      <c r="G6" s="33">
        <v>435</v>
      </c>
      <c r="H6" s="34"/>
      <c r="J6" s="35"/>
      <c r="K6" s="36" t="s">
        <v>63</v>
      </c>
      <c r="L6" s="36" t="s">
        <v>62</v>
      </c>
      <c r="M6" s="36"/>
      <c r="N6" s="36" t="s">
        <v>24</v>
      </c>
      <c r="O6" s="37"/>
      <c r="Q6" s="35"/>
      <c r="R6" s="38" t="s">
        <v>31</v>
      </c>
      <c r="S6" s="39">
        <v>50</v>
      </c>
      <c r="T6" s="38" t="s">
        <v>34</v>
      </c>
      <c r="U6" s="40"/>
      <c r="V6" s="41"/>
      <c r="W6" s="41"/>
      <c r="X6" s="42" t="s">
        <v>51</v>
      </c>
      <c r="Y6" s="41"/>
      <c r="Z6" s="43"/>
      <c r="AA6" s="41"/>
      <c r="AB6" s="37"/>
    </row>
    <row r="7" spans="2:29" ht="17" thickBot="1" x14ac:dyDescent="0.25">
      <c r="B7" s="9" t="s">
        <v>21</v>
      </c>
      <c r="F7" s="44"/>
      <c r="G7" s="45"/>
      <c r="H7" s="46"/>
      <c r="J7" s="47"/>
      <c r="K7" s="48"/>
      <c r="L7" s="48"/>
      <c r="M7" s="48"/>
      <c r="N7" s="48"/>
      <c r="O7" s="49"/>
      <c r="Q7" s="50"/>
      <c r="R7" s="38" t="s">
        <v>32</v>
      </c>
      <c r="S7" s="51">
        <v>3000</v>
      </c>
      <c r="T7" s="38" t="s">
        <v>33</v>
      </c>
      <c r="U7" s="52"/>
      <c r="V7" s="38"/>
      <c r="W7" s="38"/>
      <c r="X7" s="42" t="s">
        <v>51</v>
      </c>
      <c r="Y7" s="38"/>
      <c r="Z7" s="53"/>
      <c r="AA7" s="38"/>
      <c r="AB7" s="54"/>
    </row>
    <row r="8" spans="2:29" x14ac:dyDescent="0.2">
      <c r="F8" s="55"/>
      <c r="G8" s="56"/>
      <c r="H8" s="56"/>
      <c r="Q8" s="50"/>
      <c r="R8" s="38" t="s">
        <v>38</v>
      </c>
      <c r="S8" s="38">
        <v>2.7349999999999999</v>
      </c>
      <c r="T8" s="38" t="s">
        <v>34</v>
      </c>
      <c r="U8" s="52"/>
      <c r="V8" s="38"/>
      <c r="W8" s="38"/>
      <c r="X8" s="42" t="s">
        <v>50</v>
      </c>
      <c r="Y8" s="38"/>
      <c r="Z8" s="53"/>
      <c r="AA8" s="38"/>
      <c r="AB8" s="54"/>
    </row>
    <row r="9" spans="2:29" ht="17" thickBot="1" x14ac:dyDescent="0.25">
      <c r="C9" s="9"/>
      <c r="F9" s="10"/>
      <c r="G9" s="10" t="s">
        <v>20</v>
      </c>
      <c r="M9" s="59"/>
      <c r="N9" s="59" t="s">
        <v>20</v>
      </c>
      <c r="Q9" s="50"/>
      <c r="AB9" s="54"/>
    </row>
    <row r="10" spans="2:29" x14ac:dyDescent="0.2">
      <c r="B10" s="23"/>
      <c r="C10" s="26"/>
      <c r="D10" s="62"/>
      <c r="E10" s="63"/>
      <c r="F10" s="62"/>
      <c r="G10" s="64"/>
      <c r="H10" s="22"/>
      <c r="J10" s="23"/>
      <c r="K10" s="24"/>
      <c r="L10" s="24"/>
      <c r="M10" s="24"/>
      <c r="N10" s="24"/>
      <c r="O10" s="25"/>
      <c r="Q10" s="50"/>
      <c r="R10" s="17" t="s">
        <v>36</v>
      </c>
      <c r="S10" s="65">
        <f xml:space="preserve"> 4*1.3806505*POWER(10,-23)*S6*S7</f>
        <v>8.2839030000000011E-18</v>
      </c>
      <c r="T10" s="38" t="s">
        <v>23</v>
      </c>
      <c r="U10" s="60">
        <f>10*LOG(S10*1000)</f>
        <v>-140.81764995101059</v>
      </c>
      <c r="V10" s="38" t="s">
        <v>25</v>
      </c>
      <c r="W10" s="38"/>
      <c r="X10" s="42" t="s">
        <v>51</v>
      </c>
      <c r="Y10" s="38"/>
      <c r="Z10" s="53"/>
      <c r="AA10" s="38"/>
      <c r="AB10" s="54"/>
    </row>
    <row r="11" spans="2:29" s="29" customFormat="1" x14ac:dyDescent="0.2">
      <c r="B11" s="35"/>
      <c r="C11" s="41" t="s">
        <v>56</v>
      </c>
      <c r="D11" s="66" t="s">
        <v>0</v>
      </c>
      <c r="E11" s="67" t="s">
        <v>0</v>
      </c>
      <c r="F11" s="66" t="s">
        <v>0</v>
      </c>
      <c r="G11" s="68" t="s">
        <v>24</v>
      </c>
      <c r="H11" s="34"/>
      <c r="J11" s="35"/>
      <c r="K11" s="36" t="s">
        <v>58</v>
      </c>
      <c r="L11" s="36" t="s">
        <v>64</v>
      </c>
      <c r="M11" s="36" t="s">
        <v>59</v>
      </c>
      <c r="N11" s="36" t="s">
        <v>60</v>
      </c>
      <c r="O11" s="37"/>
      <c r="Q11" s="50"/>
      <c r="R11" s="38" t="s">
        <v>40</v>
      </c>
      <c r="S11" s="65">
        <f xml:space="preserve"> 1E-20 *Z20 *S7</f>
        <v>1.6757748754832145E-12</v>
      </c>
      <c r="T11" s="38" t="s">
        <v>23</v>
      </c>
      <c r="U11" s="52">
        <f>10*LOG(S11*1000)</f>
        <v>-87.75784325146283</v>
      </c>
      <c r="V11" s="38" t="s">
        <v>25</v>
      </c>
      <c r="X11" s="42" t="s">
        <v>50</v>
      </c>
      <c r="Y11" s="38"/>
      <c r="Z11" s="53"/>
      <c r="AA11" s="38"/>
      <c r="AB11" s="54"/>
      <c r="AC11" s="17"/>
    </row>
    <row r="12" spans="2:29" x14ac:dyDescent="0.2">
      <c r="B12" s="50"/>
      <c r="C12" s="38" t="s">
        <v>57</v>
      </c>
      <c r="D12" s="69" t="s">
        <v>3</v>
      </c>
      <c r="E12" s="70" t="s">
        <v>16</v>
      </c>
      <c r="F12" s="69" t="s">
        <v>2</v>
      </c>
      <c r="G12" s="56" t="s">
        <v>4</v>
      </c>
      <c r="H12" s="71"/>
      <c r="J12" s="50"/>
      <c r="K12" s="72" t="s">
        <v>25</v>
      </c>
      <c r="L12" s="72" t="s">
        <v>25</v>
      </c>
      <c r="M12" s="72" t="s">
        <v>25</v>
      </c>
      <c r="N12" s="72" t="s">
        <v>25</v>
      </c>
      <c r="O12" s="73"/>
      <c r="Q12" s="50"/>
      <c r="AB12" s="54"/>
    </row>
    <row r="13" spans="2:29" x14ac:dyDescent="0.2">
      <c r="B13" s="50"/>
      <c r="C13" s="38"/>
      <c r="D13" s="69"/>
      <c r="E13" s="70"/>
      <c r="F13" s="69"/>
      <c r="G13" s="56"/>
      <c r="H13" s="71"/>
      <c r="J13" s="50"/>
      <c r="K13" s="72"/>
      <c r="L13" s="72"/>
      <c r="M13" s="72"/>
      <c r="N13" s="72"/>
      <c r="O13" s="54"/>
      <c r="Q13" s="50"/>
      <c r="AB13" s="54"/>
    </row>
    <row r="14" spans="2:29" x14ac:dyDescent="0.2">
      <c r="B14" s="50"/>
      <c r="C14" s="72" t="s">
        <v>1</v>
      </c>
      <c r="D14" s="55">
        <v>384000</v>
      </c>
      <c r="E14" s="74">
        <f>D14/150000000</f>
        <v>2.5600000000000002E-3</v>
      </c>
      <c r="F14" s="55">
        <f>D14/300000/36000/24/365</f>
        <v>4.058853373921867E-9</v>
      </c>
      <c r="G14" s="75">
        <f>20*LOG(G$6) + 20*LOG(D14) + 32.5</f>
        <v>196.95640962644336</v>
      </c>
      <c r="H14" s="73"/>
      <c r="J14" s="50"/>
      <c r="K14" s="72">
        <f>U$11</f>
        <v>-87.75784325146283</v>
      </c>
      <c r="L14" s="72">
        <f>K$17</f>
        <v>-195.79577513000908</v>
      </c>
      <c r="M14" s="72">
        <f>U$24 - G14</f>
        <v>30.04359037355664</v>
      </c>
      <c r="N14" s="72">
        <f>U$10</f>
        <v>-140.81764995101059</v>
      </c>
      <c r="O14" s="54"/>
      <c r="Q14" s="50"/>
      <c r="R14" s="38" t="s">
        <v>22</v>
      </c>
      <c r="S14" s="51">
        <v>100</v>
      </c>
      <c r="T14" s="38" t="s">
        <v>23</v>
      </c>
      <c r="U14" s="52">
        <f>10*LOG(S14*1000)</f>
        <v>50</v>
      </c>
      <c r="V14" s="38" t="s">
        <v>25</v>
      </c>
      <c r="W14" s="38"/>
      <c r="X14" s="56"/>
      <c r="Y14" s="38"/>
      <c r="Z14" s="53"/>
      <c r="AA14" s="38"/>
      <c r="AB14" s="54"/>
    </row>
    <row r="15" spans="2:29" ht="18" x14ac:dyDescent="0.2">
      <c r="B15" s="50"/>
      <c r="C15" s="72" t="s">
        <v>15</v>
      </c>
      <c r="D15" s="55">
        <v>56000000</v>
      </c>
      <c r="E15" s="74">
        <f t="shared" ref="E15:E28" si="0">D15/150000000</f>
        <v>0.37333333333333335</v>
      </c>
      <c r="F15" s="55">
        <f>D15/300000/36000/24/365</f>
        <v>5.9191611703027224E-7</v>
      </c>
      <c r="G15" s="75">
        <f>20*LOG(G$6) + 20*LOG(D15) + 32.5</f>
        <v>240.23354567921677</v>
      </c>
      <c r="H15" s="73"/>
      <c r="J15" s="50"/>
      <c r="K15" s="72">
        <f>U$11-3</f>
        <v>-90.75784325146283</v>
      </c>
      <c r="L15" s="72">
        <f t="shared" ref="L15:L16" si="1">K$17</f>
        <v>-195.79577513000908</v>
      </c>
      <c r="M15" s="72">
        <f>U$24 - G15</f>
        <v>-13.233545679216775</v>
      </c>
      <c r="N15" s="72">
        <f>U$10</f>
        <v>-140.81764995101059</v>
      </c>
      <c r="O15" s="54"/>
      <c r="Q15" s="50"/>
      <c r="R15" s="38" t="s">
        <v>26</v>
      </c>
      <c r="S15" s="39">
        <v>16</v>
      </c>
      <c r="T15" s="38" t="s">
        <v>27</v>
      </c>
      <c r="U15" s="52">
        <f>S15</f>
        <v>16</v>
      </c>
      <c r="V15" s="38" t="s">
        <v>27</v>
      </c>
      <c r="W15" s="38"/>
      <c r="X15" s="76">
        <f>SQRT(41253/(POWER(10,U15/10)))</f>
        <v>32.190503406915624</v>
      </c>
      <c r="Y15" s="38" t="s">
        <v>39</v>
      </c>
      <c r="Z15" s="77">
        <f>PI() * (21/(G$6*0.001*X15)) * (21/(G$6*0.001*X15)) / 4</f>
        <v>1.7664218174040063</v>
      </c>
      <c r="AA15" s="38" t="s">
        <v>78</v>
      </c>
      <c r="AB15" s="54"/>
    </row>
    <row r="16" spans="2:29" x14ac:dyDescent="0.2">
      <c r="B16" s="50"/>
      <c r="C16" s="72" t="s">
        <v>61</v>
      </c>
      <c r="D16" s="55">
        <f>F16*300000*3600*24*365</f>
        <v>15137280000</v>
      </c>
      <c r="E16" s="74">
        <f t="shared" si="0"/>
        <v>100.9152</v>
      </c>
      <c r="F16" s="55">
        <v>1.6000000000000001E-3</v>
      </c>
      <c r="G16" s="75">
        <f>20*LOG(G$6) + 20*LOG(D16) + 32.5</f>
        <v>288.87074202531187</v>
      </c>
      <c r="H16" s="73"/>
      <c r="J16" s="50"/>
      <c r="K16" s="72">
        <f>U$11-20*LOG(E16)</f>
        <v>-127.83697495656831</v>
      </c>
      <c r="L16" s="72">
        <f t="shared" si="1"/>
        <v>-195.79577513000908</v>
      </c>
      <c r="M16" s="72">
        <f>U$24 - G16</f>
        <v>-61.87074202531187</v>
      </c>
      <c r="N16" s="72">
        <f>U$10</f>
        <v>-140.81764995101059</v>
      </c>
      <c r="O16" s="78"/>
      <c r="Q16" s="50"/>
      <c r="R16" s="38" t="s">
        <v>28</v>
      </c>
      <c r="S16" s="51">
        <v>1000000</v>
      </c>
      <c r="T16" s="38"/>
      <c r="U16" s="52">
        <f>10*LOG(S16)</f>
        <v>60</v>
      </c>
      <c r="V16" s="38" t="s">
        <v>4</v>
      </c>
      <c r="Z16" s="79">
        <f>2*SQRT(Z15/PI())</f>
        <v>1.4996926720504224</v>
      </c>
      <c r="AA16" s="17" t="s">
        <v>66</v>
      </c>
      <c r="AB16" s="54"/>
    </row>
    <row r="17" spans="2:28" x14ac:dyDescent="0.2">
      <c r="B17" s="50"/>
      <c r="C17" s="72" t="s">
        <v>5</v>
      </c>
      <c r="D17" s="55">
        <f t="shared" ref="D17:D28" si="2">F17*300000*3600*24*365</f>
        <v>37843200000000</v>
      </c>
      <c r="E17" s="74">
        <f t="shared" si="0"/>
        <v>252288</v>
      </c>
      <c r="F17" s="55">
        <v>4</v>
      </c>
      <c r="G17" s="75">
        <f>20*LOG(G$6) + 20*LOG(D17) + 32.5</f>
        <v>356.82954219875262</v>
      </c>
      <c r="H17" s="73"/>
      <c r="J17" s="50"/>
      <c r="K17" s="72">
        <f t="shared" ref="K17:K28" si="3">U$11-20*LOG(E17)</f>
        <v>-195.79577513000908</v>
      </c>
      <c r="L17" s="72">
        <f>U$11-U$20</f>
        <v>-148.75784325146282</v>
      </c>
      <c r="M17" s="72">
        <f>U$24 - G17</f>
        <v>-129.82954219875262</v>
      </c>
      <c r="N17" s="72">
        <f>U$10</f>
        <v>-140.81764995101059</v>
      </c>
      <c r="O17" s="78"/>
      <c r="Q17" s="50"/>
      <c r="Z17" s="79"/>
      <c r="AB17" s="54"/>
    </row>
    <row r="18" spans="2:28" x14ac:dyDescent="0.2">
      <c r="B18" s="50"/>
      <c r="C18" s="72"/>
      <c r="D18" s="55"/>
      <c r="E18" s="74"/>
      <c r="F18" s="55"/>
      <c r="G18" s="75"/>
      <c r="H18" s="73"/>
      <c r="J18" s="50"/>
      <c r="K18" s="72"/>
      <c r="L18" s="72"/>
      <c r="M18" s="72"/>
      <c r="N18" s="72"/>
      <c r="O18" s="78"/>
      <c r="Q18" s="50"/>
      <c r="R18" s="17" t="s">
        <v>42</v>
      </c>
      <c r="S18" s="65">
        <f>POWER(10,U18/10)</f>
        <v>3981071705534.9741</v>
      </c>
      <c r="T18" s="17" t="s">
        <v>23</v>
      </c>
      <c r="U18" s="60">
        <f>SUM(U14:U17)</f>
        <v>126</v>
      </c>
      <c r="V18" s="17" t="s">
        <v>25</v>
      </c>
      <c r="Z18" s="79"/>
      <c r="AB18" s="54"/>
    </row>
    <row r="19" spans="2:28" x14ac:dyDescent="0.2">
      <c r="B19" s="50"/>
      <c r="C19" s="72" t="s">
        <v>7</v>
      </c>
      <c r="D19" s="55">
        <f t="shared" si="2"/>
        <v>94608000000000</v>
      </c>
      <c r="E19" s="74">
        <f t="shared" si="0"/>
        <v>630720</v>
      </c>
      <c r="F19" s="55">
        <v>10</v>
      </c>
      <c r="G19" s="75">
        <f t="shared" ref="G19:G28" si="4">20*LOG(G$6) + 20*LOG(D19) + 32.5</f>
        <v>364.78834237219337</v>
      </c>
      <c r="H19" s="73"/>
      <c r="J19" s="50"/>
      <c r="K19" s="72">
        <f t="shared" si="3"/>
        <v>-203.75457530344983</v>
      </c>
      <c r="L19" s="72">
        <f t="shared" ref="L19:L28" si="5">U$11-U$20</f>
        <v>-148.75784325146282</v>
      </c>
      <c r="M19" s="72">
        <f t="shared" ref="M19:M28" si="6">U$24 - G19</f>
        <v>-137.78834237219337</v>
      </c>
      <c r="N19" s="72">
        <f t="shared" ref="N19:N28" si="7">U$10</f>
        <v>-140.81764995101059</v>
      </c>
      <c r="O19" s="78"/>
      <c r="Q19" s="50"/>
      <c r="Z19" s="79"/>
      <c r="AB19" s="54"/>
    </row>
    <row r="20" spans="2:28" ht="18" x14ac:dyDescent="0.2">
      <c r="B20" s="50"/>
      <c r="C20" s="72" t="s">
        <v>6</v>
      </c>
      <c r="D20" s="55">
        <f t="shared" si="2"/>
        <v>946080000000000</v>
      </c>
      <c r="E20" s="74">
        <f t="shared" si="0"/>
        <v>6307200</v>
      </c>
      <c r="F20" s="55">
        <v>100</v>
      </c>
      <c r="G20" s="75">
        <f t="shared" si="4"/>
        <v>384.78834237219337</v>
      </c>
      <c r="H20" s="73"/>
      <c r="J20" s="50"/>
      <c r="K20" s="72">
        <f t="shared" si="3"/>
        <v>-223.75457530344983</v>
      </c>
      <c r="L20" s="72">
        <f t="shared" si="5"/>
        <v>-148.75784325146282</v>
      </c>
      <c r="M20" s="72">
        <f t="shared" si="6"/>
        <v>-157.78834237219337</v>
      </c>
      <c r="N20" s="72">
        <f t="shared" si="7"/>
        <v>-140.81764995101059</v>
      </c>
      <c r="O20" s="78"/>
      <c r="Q20" s="50"/>
      <c r="R20" s="38" t="s">
        <v>30</v>
      </c>
      <c r="S20" s="39">
        <v>61</v>
      </c>
      <c r="T20" s="38" t="s">
        <v>27</v>
      </c>
      <c r="U20" s="52">
        <f>S20</f>
        <v>61</v>
      </c>
      <c r="V20" s="38" t="s">
        <v>27</v>
      </c>
      <c r="W20" s="38"/>
      <c r="X20" s="76">
        <f>SQRT(41253/(POWER(10,U20/10)))</f>
        <v>0.18102050344389381</v>
      </c>
      <c r="Y20" s="38" t="s">
        <v>39</v>
      </c>
      <c r="Z20" s="77">
        <f>PI() * (21/(G$6*0.001*X20)) * (21/(G$6*0.001*X20)) / 4</f>
        <v>55859.16251610715</v>
      </c>
      <c r="AA20" s="38" t="s">
        <v>78</v>
      </c>
      <c r="AB20" s="54"/>
    </row>
    <row r="21" spans="2:28" x14ac:dyDescent="0.2">
      <c r="B21" s="50"/>
      <c r="C21" s="72" t="s">
        <v>8</v>
      </c>
      <c r="D21" s="55">
        <f t="shared" si="2"/>
        <v>9460800000000000</v>
      </c>
      <c r="E21" s="74">
        <f t="shared" si="0"/>
        <v>63072000</v>
      </c>
      <c r="F21" s="55">
        <v>1000</v>
      </c>
      <c r="G21" s="75">
        <f t="shared" si="4"/>
        <v>404.78834237219337</v>
      </c>
      <c r="H21" s="73"/>
      <c r="J21" s="50"/>
      <c r="K21" s="72">
        <f t="shared" si="3"/>
        <v>-243.75457530344983</v>
      </c>
      <c r="L21" s="72">
        <f t="shared" si="5"/>
        <v>-148.75784325146282</v>
      </c>
      <c r="M21" s="72">
        <f t="shared" si="6"/>
        <v>-177.78834237219337</v>
      </c>
      <c r="N21" s="72">
        <f t="shared" si="7"/>
        <v>-140.81764995101059</v>
      </c>
      <c r="O21" s="78"/>
      <c r="Q21" s="50"/>
      <c r="R21" s="38" t="s">
        <v>37</v>
      </c>
      <c r="S21" s="51">
        <v>1</v>
      </c>
      <c r="T21" s="38"/>
      <c r="U21" s="52">
        <f>10*LOG(S21)</f>
        <v>0</v>
      </c>
      <c r="V21" s="38" t="s">
        <v>4</v>
      </c>
      <c r="Z21" s="79">
        <f>2*SQRT(Z20/PI())</f>
        <v>266.68726000935203</v>
      </c>
      <c r="AA21" s="17" t="s">
        <v>66</v>
      </c>
      <c r="AB21" s="54"/>
    </row>
    <row r="22" spans="2:28" x14ac:dyDescent="0.2">
      <c r="B22" s="50"/>
      <c r="C22" s="72" t="s">
        <v>9</v>
      </c>
      <c r="D22" s="55">
        <f t="shared" si="2"/>
        <v>9.4608E+16</v>
      </c>
      <c r="E22" s="74">
        <f t="shared" si="0"/>
        <v>630720000</v>
      </c>
      <c r="F22" s="55">
        <v>10000</v>
      </c>
      <c r="G22" s="75">
        <f t="shared" si="4"/>
        <v>424.78834237219337</v>
      </c>
      <c r="H22" s="73"/>
      <c r="J22" s="50"/>
      <c r="K22" s="72">
        <f t="shared" si="3"/>
        <v>-263.75457530344983</v>
      </c>
      <c r="L22" s="72">
        <f t="shared" si="5"/>
        <v>-148.75784325146282</v>
      </c>
      <c r="M22" s="72">
        <f t="shared" si="6"/>
        <v>-197.78834237219337</v>
      </c>
      <c r="N22" s="72">
        <f t="shared" si="7"/>
        <v>-140.81764995101059</v>
      </c>
      <c r="O22" s="78"/>
      <c r="Q22" s="50"/>
      <c r="R22" s="38" t="s">
        <v>29</v>
      </c>
      <c r="S22" s="51">
        <v>10000</v>
      </c>
      <c r="T22" s="38"/>
      <c r="U22" s="52">
        <f>10*LOG(S22)</f>
        <v>40</v>
      </c>
      <c r="V22" s="38" t="s">
        <v>4</v>
      </c>
      <c r="W22" s="38"/>
      <c r="X22" s="56"/>
      <c r="Y22" s="38"/>
      <c r="Z22" s="77"/>
      <c r="AA22" s="38"/>
      <c r="AB22" s="54"/>
    </row>
    <row r="23" spans="2:28" x14ac:dyDescent="0.2">
      <c r="B23" s="50"/>
      <c r="C23" s="72" t="s">
        <v>10</v>
      </c>
      <c r="D23" s="55">
        <f t="shared" si="2"/>
        <v>9.4608E+17</v>
      </c>
      <c r="E23" s="74">
        <f t="shared" si="0"/>
        <v>6307200000</v>
      </c>
      <c r="F23" s="55">
        <v>100000</v>
      </c>
      <c r="G23" s="75">
        <f t="shared" si="4"/>
        <v>444.78834237219337</v>
      </c>
      <c r="H23" s="73"/>
      <c r="J23" s="50"/>
      <c r="K23" s="72">
        <f t="shared" si="3"/>
        <v>-283.75457530344983</v>
      </c>
      <c r="L23" s="72">
        <f t="shared" si="5"/>
        <v>-148.75784325146282</v>
      </c>
      <c r="M23" s="72">
        <f t="shared" si="6"/>
        <v>-217.78834237219337</v>
      </c>
      <c r="N23" s="72">
        <f t="shared" si="7"/>
        <v>-140.81764995101059</v>
      </c>
      <c r="O23" s="78"/>
      <c r="Q23" s="50"/>
      <c r="W23" s="38"/>
      <c r="X23" s="56"/>
      <c r="Y23" s="38"/>
      <c r="Z23" s="77"/>
      <c r="AA23" s="38"/>
      <c r="AB23" s="54"/>
    </row>
    <row r="24" spans="2:28" x14ac:dyDescent="0.2">
      <c r="B24" s="50"/>
      <c r="C24" s="72" t="s">
        <v>11</v>
      </c>
      <c r="D24" s="55">
        <f t="shared" si="2"/>
        <v>9.4608E+18</v>
      </c>
      <c r="E24" s="74">
        <f t="shared" si="0"/>
        <v>63072000000</v>
      </c>
      <c r="F24" s="55">
        <v>1000000</v>
      </c>
      <c r="G24" s="75">
        <f t="shared" si="4"/>
        <v>464.78834237219337</v>
      </c>
      <c r="H24" s="73"/>
      <c r="J24" s="50"/>
      <c r="K24" s="72">
        <f t="shared" si="3"/>
        <v>-303.75457530344983</v>
      </c>
      <c r="L24" s="72">
        <f t="shared" si="5"/>
        <v>-148.75784325146282</v>
      </c>
      <c r="M24" s="72">
        <f t="shared" si="6"/>
        <v>-237.78834237219337</v>
      </c>
      <c r="N24" s="72">
        <f t="shared" si="7"/>
        <v>-140.81764995101059</v>
      </c>
      <c r="O24" s="78"/>
      <c r="Q24" s="50"/>
      <c r="R24" s="38" t="s">
        <v>52</v>
      </c>
      <c r="S24" s="38"/>
      <c r="T24" s="38"/>
      <c r="U24" s="52">
        <f>SUM(U18:U22)</f>
        <v>227</v>
      </c>
      <c r="V24" s="38" t="s">
        <v>25</v>
      </c>
      <c r="W24" s="38"/>
      <c r="X24" s="56"/>
      <c r="Y24" s="38"/>
      <c r="Z24" s="53"/>
      <c r="AA24" s="38"/>
      <c r="AB24" s="54"/>
    </row>
    <row r="25" spans="2:28" x14ac:dyDescent="0.2">
      <c r="B25" s="50"/>
      <c r="C25" s="72" t="s">
        <v>12</v>
      </c>
      <c r="D25" s="55">
        <f t="shared" si="2"/>
        <v>9.4608E+19</v>
      </c>
      <c r="E25" s="74">
        <f t="shared" si="0"/>
        <v>630720000000</v>
      </c>
      <c r="F25" s="55">
        <v>10000000</v>
      </c>
      <c r="G25" s="75">
        <f t="shared" si="4"/>
        <v>484.78834237219337</v>
      </c>
      <c r="H25" s="73"/>
      <c r="J25" s="50"/>
      <c r="K25" s="72">
        <f t="shared" si="3"/>
        <v>-323.75457530344983</v>
      </c>
      <c r="L25" s="72">
        <f t="shared" si="5"/>
        <v>-148.75784325146282</v>
      </c>
      <c r="M25" s="72">
        <f t="shared" si="6"/>
        <v>-257.78834237219337</v>
      </c>
      <c r="N25" s="72">
        <f t="shared" si="7"/>
        <v>-140.81764995101059</v>
      </c>
      <c r="O25" s="78"/>
      <c r="Q25" s="50"/>
      <c r="T25" s="38"/>
      <c r="U25" s="52"/>
      <c r="V25" s="38"/>
      <c r="W25" s="38"/>
      <c r="X25" s="56"/>
      <c r="Y25" s="38"/>
      <c r="Z25" s="53"/>
      <c r="AA25" s="38"/>
      <c r="AB25" s="54"/>
    </row>
    <row r="26" spans="2:28" x14ac:dyDescent="0.2">
      <c r="B26" s="50"/>
      <c r="C26" s="72" t="s">
        <v>13</v>
      </c>
      <c r="D26" s="55">
        <f t="shared" si="2"/>
        <v>9.4608E+20</v>
      </c>
      <c r="E26" s="74">
        <f t="shared" si="0"/>
        <v>6307200000000</v>
      </c>
      <c r="F26" s="55">
        <v>100000000</v>
      </c>
      <c r="G26" s="75">
        <f t="shared" si="4"/>
        <v>504.78834237219337</v>
      </c>
      <c r="H26" s="73"/>
      <c r="J26" s="50"/>
      <c r="K26" s="72">
        <f t="shared" si="3"/>
        <v>-343.75457530344983</v>
      </c>
      <c r="L26" s="72">
        <f t="shared" si="5"/>
        <v>-148.75784325146282</v>
      </c>
      <c r="M26" s="72">
        <f t="shared" si="6"/>
        <v>-277.78834237219337</v>
      </c>
      <c r="N26" s="72">
        <f t="shared" si="7"/>
        <v>-140.81764995101059</v>
      </c>
      <c r="O26" s="78"/>
      <c r="Q26" s="50"/>
      <c r="R26" s="38" t="s">
        <v>41</v>
      </c>
      <c r="S26" s="39">
        <v>16</v>
      </c>
      <c r="T26" s="38"/>
      <c r="U26" s="52"/>
      <c r="V26" s="38"/>
      <c r="W26" s="38"/>
      <c r="X26" s="56"/>
      <c r="Y26" s="38"/>
      <c r="Z26" s="53"/>
      <c r="AA26" s="38"/>
      <c r="AB26" s="54"/>
    </row>
    <row r="27" spans="2:28" x14ac:dyDescent="0.2">
      <c r="B27" s="50"/>
      <c r="C27" s="72" t="s">
        <v>14</v>
      </c>
      <c r="D27" s="55">
        <f t="shared" si="2"/>
        <v>9.4608E+21</v>
      </c>
      <c r="E27" s="74">
        <f t="shared" si="0"/>
        <v>63072000000000</v>
      </c>
      <c r="F27" s="55">
        <v>1000000000</v>
      </c>
      <c r="G27" s="75">
        <f t="shared" si="4"/>
        <v>524.78834237219337</v>
      </c>
      <c r="H27" s="73"/>
      <c r="J27" s="50"/>
      <c r="K27" s="72">
        <f t="shared" si="3"/>
        <v>-363.75457530344983</v>
      </c>
      <c r="L27" s="72">
        <f t="shared" si="5"/>
        <v>-148.75784325146282</v>
      </c>
      <c r="M27" s="72">
        <f t="shared" si="6"/>
        <v>-297.78834237219337</v>
      </c>
      <c r="N27" s="72">
        <f t="shared" si="7"/>
        <v>-140.81764995101059</v>
      </c>
      <c r="O27" s="78"/>
      <c r="Q27" s="50"/>
      <c r="R27" s="38" t="s">
        <v>35</v>
      </c>
      <c r="S27" s="80">
        <f>0.5 * S26 *S7 /S22</f>
        <v>2.4</v>
      </c>
      <c r="T27" s="38" t="s">
        <v>45</v>
      </c>
      <c r="U27" s="81">
        <f>S27*3600*24/8</f>
        <v>25920</v>
      </c>
      <c r="V27" s="38" t="s">
        <v>47</v>
      </c>
      <c r="W27" s="38"/>
      <c r="X27" s="81">
        <f>S27*3600*24*360/8</f>
        <v>9331200</v>
      </c>
      <c r="Y27" s="38" t="s">
        <v>46</v>
      </c>
      <c r="Z27" s="53"/>
      <c r="AA27" s="38"/>
      <c r="AB27" s="54"/>
    </row>
    <row r="28" spans="2:28" x14ac:dyDescent="0.2">
      <c r="B28" s="50"/>
      <c r="C28" s="72" t="s">
        <v>17</v>
      </c>
      <c r="D28" s="55">
        <f t="shared" si="2"/>
        <v>9.4607999999999996E+22</v>
      </c>
      <c r="E28" s="74">
        <f t="shared" si="0"/>
        <v>630720000000000</v>
      </c>
      <c r="F28" s="55">
        <v>10000000000</v>
      </c>
      <c r="G28" s="75">
        <f t="shared" si="4"/>
        <v>544.78834237219337</v>
      </c>
      <c r="H28" s="73"/>
      <c r="J28" s="50"/>
      <c r="K28" s="72">
        <f t="shared" si="3"/>
        <v>-383.75457530344983</v>
      </c>
      <c r="L28" s="72">
        <f t="shared" si="5"/>
        <v>-148.75784325146282</v>
      </c>
      <c r="M28" s="72">
        <f t="shared" si="6"/>
        <v>-317.78834237219337</v>
      </c>
      <c r="N28" s="72">
        <f t="shared" si="7"/>
        <v>-140.81764995101059</v>
      </c>
      <c r="O28" s="78"/>
      <c r="Q28" s="50"/>
      <c r="R28" s="38" t="s">
        <v>55</v>
      </c>
      <c r="S28" s="53">
        <v>1.5</v>
      </c>
      <c r="T28" s="38" t="s">
        <v>53</v>
      </c>
      <c r="U28" s="81">
        <f>S16*S28*S14*24*365/1000/X27</f>
        <v>140.8179012345679</v>
      </c>
      <c r="V28" s="38" t="s">
        <v>54</v>
      </c>
      <c r="W28" s="38"/>
      <c r="X28" s="81">
        <f>1000000*U28</f>
        <v>140817901.23456791</v>
      </c>
      <c r="Y28" s="17" t="s">
        <v>65</v>
      </c>
      <c r="Z28" s="53"/>
      <c r="AA28" s="38"/>
      <c r="AB28" s="54"/>
    </row>
    <row r="29" spans="2:28" ht="17" thickBot="1" x14ac:dyDescent="0.25">
      <c r="B29" s="47"/>
      <c r="C29" s="82"/>
      <c r="D29" s="83"/>
      <c r="E29" s="84"/>
      <c r="F29" s="83"/>
      <c r="G29" s="45"/>
      <c r="H29" s="46"/>
      <c r="J29" s="47"/>
      <c r="K29" s="48"/>
      <c r="L29" s="48"/>
      <c r="M29" s="48"/>
      <c r="N29" s="48"/>
      <c r="O29" s="49"/>
      <c r="Q29" s="47"/>
      <c r="R29" s="82"/>
      <c r="S29" s="82"/>
      <c r="T29" s="82"/>
      <c r="U29" s="85"/>
      <c r="V29" s="82"/>
      <c r="W29" s="82"/>
      <c r="X29" s="45"/>
      <c r="Y29" s="82"/>
      <c r="Z29" s="86"/>
      <c r="AA29" s="82"/>
      <c r="AB29" s="49"/>
    </row>
  </sheetData>
  <sheetProtection sheet="1" formatColumns="0" formatRows="0"/>
  <conditionalFormatting sqref="K14">
    <cfRule type="expression" dxfId="17" priority="15">
      <formula>$K14&gt;$M14</formula>
    </cfRule>
  </conditionalFormatting>
  <conditionalFormatting sqref="L14">
    <cfRule type="expression" dxfId="16" priority="14">
      <formula>$L14&gt;$M14</formula>
    </cfRule>
  </conditionalFormatting>
  <conditionalFormatting sqref="N14">
    <cfRule type="expression" dxfId="15" priority="13">
      <formula>$N14&gt;$M14</formula>
    </cfRule>
  </conditionalFormatting>
  <conditionalFormatting sqref="M14">
    <cfRule type="expression" dxfId="14" priority="8">
      <formula>AND($M14&gt;$K14,$M14&gt;$L14,$M14&gt;$N14)</formula>
    </cfRule>
  </conditionalFormatting>
  <conditionalFormatting sqref="M15:M28">
    <cfRule type="expression" dxfId="13" priority="5">
      <formula>AND($M15&gt;$K15,$M15&gt;$L15,$M15&gt;$N15)</formula>
    </cfRule>
  </conditionalFormatting>
  <conditionalFormatting sqref="C14:C28">
    <cfRule type="expression" dxfId="12" priority="4">
      <formula>AND($M14&gt;$K14,$M14&gt;$L14,$M14&gt;$N14)</formula>
    </cfRule>
  </conditionalFormatting>
  <conditionalFormatting sqref="L15:L28">
    <cfRule type="expression" dxfId="11" priority="3">
      <formula>$L15&gt;$M15</formula>
    </cfRule>
  </conditionalFormatting>
  <conditionalFormatting sqref="K15:K28">
    <cfRule type="expression" dxfId="10" priority="2">
      <formula>$K15&gt;$M15</formula>
    </cfRule>
  </conditionalFormatting>
  <conditionalFormatting sqref="N15:N28">
    <cfRule type="expression" dxfId="9" priority="1">
      <formula>$N15&gt;$M15</formula>
    </cfRule>
  </conditionalFormatting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0102-E4AA-554A-8B5C-FD23884F9535}">
  <dimension ref="B2:AC29"/>
  <sheetViews>
    <sheetView zoomScale="180" zoomScaleNormal="180" workbookViewId="0">
      <selection activeCell="X28" sqref="X28"/>
    </sheetView>
  </sheetViews>
  <sheetFormatPr baseColWidth="10" defaultRowHeight="16" outlineLevelCol="1" x14ac:dyDescent="0.2"/>
  <cols>
    <col min="1" max="1" width="1" style="17" customWidth="1"/>
    <col min="2" max="2" width="1.83203125" style="17" customWidth="1"/>
    <col min="3" max="3" width="25.33203125" style="17" customWidth="1"/>
    <col min="4" max="4" width="32.1640625" style="18" hidden="1" customWidth="1" outlineLevel="1"/>
    <col min="5" max="5" width="25.6640625" style="19" hidden="1" customWidth="1" outlineLevel="1"/>
    <col min="6" max="6" width="18.1640625" style="18" customWidth="1" collapsed="1"/>
    <col min="7" max="7" width="8.6640625" style="58" customWidth="1"/>
    <col min="8" max="8" width="1.5" style="58" customWidth="1"/>
    <col min="9" max="9" width="1.6640625" style="17" customWidth="1"/>
    <col min="10" max="10" width="1.1640625" style="17" customWidth="1"/>
    <col min="11" max="14" width="9.1640625" style="57" customWidth="1"/>
    <col min="15" max="15" width="1.1640625" style="17" customWidth="1"/>
    <col min="16" max="16" width="1.6640625" style="17" customWidth="1"/>
    <col min="17" max="17" width="1.33203125" style="17" customWidth="1"/>
    <col min="18" max="18" width="26.1640625" style="17" customWidth="1"/>
    <col min="19" max="19" width="11.33203125" style="17" customWidth="1"/>
    <col min="20" max="20" width="6.5" style="17" customWidth="1"/>
    <col min="21" max="21" width="8.6640625" style="60" customWidth="1"/>
    <col min="22" max="22" width="4.6640625" style="17" customWidth="1"/>
    <col min="23" max="23" width="1.1640625" style="17" customWidth="1"/>
    <col min="24" max="24" width="9.83203125" style="58" customWidth="1"/>
    <col min="25" max="25" width="2" style="17" customWidth="1"/>
    <col min="26" max="26" width="8" style="61" customWidth="1"/>
    <col min="27" max="27" width="2.5" style="17" customWidth="1"/>
    <col min="28" max="28" width="1.5" style="17" customWidth="1"/>
    <col min="29" max="16384" width="10.83203125" style="17"/>
  </cols>
  <sheetData>
    <row r="2" spans="2:29" s="1" customFormat="1" ht="20" x14ac:dyDescent="0.2">
      <c r="D2" s="2"/>
      <c r="E2" s="3"/>
      <c r="F2" s="1" t="s">
        <v>49</v>
      </c>
      <c r="K2" s="4" t="s">
        <v>43</v>
      </c>
      <c r="L2" s="4"/>
      <c r="M2" s="5"/>
      <c r="N2" s="5"/>
      <c r="R2" s="1" t="s">
        <v>48</v>
      </c>
      <c r="U2" s="6"/>
      <c r="X2" s="7"/>
      <c r="Z2" s="8"/>
    </row>
    <row r="4" spans="2:29" s="9" customFormat="1" ht="17" thickBot="1" x14ac:dyDescent="0.25">
      <c r="D4" s="10"/>
      <c r="E4" s="11"/>
      <c r="F4" s="10"/>
      <c r="G4" s="12" t="s">
        <v>19</v>
      </c>
      <c r="H4" s="13"/>
      <c r="K4" s="14"/>
      <c r="L4" s="14"/>
      <c r="M4" s="14"/>
      <c r="N4" s="14" t="s">
        <v>44</v>
      </c>
      <c r="S4" s="13" t="s">
        <v>19</v>
      </c>
      <c r="T4" s="13"/>
      <c r="U4" s="15" t="s">
        <v>20</v>
      </c>
      <c r="X4" s="13"/>
      <c r="Z4" s="16"/>
    </row>
    <row r="5" spans="2:29" x14ac:dyDescent="0.2">
      <c r="F5" s="20"/>
      <c r="G5" s="21"/>
      <c r="H5" s="22"/>
      <c r="J5" s="23"/>
      <c r="K5" s="24"/>
      <c r="L5" s="24"/>
      <c r="M5" s="24"/>
      <c r="N5" s="24"/>
      <c r="O5" s="25"/>
      <c r="Q5" s="23"/>
      <c r="R5" s="26"/>
      <c r="S5" s="26"/>
      <c r="T5" s="26"/>
      <c r="U5" s="27"/>
      <c r="V5" s="26"/>
      <c r="W5" s="26"/>
      <c r="X5" s="21"/>
      <c r="Y5" s="26"/>
      <c r="Z5" s="28"/>
      <c r="AA5" s="26"/>
      <c r="AB5" s="25"/>
    </row>
    <row r="6" spans="2:29" s="29" customFormat="1" x14ac:dyDescent="0.2">
      <c r="D6" s="30"/>
      <c r="E6" s="31"/>
      <c r="F6" s="32" t="s">
        <v>18</v>
      </c>
      <c r="G6" s="33">
        <v>700</v>
      </c>
      <c r="H6" s="34"/>
      <c r="J6" s="35"/>
      <c r="K6" s="36" t="s">
        <v>63</v>
      </c>
      <c r="L6" s="36" t="s">
        <v>62</v>
      </c>
      <c r="M6" s="36"/>
      <c r="N6" s="36" t="s">
        <v>24</v>
      </c>
      <c r="O6" s="37"/>
      <c r="Q6" s="35"/>
      <c r="R6" s="38" t="s">
        <v>31</v>
      </c>
      <c r="S6" s="39">
        <v>50</v>
      </c>
      <c r="T6" s="38" t="s">
        <v>34</v>
      </c>
      <c r="U6" s="40"/>
      <c r="V6" s="41"/>
      <c r="W6" s="41"/>
      <c r="X6" s="42" t="s">
        <v>51</v>
      </c>
      <c r="Y6" s="41"/>
      <c r="Z6" s="43"/>
      <c r="AA6" s="41"/>
      <c r="AB6" s="37"/>
    </row>
    <row r="7" spans="2:29" ht="17" thickBot="1" x14ac:dyDescent="0.25">
      <c r="B7" s="9" t="s">
        <v>21</v>
      </c>
      <c r="F7" s="44"/>
      <c r="G7" s="45"/>
      <c r="H7" s="46"/>
      <c r="J7" s="47"/>
      <c r="K7" s="48"/>
      <c r="L7" s="48"/>
      <c r="M7" s="48"/>
      <c r="N7" s="48"/>
      <c r="O7" s="49"/>
      <c r="Q7" s="50"/>
      <c r="R7" s="38" t="s">
        <v>32</v>
      </c>
      <c r="S7" s="51">
        <v>100</v>
      </c>
      <c r="T7" s="38" t="s">
        <v>33</v>
      </c>
      <c r="U7" s="52"/>
      <c r="V7" s="38"/>
      <c r="W7" s="38"/>
      <c r="X7" s="42" t="s">
        <v>51</v>
      </c>
      <c r="Y7" s="38"/>
      <c r="Z7" s="53"/>
      <c r="AA7" s="38"/>
      <c r="AB7" s="54"/>
    </row>
    <row r="8" spans="2:29" x14ac:dyDescent="0.2">
      <c r="F8" s="55"/>
      <c r="G8" s="56"/>
      <c r="H8" s="56"/>
      <c r="Q8" s="50"/>
      <c r="R8" s="38" t="s">
        <v>38</v>
      </c>
      <c r="S8" s="38">
        <v>2.7349999999999999</v>
      </c>
      <c r="T8" s="38" t="s">
        <v>34</v>
      </c>
      <c r="U8" s="52"/>
      <c r="V8" s="38"/>
      <c r="W8" s="38"/>
      <c r="X8" s="42" t="s">
        <v>50</v>
      </c>
      <c r="Y8" s="38"/>
      <c r="Z8" s="53"/>
      <c r="AA8" s="38"/>
      <c r="AB8" s="54"/>
    </row>
    <row r="9" spans="2:29" ht="17" thickBot="1" x14ac:dyDescent="0.25">
      <c r="C9" s="9"/>
      <c r="F9" s="10"/>
      <c r="G9" s="10" t="s">
        <v>20</v>
      </c>
      <c r="M9" s="59"/>
      <c r="N9" s="59" t="s">
        <v>20</v>
      </c>
      <c r="Q9" s="50"/>
      <c r="AB9" s="54"/>
    </row>
    <row r="10" spans="2:29" x14ac:dyDescent="0.2">
      <c r="B10" s="23"/>
      <c r="C10" s="26"/>
      <c r="D10" s="62"/>
      <c r="E10" s="63"/>
      <c r="F10" s="62"/>
      <c r="G10" s="64"/>
      <c r="H10" s="22"/>
      <c r="J10" s="23"/>
      <c r="K10" s="24"/>
      <c r="L10" s="24"/>
      <c r="M10" s="24"/>
      <c r="N10" s="24"/>
      <c r="O10" s="25"/>
      <c r="Q10" s="50"/>
      <c r="R10" s="17" t="s">
        <v>36</v>
      </c>
      <c r="S10" s="65">
        <f xml:space="preserve"> 4*1.3806505*POWER(10,-23)*S6*S7</f>
        <v>2.7613010000000004E-19</v>
      </c>
      <c r="T10" s="38" t="s">
        <v>23</v>
      </c>
      <c r="U10" s="60">
        <f>10*LOG(S10*1000)</f>
        <v>-155.58886249820722</v>
      </c>
      <c r="V10" s="38" t="s">
        <v>25</v>
      </c>
      <c r="W10" s="38"/>
      <c r="X10" s="42" t="s">
        <v>51</v>
      </c>
      <c r="Y10" s="38"/>
      <c r="Z10" s="53"/>
      <c r="AA10" s="38"/>
      <c r="AB10" s="54"/>
    </row>
    <row r="11" spans="2:29" s="29" customFormat="1" x14ac:dyDescent="0.2">
      <c r="B11" s="35"/>
      <c r="C11" s="41" t="s">
        <v>56</v>
      </c>
      <c r="D11" s="66" t="s">
        <v>0</v>
      </c>
      <c r="E11" s="67" t="s">
        <v>0</v>
      </c>
      <c r="F11" s="66" t="s">
        <v>0</v>
      </c>
      <c r="G11" s="68" t="s">
        <v>24</v>
      </c>
      <c r="H11" s="34"/>
      <c r="J11" s="35"/>
      <c r="K11" s="36" t="s">
        <v>58</v>
      </c>
      <c r="L11" s="36" t="s">
        <v>64</v>
      </c>
      <c r="M11" s="36" t="s">
        <v>59</v>
      </c>
      <c r="N11" s="36" t="s">
        <v>60</v>
      </c>
      <c r="O11" s="37"/>
      <c r="Q11" s="50"/>
      <c r="R11" s="38" t="s">
        <v>40</v>
      </c>
      <c r="S11" s="65">
        <f xml:space="preserve"> 1E-20 *Z20 *S7</f>
        <v>1.7134713767670308E-15</v>
      </c>
      <c r="T11" s="38" t="s">
        <v>23</v>
      </c>
      <c r="U11" s="52">
        <f>10*LOG(S11*1000)</f>
        <v>-117.66123145985185</v>
      </c>
      <c r="V11" s="38" t="s">
        <v>25</v>
      </c>
      <c r="X11" s="42" t="s">
        <v>50</v>
      </c>
      <c r="Y11" s="38"/>
      <c r="Z11" s="53"/>
      <c r="AA11" s="38"/>
      <c r="AB11" s="54"/>
      <c r="AC11" s="17"/>
    </row>
    <row r="12" spans="2:29" x14ac:dyDescent="0.2">
      <c r="B12" s="50"/>
      <c r="C12" s="38" t="s">
        <v>57</v>
      </c>
      <c r="D12" s="69" t="s">
        <v>3</v>
      </c>
      <c r="E12" s="70" t="s">
        <v>16</v>
      </c>
      <c r="F12" s="69" t="s">
        <v>2</v>
      </c>
      <c r="G12" s="56" t="s">
        <v>4</v>
      </c>
      <c r="H12" s="71"/>
      <c r="J12" s="50"/>
      <c r="K12" s="72" t="s">
        <v>25</v>
      </c>
      <c r="L12" s="72" t="s">
        <v>25</v>
      </c>
      <c r="M12" s="72" t="s">
        <v>25</v>
      </c>
      <c r="N12" s="72" t="s">
        <v>25</v>
      </c>
      <c r="O12" s="73"/>
      <c r="Q12" s="50"/>
      <c r="AB12" s="54"/>
    </row>
    <row r="13" spans="2:29" x14ac:dyDescent="0.2">
      <c r="B13" s="50"/>
      <c r="C13" s="38"/>
      <c r="D13" s="69"/>
      <c r="E13" s="70"/>
      <c r="F13" s="69"/>
      <c r="G13" s="56"/>
      <c r="H13" s="71"/>
      <c r="J13" s="50"/>
      <c r="K13" s="72"/>
      <c r="L13" s="72"/>
      <c r="M13" s="72"/>
      <c r="N13" s="72"/>
      <c r="O13" s="54"/>
      <c r="Q13" s="50"/>
      <c r="AB13" s="54"/>
    </row>
    <row r="14" spans="2:29" x14ac:dyDescent="0.2">
      <c r="B14" s="50"/>
      <c r="C14" s="72" t="s">
        <v>1</v>
      </c>
      <c r="D14" s="55">
        <v>384000</v>
      </c>
      <c r="E14" s="74">
        <f>D14/150000000</f>
        <v>2.5600000000000002E-3</v>
      </c>
      <c r="F14" s="55">
        <f>D14/300000/36000/24/365</f>
        <v>4.058853373921867E-9</v>
      </c>
      <c r="G14" s="75">
        <f>20*LOG(G$6) + 20*LOG(D14) + 32.5</f>
        <v>201.08858528763574</v>
      </c>
      <c r="H14" s="73"/>
      <c r="J14" s="50"/>
      <c r="K14" s="72">
        <f>U$11</f>
        <v>-117.66123145985185</v>
      </c>
      <c r="L14" s="72">
        <f>K$17</f>
        <v>-225.69916333839808</v>
      </c>
      <c r="M14" s="72">
        <f>U$24 - G14</f>
        <v>78.911414712364262</v>
      </c>
      <c r="N14" s="72">
        <f>U$10</f>
        <v>-155.58886249820722</v>
      </c>
      <c r="O14" s="54"/>
      <c r="Q14" s="50"/>
      <c r="R14" s="38" t="s">
        <v>22</v>
      </c>
      <c r="S14" s="51">
        <v>100000000</v>
      </c>
      <c r="T14" s="38" t="s">
        <v>23</v>
      </c>
      <c r="U14" s="52">
        <f>10*LOG(S14*1000)</f>
        <v>110</v>
      </c>
      <c r="V14" s="38" t="s">
        <v>25</v>
      </c>
      <c r="W14" s="38"/>
      <c r="X14" s="56"/>
      <c r="Y14" s="38"/>
      <c r="Z14" s="53"/>
      <c r="AA14" s="38"/>
      <c r="AB14" s="54"/>
    </row>
    <row r="15" spans="2:29" ht="18" x14ac:dyDescent="0.2">
      <c r="B15" s="50"/>
      <c r="C15" s="72" t="s">
        <v>15</v>
      </c>
      <c r="D15" s="55">
        <v>56000000</v>
      </c>
      <c r="E15" s="74">
        <f t="shared" ref="E15:E28" si="0">D15/150000000</f>
        <v>0.37333333333333335</v>
      </c>
      <c r="F15" s="55">
        <f>D15/300000/36000/24/365</f>
        <v>5.9191611703027224E-7</v>
      </c>
      <c r="G15" s="75">
        <f>20*LOG(G$6) + 20*LOG(D15) + 32.5</f>
        <v>244.36572134040915</v>
      </c>
      <c r="H15" s="73"/>
      <c r="J15" s="50"/>
      <c r="K15" s="72">
        <f>U$11-3</f>
        <v>-120.66123145985185</v>
      </c>
      <c r="L15" s="72">
        <f t="shared" ref="L15:L16" si="1">K$17</f>
        <v>-225.69916333839808</v>
      </c>
      <c r="M15" s="72">
        <f>U$24 - G15</f>
        <v>35.634278659590848</v>
      </c>
      <c r="N15" s="72">
        <f>U$10</f>
        <v>-155.58886249820722</v>
      </c>
      <c r="O15" s="54"/>
      <c r="Q15" s="50"/>
      <c r="R15" s="38" t="s">
        <v>26</v>
      </c>
      <c r="S15" s="39">
        <v>50</v>
      </c>
      <c r="T15" s="38" t="s">
        <v>27</v>
      </c>
      <c r="U15" s="52">
        <f>S15</f>
        <v>50</v>
      </c>
      <c r="V15" s="38" t="s">
        <v>27</v>
      </c>
      <c r="W15" s="38"/>
      <c r="X15" s="76">
        <f>SQRT(41253/(POWER(10,U15/10)))</f>
        <v>0.64228498347696095</v>
      </c>
      <c r="Y15" s="38" t="s">
        <v>39</v>
      </c>
      <c r="Z15" s="77">
        <f>PI() * (21/(G$6*0.001*X15)) * (21/(G$6*0.001*X15)) / 4</f>
        <v>1713.4713767670307</v>
      </c>
      <c r="AA15" s="38" t="s">
        <v>78</v>
      </c>
      <c r="AB15" s="54"/>
    </row>
    <row r="16" spans="2:29" x14ac:dyDescent="0.2">
      <c r="B16" s="50"/>
      <c r="C16" s="72" t="s">
        <v>61</v>
      </c>
      <c r="D16" s="55">
        <f>F16*300000*3600*24*365</f>
        <v>15137280000</v>
      </c>
      <c r="E16" s="74">
        <f t="shared" si="0"/>
        <v>100.9152</v>
      </c>
      <c r="F16" s="55">
        <v>1.6000000000000001E-3</v>
      </c>
      <c r="G16" s="75">
        <f>20*LOG(G$6) + 20*LOG(D16) + 32.5</f>
        <v>293.00291768650425</v>
      </c>
      <c r="H16" s="73"/>
      <c r="J16" s="50"/>
      <c r="K16" s="72">
        <f>U$11-20*LOG(E16)</f>
        <v>-157.74036316495733</v>
      </c>
      <c r="L16" s="72">
        <f t="shared" si="1"/>
        <v>-225.69916333839808</v>
      </c>
      <c r="M16" s="72">
        <f>U$24 - G16</f>
        <v>-13.002917686504247</v>
      </c>
      <c r="N16" s="72">
        <f>U$10</f>
        <v>-155.58886249820722</v>
      </c>
      <c r="O16" s="78"/>
      <c r="Q16" s="50"/>
      <c r="R16" s="38" t="s">
        <v>28</v>
      </c>
      <c r="S16" s="51">
        <v>10</v>
      </c>
      <c r="T16" s="38"/>
      <c r="U16" s="52">
        <f>10*LOG(S16)</f>
        <v>10</v>
      </c>
      <c r="V16" s="38" t="s">
        <v>4</v>
      </c>
      <c r="Z16" s="79">
        <f>2*SQRT(Z15/PI())</f>
        <v>46.708238199182667</v>
      </c>
      <c r="AA16" s="17" t="s">
        <v>66</v>
      </c>
      <c r="AB16" s="54"/>
    </row>
    <row r="17" spans="2:28" x14ac:dyDescent="0.2">
      <c r="B17" s="50"/>
      <c r="C17" s="72" t="s">
        <v>5</v>
      </c>
      <c r="D17" s="55">
        <f t="shared" ref="D17:D28" si="2">F17*300000*3600*24*365</f>
        <v>37843200000000</v>
      </c>
      <c r="E17" s="74">
        <f t="shared" si="0"/>
        <v>252288</v>
      </c>
      <c r="F17" s="55">
        <v>4</v>
      </c>
      <c r="G17" s="75">
        <f>20*LOG(G$6) + 20*LOG(D17) + 32.5</f>
        <v>360.961717859945</v>
      </c>
      <c r="H17" s="73"/>
      <c r="J17" s="50"/>
      <c r="K17" s="72">
        <f t="shared" ref="K17:K28" si="3">U$11-20*LOG(E17)</f>
        <v>-225.69916333839808</v>
      </c>
      <c r="L17" s="72">
        <f>U$11-U$20</f>
        <v>-167.66123145985185</v>
      </c>
      <c r="M17" s="72">
        <f>U$24 - G17</f>
        <v>-80.961717859944997</v>
      </c>
      <c r="N17" s="72">
        <f>U$10</f>
        <v>-155.58886249820722</v>
      </c>
      <c r="O17" s="78"/>
      <c r="Q17" s="50"/>
      <c r="Z17" s="79"/>
      <c r="AB17" s="54"/>
    </row>
    <row r="18" spans="2:28" x14ac:dyDescent="0.2">
      <c r="B18" s="50"/>
      <c r="C18" s="72"/>
      <c r="D18" s="55"/>
      <c r="E18" s="74"/>
      <c r="F18" s="55"/>
      <c r="G18" s="75"/>
      <c r="H18" s="73"/>
      <c r="J18" s="50"/>
      <c r="K18" s="72"/>
      <c r="L18" s="72"/>
      <c r="M18" s="72"/>
      <c r="N18" s="72"/>
      <c r="O18" s="78"/>
      <c r="Q18" s="50"/>
      <c r="R18" s="17" t="s">
        <v>42</v>
      </c>
      <c r="S18" s="65">
        <f>POWER(10,U18/10)</f>
        <v>1E+17</v>
      </c>
      <c r="T18" s="17" t="s">
        <v>23</v>
      </c>
      <c r="U18" s="60">
        <f>SUM(U14:U17)</f>
        <v>170</v>
      </c>
      <c r="V18" s="17" t="s">
        <v>25</v>
      </c>
      <c r="Z18" s="79"/>
      <c r="AB18" s="54"/>
    </row>
    <row r="19" spans="2:28" x14ac:dyDescent="0.2">
      <c r="B19" s="50"/>
      <c r="C19" s="72" t="s">
        <v>7</v>
      </c>
      <c r="D19" s="55">
        <f t="shared" si="2"/>
        <v>94608000000000</v>
      </c>
      <c r="E19" s="74">
        <f t="shared" si="0"/>
        <v>630720</v>
      </c>
      <c r="F19" s="55">
        <v>10</v>
      </c>
      <c r="G19" s="75">
        <f t="shared" ref="G19:G28" si="4">20*LOG(G$6) + 20*LOG(D19) + 32.5</f>
        <v>368.92051803338575</v>
      </c>
      <c r="H19" s="73"/>
      <c r="J19" s="50"/>
      <c r="K19" s="72">
        <f t="shared" si="3"/>
        <v>-233.65796351183883</v>
      </c>
      <c r="L19" s="72">
        <f t="shared" ref="L19:L28" si="5">U$11-U$20</f>
        <v>-167.66123145985185</v>
      </c>
      <c r="M19" s="72">
        <f t="shared" ref="M19:M28" si="6">U$24 - G19</f>
        <v>-88.920518033385747</v>
      </c>
      <c r="N19" s="72">
        <f t="shared" ref="N19:N28" si="7">U$10</f>
        <v>-155.58886249820722</v>
      </c>
      <c r="O19" s="78"/>
      <c r="Q19" s="50"/>
      <c r="Z19" s="79"/>
      <c r="AB19" s="54"/>
    </row>
    <row r="20" spans="2:28" ht="18" x14ac:dyDescent="0.2">
      <c r="B20" s="50"/>
      <c r="C20" s="72" t="s">
        <v>6</v>
      </c>
      <c r="D20" s="55">
        <f t="shared" si="2"/>
        <v>946080000000000</v>
      </c>
      <c r="E20" s="74">
        <f t="shared" si="0"/>
        <v>6307200</v>
      </c>
      <c r="F20" s="55">
        <v>100</v>
      </c>
      <c r="G20" s="75">
        <f t="shared" si="4"/>
        <v>388.92051803338575</v>
      </c>
      <c r="H20" s="73"/>
      <c r="J20" s="50"/>
      <c r="K20" s="72">
        <f t="shared" si="3"/>
        <v>-253.65796351183883</v>
      </c>
      <c r="L20" s="72">
        <f t="shared" si="5"/>
        <v>-167.66123145985185</v>
      </c>
      <c r="M20" s="72">
        <f t="shared" si="6"/>
        <v>-108.92051803338575</v>
      </c>
      <c r="N20" s="72">
        <f t="shared" si="7"/>
        <v>-155.58886249820722</v>
      </c>
      <c r="O20" s="78"/>
      <c r="Q20" s="50"/>
      <c r="R20" s="38" t="s">
        <v>30</v>
      </c>
      <c r="S20" s="39">
        <v>50</v>
      </c>
      <c r="T20" s="38" t="s">
        <v>27</v>
      </c>
      <c r="U20" s="52">
        <f>S20</f>
        <v>50</v>
      </c>
      <c r="V20" s="38" t="s">
        <v>27</v>
      </c>
      <c r="W20" s="38"/>
      <c r="X20" s="76">
        <f>SQRT(41253/(POWER(10,U20/10)))</f>
        <v>0.64228498347696095</v>
      </c>
      <c r="Y20" s="38" t="s">
        <v>39</v>
      </c>
      <c r="Z20" s="77">
        <f>PI() * (21/(G$6*0.001*X20)) * (21/(G$6*0.001*X20)) / 4</f>
        <v>1713.4713767670307</v>
      </c>
      <c r="AA20" s="38" t="s">
        <v>78</v>
      </c>
      <c r="AB20" s="54"/>
    </row>
    <row r="21" spans="2:28" x14ac:dyDescent="0.2">
      <c r="B21" s="50"/>
      <c r="C21" s="72" t="s">
        <v>8</v>
      </c>
      <c r="D21" s="55">
        <f t="shared" si="2"/>
        <v>9460800000000000</v>
      </c>
      <c r="E21" s="74">
        <f t="shared" si="0"/>
        <v>63072000</v>
      </c>
      <c r="F21" s="55">
        <v>1000</v>
      </c>
      <c r="G21" s="75">
        <f t="shared" si="4"/>
        <v>408.92051803338575</v>
      </c>
      <c r="H21" s="73"/>
      <c r="J21" s="50"/>
      <c r="K21" s="72">
        <f t="shared" si="3"/>
        <v>-273.65796351183883</v>
      </c>
      <c r="L21" s="72">
        <f t="shared" si="5"/>
        <v>-167.66123145985185</v>
      </c>
      <c r="M21" s="72">
        <f t="shared" si="6"/>
        <v>-128.92051803338575</v>
      </c>
      <c r="N21" s="72">
        <f t="shared" si="7"/>
        <v>-155.58886249820722</v>
      </c>
      <c r="O21" s="78"/>
      <c r="Q21" s="50"/>
      <c r="R21" s="38" t="s">
        <v>37</v>
      </c>
      <c r="S21" s="51">
        <v>10</v>
      </c>
      <c r="T21" s="38"/>
      <c r="U21" s="52">
        <f>10*LOG(S21)</f>
        <v>10</v>
      </c>
      <c r="V21" s="38" t="s">
        <v>4</v>
      </c>
      <c r="Z21" s="79">
        <f>2*SQRT(Z20/PI())</f>
        <v>46.708238199182667</v>
      </c>
      <c r="AA21" s="17" t="s">
        <v>66</v>
      </c>
      <c r="AB21" s="54"/>
    </row>
    <row r="22" spans="2:28" x14ac:dyDescent="0.2">
      <c r="B22" s="50"/>
      <c r="C22" s="72" t="s">
        <v>9</v>
      </c>
      <c r="D22" s="55">
        <f t="shared" si="2"/>
        <v>9.4608E+16</v>
      </c>
      <c r="E22" s="74">
        <f t="shared" si="0"/>
        <v>630720000</v>
      </c>
      <c r="F22" s="55">
        <v>10000</v>
      </c>
      <c r="G22" s="75">
        <f t="shared" si="4"/>
        <v>428.92051803338575</v>
      </c>
      <c r="H22" s="73"/>
      <c r="J22" s="50"/>
      <c r="K22" s="72">
        <f t="shared" si="3"/>
        <v>-293.65796351183883</v>
      </c>
      <c r="L22" s="72">
        <f t="shared" si="5"/>
        <v>-167.66123145985185</v>
      </c>
      <c r="M22" s="72">
        <f t="shared" si="6"/>
        <v>-148.92051803338575</v>
      </c>
      <c r="N22" s="72">
        <f t="shared" si="7"/>
        <v>-155.58886249820722</v>
      </c>
      <c r="O22" s="78"/>
      <c r="Q22" s="50"/>
      <c r="R22" s="38" t="s">
        <v>29</v>
      </c>
      <c r="S22" s="51">
        <v>100000</v>
      </c>
      <c r="T22" s="38"/>
      <c r="U22" s="52">
        <f>10*LOG(S22)</f>
        <v>50</v>
      </c>
      <c r="V22" s="38" t="s">
        <v>4</v>
      </c>
      <c r="W22" s="38"/>
      <c r="X22" s="56"/>
      <c r="Y22" s="38"/>
      <c r="Z22" s="77"/>
      <c r="AA22" s="38"/>
      <c r="AB22" s="54"/>
    </row>
    <row r="23" spans="2:28" x14ac:dyDescent="0.2">
      <c r="B23" s="50"/>
      <c r="C23" s="72" t="s">
        <v>10</v>
      </c>
      <c r="D23" s="55">
        <f t="shared" si="2"/>
        <v>9.4608E+17</v>
      </c>
      <c r="E23" s="74">
        <f t="shared" si="0"/>
        <v>6307200000</v>
      </c>
      <c r="F23" s="55">
        <v>100000</v>
      </c>
      <c r="G23" s="75">
        <f t="shared" si="4"/>
        <v>448.92051803338575</v>
      </c>
      <c r="H23" s="73"/>
      <c r="J23" s="50"/>
      <c r="K23" s="72">
        <f t="shared" si="3"/>
        <v>-313.65796351183883</v>
      </c>
      <c r="L23" s="72">
        <f t="shared" si="5"/>
        <v>-167.66123145985185</v>
      </c>
      <c r="M23" s="72">
        <f t="shared" si="6"/>
        <v>-168.92051803338575</v>
      </c>
      <c r="N23" s="72">
        <f t="shared" si="7"/>
        <v>-155.58886249820722</v>
      </c>
      <c r="O23" s="78"/>
      <c r="Q23" s="50"/>
      <c r="W23" s="38"/>
      <c r="X23" s="56"/>
      <c r="Y23" s="38"/>
      <c r="Z23" s="77"/>
      <c r="AA23" s="38"/>
      <c r="AB23" s="54"/>
    </row>
    <row r="24" spans="2:28" x14ac:dyDescent="0.2">
      <c r="B24" s="50"/>
      <c r="C24" s="72" t="s">
        <v>11</v>
      </c>
      <c r="D24" s="55">
        <f t="shared" si="2"/>
        <v>9.4608E+18</v>
      </c>
      <c r="E24" s="74">
        <f t="shared" si="0"/>
        <v>63072000000</v>
      </c>
      <c r="F24" s="55">
        <v>1000000</v>
      </c>
      <c r="G24" s="75">
        <f t="shared" si="4"/>
        <v>468.92051803338575</v>
      </c>
      <c r="H24" s="73"/>
      <c r="J24" s="50"/>
      <c r="K24" s="72">
        <f t="shared" si="3"/>
        <v>-333.65796351183883</v>
      </c>
      <c r="L24" s="72">
        <f t="shared" si="5"/>
        <v>-167.66123145985185</v>
      </c>
      <c r="M24" s="72">
        <f t="shared" si="6"/>
        <v>-188.92051803338575</v>
      </c>
      <c r="N24" s="72">
        <f t="shared" si="7"/>
        <v>-155.58886249820722</v>
      </c>
      <c r="O24" s="78"/>
      <c r="Q24" s="50"/>
      <c r="R24" s="38" t="s">
        <v>52</v>
      </c>
      <c r="S24" s="38"/>
      <c r="T24" s="38"/>
      <c r="U24" s="52">
        <f>SUM(U18:U22)</f>
        <v>280</v>
      </c>
      <c r="V24" s="38" t="s">
        <v>25</v>
      </c>
      <c r="W24" s="38"/>
      <c r="X24" s="56"/>
      <c r="Y24" s="38"/>
      <c r="Z24" s="53"/>
      <c r="AA24" s="38"/>
      <c r="AB24" s="54"/>
    </row>
    <row r="25" spans="2:28" x14ac:dyDescent="0.2">
      <c r="B25" s="50"/>
      <c r="C25" s="72" t="s">
        <v>12</v>
      </c>
      <c r="D25" s="55">
        <f t="shared" si="2"/>
        <v>9.4608E+19</v>
      </c>
      <c r="E25" s="74">
        <f t="shared" si="0"/>
        <v>630720000000</v>
      </c>
      <c r="F25" s="55">
        <v>10000000</v>
      </c>
      <c r="G25" s="75">
        <f t="shared" si="4"/>
        <v>488.92051803338575</v>
      </c>
      <c r="H25" s="73"/>
      <c r="J25" s="50"/>
      <c r="K25" s="72">
        <f t="shared" si="3"/>
        <v>-353.65796351183883</v>
      </c>
      <c r="L25" s="72">
        <f t="shared" si="5"/>
        <v>-167.66123145985185</v>
      </c>
      <c r="M25" s="72">
        <f t="shared" si="6"/>
        <v>-208.92051803338575</v>
      </c>
      <c r="N25" s="72">
        <f t="shared" si="7"/>
        <v>-155.58886249820722</v>
      </c>
      <c r="O25" s="78"/>
      <c r="Q25" s="50"/>
      <c r="T25" s="38"/>
      <c r="U25" s="52"/>
      <c r="V25" s="38"/>
      <c r="W25" s="38"/>
      <c r="X25" s="56"/>
      <c r="Y25" s="38"/>
      <c r="Z25" s="53"/>
      <c r="AA25" s="38"/>
      <c r="AB25" s="54"/>
    </row>
    <row r="26" spans="2:28" x14ac:dyDescent="0.2">
      <c r="B26" s="50"/>
      <c r="C26" s="72" t="s">
        <v>13</v>
      </c>
      <c r="D26" s="55">
        <f t="shared" si="2"/>
        <v>9.4608E+20</v>
      </c>
      <c r="E26" s="74">
        <f t="shared" si="0"/>
        <v>6307200000000</v>
      </c>
      <c r="F26" s="55">
        <v>100000000</v>
      </c>
      <c r="G26" s="75">
        <f t="shared" si="4"/>
        <v>508.92051803338575</v>
      </c>
      <c r="H26" s="73"/>
      <c r="J26" s="50"/>
      <c r="K26" s="72">
        <f t="shared" si="3"/>
        <v>-373.65796351183883</v>
      </c>
      <c r="L26" s="72">
        <f t="shared" si="5"/>
        <v>-167.66123145985185</v>
      </c>
      <c r="M26" s="72">
        <f t="shared" si="6"/>
        <v>-228.92051803338575</v>
      </c>
      <c r="N26" s="72">
        <f t="shared" si="7"/>
        <v>-155.58886249820722</v>
      </c>
      <c r="O26" s="78"/>
      <c r="Q26" s="50"/>
      <c r="R26" s="38" t="s">
        <v>41</v>
      </c>
      <c r="S26" s="39">
        <v>16</v>
      </c>
      <c r="T26" s="38"/>
      <c r="U26" s="52"/>
      <c r="V26" s="38"/>
      <c r="W26" s="38"/>
      <c r="X26" s="56"/>
      <c r="Y26" s="38"/>
      <c r="Z26" s="53"/>
      <c r="AA26" s="38"/>
      <c r="AB26" s="54"/>
    </row>
    <row r="27" spans="2:28" x14ac:dyDescent="0.2">
      <c r="B27" s="50"/>
      <c r="C27" s="72" t="s">
        <v>14</v>
      </c>
      <c r="D27" s="55">
        <f t="shared" si="2"/>
        <v>9.4608E+21</v>
      </c>
      <c r="E27" s="74">
        <f t="shared" si="0"/>
        <v>63072000000000</v>
      </c>
      <c r="F27" s="55">
        <v>1000000000</v>
      </c>
      <c r="G27" s="75">
        <f t="shared" si="4"/>
        <v>528.92051803338575</v>
      </c>
      <c r="H27" s="73"/>
      <c r="J27" s="50"/>
      <c r="K27" s="72">
        <f t="shared" si="3"/>
        <v>-393.65796351183883</v>
      </c>
      <c r="L27" s="72">
        <f t="shared" si="5"/>
        <v>-167.66123145985185</v>
      </c>
      <c r="M27" s="72">
        <f t="shared" si="6"/>
        <v>-248.92051803338575</v>
      </c>
      <c r="N27" s="72">
        <f t="shared" si="7"/>
        <v>-155.58886249820722</v>
      </c>
      <c r="O27" s="78"/>
      <c r="Q27" s="50"/>
      <c r="R27" s="38" t="s">
        <v>35</v>
      </c>
      <c r="S27" s="80">
        <f>0.5 * S26 *S7 /S22</f>
        <v>8.0000000000000002E-3</v>
      </c>
      <c r="T27" s="38" t="s">
        <v>45</v>
      </c>
      <c r="U27" s="81">
        <f>S27*3600*24/8</f>
        <v>86.4</v>
      </c>
      <c r="V27" s="38" t="s">
        <v>47</v>
      </c>
      <c r="W27" s="38"/>
      <c r="X27" s="81">
        <f>S27*3600*24*360/8</f>
        <v>31104.000000000004</v>
      </c>
      <c r="Y27" s="38" t="s">
        <v>46</v>
      </c>
      <c r="Z27" s="53"/>
      <c r="AA27" s="38"/>
      <c r="AB27" s="54"/>
    </row>
    <row r="28" spans="2:28" x14ac:dyDescent="0.2">
      <c r="B28" s="50"/>
      <c r="C28" s="72" t="s">
        <v>17</v>
      </c>
      <c r="D28" s="55">
        <f t="shared" si="2"/>
        <v>9.4607999999999996E+22</v>
      </c>
      <c r="E28" s="74">
        <f t="shared" si="0"/>
        <v>630720000000000</v>
      </c>
      <c r="F28" s="55">
        <v>10000000000</v>
      </c>
      <c r="G28" s="75">
        <f t="shared" si="4"/>
        <v>548.92051803338575</v>
      </c>
      <c r="H28" s="73"/>
      <c r="J28" s="50"/>
      <c r="K28" s="72">
        <f t="shared" si="3"/>
        <v>-413.65796351183883</v>
      </c>
      <c r="L28" s="72">
        <f t="shared" si="5"/>
        <v>-167.66123145985185</v>
      </c>
      <c r="M28" s="72">
        <f t="shared" si="6"/>
        <v>-268.92051803338575</v>
      </c>
      <c r="N28" s="72">
        <f t="shared" si="7"/>
        <v>-155.58886249820722</v>
      </c>
      <c r="O28" s="78"/>
      <c r="Q28" s="50"/>
      <c r="R28" s="38" t="s">
        <v>55</v>
      </c>
      <c r="S28" s="53">
        <v>1.5</v>
      </c>
      <c r="T28" s="38" t="s">
        <v>53</v>
      </c>
      <c r="U28" s="81">
        <f>S16*S28*S14*24*365/1000/X27</f>
        <v>422453.70370370365</v>
      </c>
      <c r="V28" s="38" t="s">
        <v>54</v>
      </c>
      <c r="W28" s="38"/>
      <c r="X28" s="81">
        <f>1000000*U28</f>
        <v>422453703703.70367</v>
      </c>
      <c r="Y28" s="17" t="s">
        <v>65</v>
      </c>
      <c r="Z28" s="53"/>
      <c r="AA28" s="38"/>
      <c r="AB28" s="54"/>
    </row>
    <row r="29" spans="2:28" ht="17" thickBot="1" x14ac:dyDescent="0.25">
      <c r="B29" s="47"/>
      <c r="C29" s="82"/>
      <c r="D29" s="83"/>
      <c r="E29" s="84"/>
      <c r="F29" s="83"/>
      <c r="G29" s="45"/>
      <c r="H29" s="46"/>
      <c r="J29" s="47"/>
      <c r="K29" s="48"/>
      <c r="L29" s="48"/>
      <c r="M29" s="48"/>
      <c r="N29" s="72"/>
      <c r="O29" s="49"/>
      <c r="Q29" s="47"/>
      <c r="R29" s="82"/>
      <c r="S29" s="82"/>
      <c r="T29" s="82"/>
      <c r="U29" s="85"/>
      <c r="V29" s="82"/>
      <c r="W29" s="82"/>
      <c r="X29" s="45"/>
      <c r="Y29" s="82"/>
      <c r="Z29" s="86"/>
      <c r="AA29" s="82"/>
      <c r="AB29" s="49"/>
    </row>
  </sheetData>
  <sheetProtection sheet="1" formatColumns="0" formatRows="0"/>
  <conditionalFormatting sqref="K14">
    <cfRule type="expression" dxfId="8" priority="10">
      <formula>$K14&gt;$M14</formula>
    </cfRule>
  </conditionalFormatting>
  <conditionalFormatting sqref="L14">
    <cfRule type="expression" dxfId="7" priority="9">
      <formula>$L14&gt;$M14</formula>
    </cfRule>
  </conditionalFormatting>
  <conditionalFormatting sqref="N14">
    <cfRule type="expression" dxfId="6" priority="8">
      <formula>$N14&gt;$M14</formula>
    </cfRule>
  </conditionalFormatting>
  <conditionalFormatting sqref="M14">
    <cfRule type="expression" dxfId="5" priority="6">
      <formula>AND($M14&gt;$K14,$M14&gt;$L14,$M14&gt;$N14)</formula>
    </cfRule>
  </conditionalFormatting>
  <conditionalFormatting sqref="M15:M28">
    <cfRule type="expression" dxfId="4" priority="5">
      <formula>AND($M15&gt;$K15,$M15&gt;$L15,$M15&gt;$N15)</formula>
    </cfRule>
  </conditionalFormatting>
  <conditionalFormatting sqref="C14:C28">
    <cfRule type="expression" dxfId="3" priority="4">
      <formula>AND($M14&gt;$K14,$M14&gt;$L14,$M14&gt;$N14)</formula>
    </cfRule>
  </conditionalFormatting>
  <conditionalFormatting sqref="L15:L28">
    <cfRule type="expression" dxfId="2" priority="3">
      <formula>$L15&gt;$M15</formula>
    </cfRule>
  </conditionalFormatting>
  <conditionalFormatting sqref="K15:K28">
    <cfRule type="expression" dxfId="1" priority="2">
      <formula>$K15&gt;$M15</formula>
    </cfRule>
  </conditionalFormatting>
  <conditionalFormatting sqref="N15:N29">
    <cfRule type="expression" dxfId="0" priority="1">
      <formula>$N15&gt;$M15</formula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Cover</vt:lpstr>
      <vt:lpstr>Galctic Link Budget</vt:lpstr>
      <vt:lpstr>Amateur Galctic Link Budget</vt:lpstr>
      <vt:lpstr>Astro Tech Galctic Link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2022-06-01T07:30:18Z</dcterms:created>
  <dcterms:modified xsi:type="dcterms:W3CDTF">2022-06-05T15:36:17Z</dcterms:modified>
</cp:coreProperties>
</file>