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vylt-my.sharepoint.com/personal/satyam_vylt_in/Documents/Altium_Designs/PowerModules/Buck001/"/>
    </mc:Choice>
  </mc:AlternateContent>
  <xr:revisionPtr revIDLastSave="275" documentId="11_A080A7F1B44243B2D85E54E72296B2CE3370367C" xr6:coauthVersionLast="47" xr6:coauthVersionMax="47" xr10:uidLastSave="{833A62F8-0624-4BC3-83E5-5488C8F54E97}"/>
  <bookViews>
    <workbookView xWindow="-120" yWindow="-120" windowWidth="29040" windowHeight="15720" xr2:uid="{00000000-000D-0000-FFFF-FFFF00000000}"/>
  </bookViews>
  <sheets>
    <sheet name="TPS54360" sheetId="5" r:id="rId1"/>
    <sheet name="Input Capacitance" sheetId="1" r:id="rId2"/>
    <sheet name="Input TVS Diode" sheetId="3" r:id="rId3"/>
    <sheet name="Pi Fil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" l="1"/>
  <c r="J14" i="5"/>
  <c r="H15" i="5"/>
  <c r="H12" i="5"/>
  <c r="J11" i="5"/>
  <c r="H10" i="5"/>
  <c r="H9" i="5"/>
  <c r="H8" i="5"/>
  <c r="H6" i="5"/>
  <c r="H5" i="5"/>
  <c r="H7" i="5"/>
  <c r="H4" i="5"/>
  <c r="H3" i="5"/>
  <c r="B106" i="5"/>
  <c r="B103" i="5"/>
  <c r="B100" i="5"/>
  <c r="B45" i="5"/>
  <c r="B48" i="5"/>
  <c r="B85" i="5" l="1"/>
  <c r="B84" i="5"/>
  <c r="B86" i="5" s="1"/>
  <c r="B80" i="5"/>
  <c r="B76" i="5"/>
  <c r="B71" i="5"/>
  <c r="B70" i="5"/>
  <c r="B58" i="5"/>
  <c r="B41" i="5"/>
  <c r="B11" i="5"/>
  <c r="B10" i="5"/>
  <c r="B40" i="5"/>
  <c r="B39" i="5"/>
  <c r="B31" i="5"/>
  <c r="B15" i="5"/>
  <c r="B21" i="5" s="1"/>
  <c r="B22" i="5"/>
  <c r="B6" i="4"/>
  <c r="B7" i="4" s="1"/>
  <c r="B15" i="1"/>
  <c r="B5" i="1"/>
  <c r="B7" i="1" s="1"/>
  <c r="B8" i="1" s="1"/>
  <c r="B17" i="1" l="1"/>
  <c r="B14" i="1"/>
  <c r="B23" i="5"/>
  <c r="B38" i="5"/>
  <c r="B43" i="5"/>
  <c r="B54" i="5" l="1"/>
  <c r="D54" i="5" s="1"/>
  <c r="B102" i="5"/>
  <c r="B101" i="5"/>
  <c r="B104" i="5" s="1"/>
  <c r="B87" i="5"/>
  <c r="B88" i="5" s="1"/>
  <c r="B92" i="5" s="1"/>
  <c r="B32" i="5"/>
  <c r="B30" i="5"/>
  <c r="D30" i="5" s="1"/>
  <c r="B42" i="5"/>
  <c r="B24" i="5"/>
  <c r="B25" i="5" s="1"/>
  <c r="B60" i="5"/>
  <c r="D60" i="5" s="1"/>
  <c r="B44" i="5"/>
  <c r="B47" i="5"/>
  <c r="B46" i="5"/>
  <c r="B34" i="5"/>
  <c r="B33" i="5"/>
  <c r="B95" i="5" l="1"/>
  <c r="D95" i="5" s="1"/>
  <c r="B96" i="5" s="1"/>
  <c r="B94" i="5"/>
  <c r="D94" i="5" s="1"/>
  <c r="B93" i="5"/>
  <c r="D93" i="5" s="1"/>
</calcChain>
</file>

<file path=xl/sharedStrings.xml><?xml version="1.0" encoding="utf-8"?>
<sst xmlns="http://schemas.openxmlformats.org/spreadsheetml/2006/main" count="308" uniqueCount="174">
  <si>
    <t>Parameter</t>
  </si>
  <si>
    <t>Value</t>
  </si>
  <si>
    <t>Unit</t>
  </si>
  <si>
    <t>V</t>
  </si>
  <si>
    <t>A</t>
  </si>
  <si>
    <t>W</t>
  </si>
  <si>
    <t>Efficiency</t>
  </si>
  <si>
    <t>Hz</t>
  </si>
  <si>
    <t>Ripple Current Ratio, k</t>
  </si>
  <si>
    <t>0.3 - 0.5</t>
  </si>
  <si>
    <t>Required Input Capacitance</t>
  </si>
  <si>
    <r>
      <t>Input Voltage, V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</si>
  <si>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Output Voltage, V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</si>
  <si>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Output Current, I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</si>
  <si>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Power Output, P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</si>
  <si>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Input Power, P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</si>
  <si>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Input Current, I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</si>
  <si>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Switching Frequency, F</t>
    </r>
    <r>
      <rPr>
        <b/>
        <vertAlign val="subscript"/>
        <sz val="11"/>
        <color theme="1"/>
        <rFont val="Aptos Narrow"/>
        <family val="2"/>
        <scheme val="minor"/>
      </rPr>
      <t>SW</t>
    </r>
  </si>
  <si>
    <r>
      <t>RMS Current, I</t>
    </r>
    <r>
      <rPr>
        <b/>
        <vertAlign val="subscript"/>
        <sz val="11"/>
        <color theme="1"/>
        <rFont val="Aptos Narrow"/>
        <family val="2"/>
        <scheme val="minor"/>
      </rPr>
      <t>RMS</t>
    </r>
  </si>
  <si>
    <t>Duty Cycle, D</t>
  </si>
  <si>
    <r>
      <t xml:space="preserve">Ripple Voltage, </t>
    </r>
    <r>
      <rPr>
        <b/>
        <sz val="11"/>
        <color theme="1"/>
        <rFont val="Aptos Narrow"/>
        <family val="2"/>
      </rPr>
      <t>∆</t>
    </r>
    <r>
      <rPr>
        <b/>
        <sz val="13.2"/>
        <color theme="1"/>
        <rFont val="Aptos Narrow"/>
        <family val="2"/>
      </rPr>
      <t>V</t>
    </r>
  </si>
  <si>
    <r>
      <t>Minimum Input Capacitance, C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</si>
  <si>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t>F</t>
  </si>
  <si>
    <r>
      <t>Reverse Standoff Voltage, V</t>
    </r>
    <r>
      <rPr>
        <b/>
        <vertAlign val="subscript"/>
        <sz val="11"/>
        <color theme="1"/>
        <rFont val="Aptos Narrow"/>
        <family val="2"/>
        <scheme val="minor"/>
      </rPr>
      <t>RV</t>
    </r>
  </si>
  <si>
    <t>Remarks</t>
  </si>
  <si>
    <t>The maximum operating voltage without leakage</t>
  </si>
  <si>
    <r>
      <t>Breakdown Voltage, V</t>
    </r>
    <r>
      <rPr>
        <b/>
        <vertAlign val="subscript"/>
        <sz val="11"/>
        <color theme="1"/>
        <rFont val="Aptos Narrow"/>
        <family val="2"/>
        <scheme val="minor"/>
      </rPr>
      <t>BR</t>
    </r>
  </si>
  <si>
    <t>The voltage where the diode starts conducting</t>
  </si>
  <si>
    <r>
      <t>Clamping Voltage, V</t>
    </r>
    <r>
      <rPr>
        <b/>
        <vertAlign val="subscript"/>
        <sz val="11"/>
        <color theme="1"/>
        <rFont val="Aptos Narrow"/>
        <family val="2"/>
        <scheme val="minor"/>
      </rPr>
      <t>CL</t>
    </r>
  </si>
  <si>
    <t>The voltage at which the diode limits the transient</t>
  </si>
  <si>
    <r>
      <t>Peak Pulse Current, I</t>
    </r>
    <r>
      <rPr>
        <b/>
        <vertAlign val="subscript"/>
        <sz val="11"/>
        <color theme="1"/>
        <rFont val="Aptos Narrow"/>
        <family val="2"/>
        <scheme val="minor"/>
      </rPr>
      <t>PPC</t>
    </r>
  </si>
  <si>
    <t>Maximum surge current it can handle</t>
  </si>
  <si>
    <r>
      <t>Power Dissipation, P</t>
    </r>
    <r>
      <rPr>
        <b/>
        <vertAlign val="subscript"/>
        <sz val="11"/>
        <color theme="1"/>
        <rFont val="Aptos Narrow"/>
        <family val="2"/>
        <scheme val="minor"/>
      </rPr>
      <t>D</t>
    </r>
  </si>
  <si>
    <t>Energy it can absorb without damage</t>
  </si>
  <si>
    <r>
      <t>Time Response, T</t>
    </r>
    <r>
      <rPr>
        <b/>
        <vertAlign val="subscript"/>
        <sz val="11"/>
        <color theme="1"/>
        <rFont val="Aptos Narrow"/>
        <family val="2"/>
        <scheme val="minor"/>
      </rPr>
      <t>R</t>
    </r>
  </si>
  <si>
    <t>pS</t>
  </si>
  <si>
    <t>Time taken to clamp voltage spikes</t>
  </si>
  <si>
    <t>A higher inductance provides better noise filtering but can cause a voltage drop if too high</t>
  </si>
  <si>
    <t>Higher capacitance provides better ripple suppression, but excessive capacitance can lead to resonance</t>
  </si>
  <si>
    <r>
      <t>Equivalent Capacitance, C</t>
    </r>
    <r>
      <rPr>
        <b/>
        <vertAlign val="subscript"/>
        <sz val="11"/>
        <color theme="1"/>
        <rFont val="Aptos Narrow"/>
        <family val="2"/>
        <scheme val="minor"/>
      </rPr>
      <t>EQ</t>
    </r>
  </si>
  <si>
    <r>
      <t>Filter Cutoff Frequency, F</t>
    </r>
    <r>
      <rPr>
        <b/>
        <vertAlign val="subscript"/>
        <sz val="11"/>
        <color theme="1"/>
        <rFont val="Aptos Narrow"/>
        <family val="2"/>
        <scheme val="minor"/>
      </rPr>
      <t>C</t>
    </r>
  </si>
  <si>
    <t>Inductor, L</t>
  </si>
  <si>
    <r>
      <t>Output Capacitor, C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</si>
  <si>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r>
      <t>Input Capacitor, C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</si>
  <si>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t>Parameter Name</t>
  </si>
  <si>
    <t xml:space="preserve">Unit </t>
  </si>
  <si>
    <t>DESIGN PARAMETERS</t>
  </si>
  <si>
    <t>Output Voltage</t>
  </si>
  <si>
    <t>Output Current</t>
  </si>
  <si>
    <t>%</t>
  </si>
  <si>
    <t>Output Voltage Ripple</t>
  </si>
  <si>
    <t>Transient Response</t>
  </si>
  <si>
    <t>STEP 1: SWITCHING FREQUENCY</t>
  </si>
  <si>
    <t>Minimum On Time</t>
  </si>
  <si>
    <t>Inductor DCR</t>
  </si>
  <si>
    <t>mOhm</t>
  </si>
  <si>
    <t>Catch Diode Voltage</t>
  </si>
  <si>
    <t>Switch RDS ON</t>
  </si>
  <si>
    <t>Output Current Limit</t>
  </si>
  <si>
    <t>FSW SKIP</t>
  </si>
  <si>
    <t>FSW SHIFT</t>
  </si>
  <si>
    <t>Ohm</t>
  </si>
  <si>
    <t>S</t>
  </si>
  <si>
    <t>Output Short Circuit Voltage</t>
  </si>
  <si>
    <t>Choosen Frequency</t>
  </si>
  <si>
    <t>Timing Resistor, RT</t>
  </si>
  <si>
    <t>Frequency Tolerance With Selected RT</t>
  </si>
  <si>
    <t>kOhm</t>
  </si>
  <si>
    <t>STEP 2: OUTPUT INDUCTOR</t>
  </si>
  <si>
    <r>
      <t>K</t>
    </r>
    <r>
      <rPr>
        <b/>
        <vertAlign val="subscript"/>
        <sz val="11"/>
        <color theme="1"/>
        <rFont val="Aptos Narrow"/>
        <family val="2"/>
        <scheme val="minor"/>
      </rPr>
      <t>IND</t>
    </r>
  </si>
  <si>
    <t>Ratio of inductor ripple current to maximum output current, 0.2 for low ESR and 0.3 when using higher ESR output capacitor</t>
  </si>
  <si>
    <t>Minimum Inductance Value</t>
  </si>
  <si>
    <t>Inductor Ripple Current</t>
  </si>
  <si>
    <t>RMS Current</t>
  </si>
  <si>
    <t>Peak Current</t>
  </si>
  <si>
    <t>STEP 3: OUTPUT CAPACITOR</t>
  </si>
  <si>
    <t>H ---&gt; uH</t>
  </si>
  <si>
    <t>H &lt;--- uH</t>
  </si>
  <si>
    <t>Selected Inductance Value, FILL MANUALY</t>
  </si>
  <si>
    <t>Change in Output Current</t>
  </si>
  <si>
    <t>Output Current Low Load Level</t>
  </si>
  <si>
    <t>Output Current High Load Level</t>
  </si>
  <si>
    <t>Change in Output Voltage</t>
  </si>
  <si>
    <t>Max Allowed Deviation in Output Voltage</t>
  </si>
  <si>
    <t>Output Capactance EQ1</t>
  </si>
  <si>
    <t>the minimum output capacitance necessary</t>
  </si>
  <si>
    <t>Output Capactance EQ2</t>
  </si>
  <si>
    <t>Output Capactance EQ3</t>
  </si>
  <si>
    <t>uF</t>
  </si>
  <si>
    <t>the minimum output capacitance to keep output voltage overshoot to desired value</t>
  </si>
  <si>
    <t>the minimum output capacitance needed to meet  the output voltage ripple specification</t>
  </si>
  <si>
    <t>Minimum Capacitance Deduced</t>
  </si>
  <si>
    <t>Maximum  ESR</t>
  </si>
  <si>
    <t>mA</t>
  </si>
  <si>
    <t>Minimum RMS Current</t>
  </si>
  <si>
    <t>Check Cap Parameter</t>
  </si>
  <si>
    <t>STEP 4: CATCH DIODE</t>
  </si>
  <si>
    <t>Maximum Power Dissipation Expected</t>
  </si>
  <si>
    <t>FILL MANUALLY</t>
  </si>
  <si>
    <t>F --- &gt;pF</t>
  </si>
  <si>
    <t>Maximum Junction Capacitance</t>
  </si>
  <si>
    <t>Maximu Diode Forward Drop</t>
  </si>
  <si>
    <t>STEP 5: INPUT CAPACITOR</t>
  </si>
  <si>
    <t>Minimum Input Voltage</t>
  </si>
  <si>
    <t>Maximum Input Voltage</t>
  </si>
  <si>
    <t>Input RMS Current</t>
  </si>
  <si>
    <t>Maximum Input Current Ripple</t>
  </si>
  <si>
    <t>Minimum Input Capacitance</t>
  </si>
  <si>
    <t>F --- &gt;uF</t>
  </si>
  <si>
    <t>Selected Capacitors</t>
  </si>
  <si>
    <t>2 x 4.7uF</t>
  </si>
  <si>
    <t>2 x 4.7uF, 100V, Low ESR</t>
  </si>
  <si>
    <t>STEP 6: BOOTSTRAP CAPACITOR</t>
  </si>
  <si>
    <t>Capacitance</t>
  </si>
  <si>
    <t>Voltage</t>
  </si>
  <si>
    <t>nF</t>
  </si>
  <si>
    <t>STEP 6: UVLO RESISTORS</t>
  </si>
  <si>
    <t>High Side Res</t>
  </si>
  <si>
    <t>Low Side Res</t>
  </si>
  <si>
    <t>STEP 7: FEEDBACK RESISTORS</t>
  </si>
  <si>
    <t>110K + 30K</t>
  </si>
  <si>
    <t>STEP 8: MINIMUM INPUT VOLTAGE</t>
  </si>
  <si>
    <t>VIN MIN</t>
  </si>
  <si>
    <t>STEP 9: COMPENSATION NETWORK</t>
  </si>
  <si>
    <t>Modulator Frequency</t>
  </si>
  <si>
    <t>Zero Frequency</t>
  </si>
  <si>
    <t>3 x 47uF, 25V, 5mOhm</t>
  </si>
  <si>
    <t>Effective ESR</t>
  </si>
  <si>
    <t>geometric mean of pole and zero</t>
  </si>
  <si>
    <t>Crossover Frequency, FCO1</t>
  </si>
  <si>
    <t>Crossover Frequency, FCO2</t>
  </si>
  <si>
    <t>geometric mean of pole ans switching frequency</t>
  </si>
  <si>
    <t>Selected Crossover Frequency</t>
  </si>
  <si>
    <t>Zero RES</t>
  </si>
  <si>
    <t>Power Stage Transconductance, GMPS</t>
  </si>
  <si>
    <t>A/V</t>
  </si>
  <si>
    <t>Internal Reference Voltage</t>
  </si>
  <si>
    <t>Amplifier Transconductance, GMEA</t>
  </si>
  <si>
    <t>Zero CAP</t>
  </si>
  <si>
    <t>F ---&gt; pF</t>
  </si>
  <si>
    <t>Pole CAP C1</t>
  </si>
  <si>
    <t>Pole CAP C2</t>
  </si>
  <si>
    <t>24K + 2.4K</t>
  </si>
  <si>
    <t>Selected Pole CAP</t>
  </si>
  <si>
    <t>pF</t>
  </si>
  <si>
    <t>STEP 10: POWER DISSIPATION</t>
  </si>
  <si>
    <t>Nominal Input Voltage</t>
  </si>
  <si>
    <t>Switching Loss</t>
  </si>
  <si>
    <t>Conduction Loss</t>
  </si>
  <si>
    <t>Gate Drive Loss</t>
  </si>
  <si>
    <t>Input Supply Loss</t>
  </si>
  <si>
    <t>Total Power Loss</t>
  </si>
  <si>
    <t>Junction Temperature</t>
  </si>
  <si>
    <t>Thermal Resistance of Package</t>
  </si>
  <si>
    <t>°C/W</t>
  </si>
  <si>
    <t>°C</t>
  </si>
  <si>
    <t>using junction to board with proper copper pad and vias</t>
  </si>
  <si>
    <t>PART SELECTION</t>
  </si>
  <si>
    <t>Input Capacitor</t>
  </si>
  <si>
    <t>Boot Capacitor</t>
  </si>
  <si>
    <t>1 x 100nF , 25V</t>
  </si>
  <si>
    <t>EN Pin HS Res</t>
  </si>
  <si>
    <t>EN Pin LS Res</t>
  </si>
  <si>
    <t>RT Res</t>
  </si>
  <si>
    <t>FB HS Res</t>
  </si>
  <si>
    <t>FB LS Res</t>
  </si>
  <si>
    <t>CS Zero Res</t>
  </si>
  <si>
    <t>CS Zero Cap</t>
  </si>
  <si>
    <t>CS Pole Cap</t>
  </si>
  <si>
    <t>Catch Diode</t>
  </si>
  <si>
    <t>Inductor</t>
  </si>
  <si>
    <t>Output Capacitor</t>
  </si>
  <si>
    <t>uH &lt;---&gt; A</t>
  </si>
  <si>
    <t>CDBB5100-HF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</si>
</sst>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00000000"/>
    <numFmt numFmtId="166" formatCode="0.000000000"/>
    <numFmt numFmtId="167" formatCode="0.0000000"/>
    <numFmt numFmtId="174" formatCode="0.000000"/>
    <numFmt numFmtId="177" formatCode="0.0000000000000"/>
    <numFmt numFmtId="180" formatCode="0.00000000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3.2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activeCell="G17" sqref="G17"/>
    </sheetView>
  </sheetViews>
  <sheetFormatPr defaultColWidth="9.140625" defaultRowHeight="15" x14ac:dyDescent="0.25"/>
  <cols>
    <col min="1" max="1" width="39.5703125" style="12" bestFit="1" customWidth="1"/>
    <col min="2" max="2" width="19.85546875" style="12" bestFit="1" customWidth="1"/>
    <col min="3" max="3" width="10.5703125" style="12" bestFit="1" customWidth="1"/>
    <col min="4" max="4" width="52.5703125" style="12" bestFit="1" customWidth="1"/>
    <col min="5" max="6" width="9.140625" style="12"/>
    <col min="7" max="7" width="16.140625" style="12" bestFit="1" customWidth="1"/>
    <col min="8" max="8" width="28.42578125" style="12" customWidth="1"/>
    <col min="9" max="9" width="14.7109375" style="12" customWidth="1"/>
    <col min="10" max="10" width="20.28515625" style="12" customWidth="1"/>
    <col min="11" max="16384" width="9.140625" style="12"/>
  </cols>
  <sheetData>
    <row r="1" spans="1:10" x14ac:dyDescent="0.25">
      <c r="A1" s="24" t="s">
        <v>46</v>
      </c>
      <c r="B1" s="24"/>
      <c r="C1" s="24"/>
      <c r="D1" s="24"/>
      <c r="E1" s="11"/>
      <c r="F1" s="11"/>
      <c r="G1" s="24" t="s">
        <v>157</v>
      </c>
      <c r="H1" s="24"/>
      <c r="I1" s="24"/>
      <c r="J1" s="24"/>
    </row>
    <row r="2" spans="1:10" x14ac:dyDescent="0.25">
      <c r="A2" s="2" t="s">
        <v>44</v>
      </c>
      <c r="B2" s="2" t="s">
        <v>1</v>
      </c>
      <c r="C2" s="2" t="s">
        <v>45</v>
      </c>
      <c r="D2" s="2" t="s">
        <v>24</v>
      </c>
      <c r="G2" s="2" t="s">
        <v>44</v>
      </c>
      <c r="H2" s="2" t="s">
        <v>1</v>
      </c>
      <c r="I2" s="2" t="s">
        <v>45</v>
      </c>
      <c r="J2" s="2" t="s">
        <v>24</v>
      </c>
    </row>
    <row r="3" spans="1:10" x14ac:dyDescent="0.25">
      <c r="A3" s="17" t="s">
        <v>103</v>
      </c>
      <c r="B3" s="17">
        <v>15</v>
      </c>
      <c r="C3" s="17" t="s">
        <v>3</v>
      </c>
      <c r="D3" s="17"/>
      <c r="G3" s="3" t="s">
        <v>158</v>
      </c>
      <c r="H3" s="3" t="str">
        <f>D61</f>
        <v>2 x 4.7uF, 100V, Low ESR</v>
      </c>
      <c r="I3" s="3"/>
      <c r="J3" s="3"/>
    </row>
    <row r="4" spans="1:10" x14ac:dyDescent="0.25">
      <c r="A4" s="17" t="s">
        <v>146</v>
      </c>
      <c r="B4" s="17">
        <v>48</v>
      </c>
      <c r="C4" s="17" t="s">
        <v>3</v>
      </c>
      <c r="D4" s="17"/>
      <c r="G4" s="3" t="s">
        <v>159</v>
      </c>
      <c r="H4" s="3" t="str">
        <f>D66</f>
        <v>1 x 100nF , 25V</v>
      </c>
      <c r="I4" s="3"/>
      <c r="J4" s="3"/>
    </row>
    <row r="5" spans="1:10" x14ac:dyDescent="0.25">
      <c r="A5" s="3" t="s">
        <v>104</v>
      </c>
      <c r="B5" s="3">
        <v>60</v>
      </c>
      <c r="C5" s="3" t="s">
        <v>3</v>
      </c>
      <c r="D5" s="3"/>
      <c r="G5" s="3" t="s">
        <v>161</v>
      </c>
      <c r="H5" s="3">
        <f>D70/1000</f>
        <v>470</v>
      </c>
      <c r="I5" s="3" t="s">
        <v>67</v>
      </c>
      <c r="J5" s="3"/>
    </row>
    <row r="6" spans="1:10" x14ac:dyDescent="0.25">
      <c r="A6" s="3" t="s">
        <v>47</v>
      </c>
      <c r="B6" s="3">
        <v>12</v>
      </c>
      <c r="C6" s="3" t="s">
        <v>3</v>
      </c>
      <c r="D6" s="3"/>
      <c r="G6" s="3" t="s">
        <v>162</v>
      </c>
      <c r="H6" s="3">
        <f>D71/1000</f>
        <v>39</v>
      </c>
      <c r="I6" s="3" t="s">
        <v>67</v>
      </c>
      <c r="J6" s="3"/>
    </row>
    <row r="7" spans="1:10" x14ac:dyDescent="0.25">
      <c r="A7" s="3" t="s">
        <v>48</v>
      </c>
      <c r="B7" s="3">
        <v>3</v>
      </c>
      <c r="C7" s="3" t="s">
        <v>4</v>
      </c>
      <c r="D7" s="3"/>
      <c r="G7" s="3" t="s">
        <v>163</v>
      </c>
      <c r="H7" s="15">
        <f>B24</f>
        <v>120</v>
      </c>
      <c r="I7" s="3" t="s">
        <v>67</v>
      </c>
      <c r="J7" s="3"/>
    </row>
    <row r="8" spans="1:10" x14ac:dyDescent="0.25">
      <c r="A8" s="3" t="s">
        <v>50</v>
      </c>
      <c r="B8" s="3">
        <v>0.5</v>
      </c>
      <c r="C8" s="3" t="s">
        <v>49</v>
      </c>
      <c r="D8" s="3"/>
      <c r="G8" s="3" t="s">
        <v>164</v>
      </c>
      <c r="H8" s="3" t="str">
        <f>D76</f>
        <v>110K + 30K</v>
      </c>
      <c r="I8" s="3"/>
      <c r="J8" s="3"/>
    </row>
    <row r="9" spans="1:10" x14ac:dyDescent="0.25">
      <c r="A9" s="3" t="s">
        <v>51</v>
      </c>
      <c r="B9" s="3">
        <v>1</v>
      </c>
      <c r="C9" s="3" t="s">
        <v>49</v>
      </c>
      <c r="D9" s="3"/>
      <c r="G9" s="3" t="s">
        <v>165</v>
      </c>
      <c r="H9" s="3">
        <f>B75/1000</f>
        <v>10</v>
      </c>
      <c r="I9" s="3" t="s">
        <v>67</v>
      </c>
      <c r="J9" s="3"/>
    </row>
    <row r="10" spans="1:10" x14ac:dyDescent="0.25">
      <c r="A10" s="3" t="s">
        <v>80</v>
      </c>
      <c r="B10" s="3">
        <f>0.25*B7</f>
        <v>0.75</v>
      </c>
      <c r="C10" s="3" t="s">
        <v>4</v>
      </c>
      <c r="D10" s="3"/>
      <c r="G10" s="3" t="s">
        <v>166</v>
      </c>
      <c r="H10" s="3" t="str">
        <f>D92</f>
        <v>24K + 2.4K</v>
      </c>
      <c r="I10" s="3"/>
      <c r="J10" s="3"/>
    </row>
    <row r="11" spans="1:10" x14ac:dyDescent="0.25">
      <c r="A11" s="3" t="s">
        <v>81</v>
      </c>
      <c r="B11" s="3">
        <f>0.75*B7</f>
        <v>2.25</v>
      </c>
      <c r="C11" s="3" t="s">
        <v>4</v>
      </c>
      <c r="D11" s="3"/>
      <c r="G11" s="3" t="s">
        <v>167</v>
      </c>
      <c r="H11" s="3">
        <v>1.4999999999999999E-2</v>
      </c>
      <c r="I11" s="3" t="s">
        <v>88</v>
      </c>
      <c r="J11" s="3">
        <f>D93</f>
        <v>13214.282950101768</v>
      </c>
    </row>
    <row r="12" spans="1:10" x14ac:dyDescent="0.25">
      <c r="G12" s="3" t="s">
        <v>168</v>
      </c>
      <c r="H12" s="3">
        <f>D96</f>
        <v>15</v>
      </c>
      <c r="I12" s="3" t="s">
        <v>144</v>
      </c>
      <c r="J12" s="3"/>
    </row>
    <row r="13" spans="1:10" x14ac:dyDescent="0.25">
      <c r="A13" s="24" t="s">
        <v>52</v>
      </c>
      <c r="B13" s="24"/>
      <c r="C13" s="24"/>
      <c r="D13" s="24"/>
      <c r="G13" s="3" t="s">
        <v>169</v>
      </c>
      <c r="H13" s="3" t="s">
        <v>173</v>
      </c>
      <c r="I13" s="3"/>
      <c r="J13" s="3"/>
    </row>
    <row r="14" spans="1:10" x14ac:dyDescent="0.25">
      <c r="A14" s="2" t="s">
        <v>44</v>
      </c>
      <c r="B14" s="2" t="s">
        <v>1</v>
      </c>
      <c r="C14" s="2" t="s">
        <v>45</v>
      </c>
      <c r="D14" s="2" t="s">
        <v>24</v>
      </c>
      <c r="G14" s="3" t="s">
        <v>170</v>
      </c>
      <c r="H14" s="3">
        <f>D31</f>
        <v>22</v>
      </c>
      <c r="I14" s="3" t="s">
        <v>172</v>
      </c>
      <c r="J14" s="3">
        <f>B34</f>
        <v>3.2727272727272725</v>
      </c>
    </row>
    <row r="15" spans="1:10" x14ac:dyDescent="0.25">
      <c r="A15" s="3" t="s">
        <v>53</v>
      </c>
      <c r="B15" s="13">
        <f>135/1000000000</f>
        <v>1.35E-7</v>
      </c>
      <c r="C15" s="3" t="s">
        <v>62</v>
      </c>
      <c r="D15" s="3"/>
      <c r="G15" s="3" t="s">
        <v>171</v>
      </c>
      <c r="H15" s="3" t="str">
        <f>D45</f>
        <v>3 x 47uF, 25V, 5mOhm</v>
      </c>
      <c r="I15" s="3"/>
      <c r="J15" s="3"/>
    </row>
    <row r="16" spans="1:10" x14ac:dyDescent="0.25">
      <c r="A16" s="3" t="s">
        <v>54</v>
      </c>
      <c r="B16" s="3">
        <v>2.5000000000000001E-2</v>
      </c>
      <c r="C16" s="3" t="s">
        <v>61</v>
      </c>
      <c r="D16" s="3"/>
    </row>
    <row r="17" spans="1:4" x14ac:dyDescent="0.25">
      <c r="A17" s="3" t="s">
        <v>56</v>
      </c>
      <c r="B17" s="3">
        <v>0.7</v>
      </c>
      <c r="C17" s="3" t="s">
        <v>3</v>
      </c>
      <c r="D17" s="3"/>
    </row>
    <row r="18" spans="1:4" x14ac:dyDescent="0.25">
      <c r="A18" s="3" t="s">
        <v>57</v>
      </c>
      <c r="B18" s="3">
        <v>9.1999999999999998E-2</v>
      </c>
      <c r="C18" s="3" t="s">
        <v>61</v>
      </c>
      <c r="D18" s="3"/>
    </row>
    <row r="19" spans="1:4" x14ac:dyDescent="0.25">
      <c r="A19" s="3" t="s">
        <v>58</v>
      </c>
      <c r="B19" s="3">
        <v>4.5</v>
      </c>
      <c r="C19" s="3" t="s">
        <v>4</v>
      </c>
      <c r="D19" s="3"/>
    </row>
    <row r="20" spans="1:4" x14ac:dyDescent="0.25">
      <c r="A20" s="3" t="s">
        <v>63</v>
      </c>
      <c r="B20" s="3">
        <v>0.1</v>
      </c>
      <c r="C20" s="3" t="s">
        <v>3</v>
      </c>
      <c r="D20" s="3"/>
    </row>
    <row r="21" spans="1:4" x14ac:dyDescent="0.25">
      <c r="A21" s="3" t="s">
        <v>59</v>
      </c>
      <c r="B21" s="14">
        <f>(B7*B16+B6+B17)/(B5-B7*B18+B17)*(1/B15)</f>
        <v>1566093.4335633127</v>
      </c>
      <c r="C21" s="3" t="s">
        <v>7</v>
      </c>
      <c r="D21" s="3"/>
    </row>
    <row r="22" spans="1:4" x14ac:dyDescent="0.25">
      <c r="A22" s="3" t="s">
        <v>60</v>
      </c>
      <c r="B22" s="14">
        <f>(8/B15)*((B19*B16)+B20+B17)/(B5-(B19*B18)+B17)</f>
        <v>896959.06303410523</v>
      </c>
      <c r="C22" s="3" t="s">
        <v>7</v>
      </c>
      <c r="D22" s="3"/>
    </row>
    <row r="23" spans="1:4" x14ac:dyDescent="0.25">
      <c r="A23" s="3" t="s">
        <v>64</v>
      </c>
      <c r="B23" s="15">
        <f>ROUND(MIN(ROUND(B21,-5), ROUND(B22,-5)) - 100000, -5)</f>
        <v>800000</v>
      </c>
      <c r="C23" s="3" t="s">
        <v>7</v>
      </c>
      <c r="D23" s="3"/>
    </row>
    <row r="24" spans="1:4" x14ac:dyDescent="0.25">
      <c r="A24" s="3" t="s">
        <v>65</v>
      </c>
      <c r="B24" s="14">
        <f>MROUND(101756/((B23/1000)^1.008)*1000,10000)/1000</f>
        <v>120</v>
      </c>
      <c r="C24" s="3" t="s">
        <v>67</v>
      </c>
      <c r="D24" s="3"/>
    </row>
    <row r="25" spans="1:4" x14ac:dyDescent="0.25">
      <c r="A25" s="3" t="s">
        <v>66</v>
      </c>
      <c r="B25" s="3">
        <f>POWER(101756 / B24, 1 / 1.008)*1000</f>
        <v>803780.89480373147</v>
      </c>
      <c r="C25" s="3" t="s">
        <v>7</v>
      </c>
      <c r="D25" s="3"/>
    </row>
    <row r="27" spans="1:4" x14ac:dyDescent="0.25">
      <c r="A27" s="24" t="s">
        <v>68</v>
      </c>
      <c r="B27" s="24"/>
      <c r="C27" s="24"/>
      <c r="D27" s="24"/>
    </row>
    <row r="28" spans="1:4" x14ac:dyDescent="0.25">
      <c r="A28" s="2" t="s">
        <v>44</v>
      </c>
      <c r="B28" s="2" t="s">
        <v>1</v>
      </c>
      <c r="C28" s="2" t="s">
        <v>45</v>
      </c>
      <c r="D28" s="2" t="s">
        <v>24</v>
      </c>
    </row>
    <row r="29" spans="1:4" ht="45" x14ac:dyDescent="0.25">
      <c r="A29" s="3" t="s">
        <v>69</v>
      </c>
      <c r="B29" s="3">
        <v>0.2</v>
      </c>
      <c r="C29" s="3"/>
      <c r="D29" s="18" t="s">
        <v>70</v>
      </c>
    </row>
    <row r="30" spans="1:4" x14ac:dyDescent="0.25">
      <c r="A30" s="3" t="s">
        <v>71</v>
      </c>
      <c r="B30" s="19">
        <f>((B5-B6)*B6)/(B7*B29*B5*B23)</f>
        <v>1.9999999999999995E-5</v>
      </c>
      <c r="C30" s="3" t="s">
        <v>76</v>
      </c>
      <c r="D30" s="3">
        <f>B30*1000000</f>
        <v>19.999999999999996</v>
      </c>
    </row>
    <row r="31" spans="1:4" x14ac:dyDescent="0.25">
      <c r="A31" s="16" t="s">
        <v>78</v>
      </c>
      <c r="B31" s="16">
        <f>D31/1000000</f>
        <v>2.1999999999999999E-5</v>
      </c>
      <c r="C31" s="16" t="s">
        <v>77</v>
      </c>
      <c r="D31" s="16">
        <v>22</v>
      </c>
    </row>
    <row r="32" spans="1:4" x14ac:dyDescent="0.25">
      <c r="A32" s="3" t="s">
        <v>72</v>
      </c>
      <c r="B32" s="3">
        <f>(B6*(B5-B6))/(B5*B31*B23)</f>
        <v>0.54545454545454541</v>
      </c>
      <c r="C32" s="3" t="s">
        <v>4</v>
      </c>
      <c r="D32" s="3"/>
    </row>
    <row r="33" spans="1:4" x14ac:dyDescent="0.25">
      <c r="A33" s="20" t="s">
        <v>73</v>
      </c>
      <c r="B33" s="20">
        <f>SQRT((B7^2)+((1/12)*(B32^2)))</f>
        <v>3.0041293894287828</v>
      </c>
      <c r="C33" s="20" t="s">
        <v>4</v>
      </c>
      <c r="D33" s="20"/>
    </row>
    <row r="34" spans="1:4" x14ac:dyDescent="0.25">
      <c r="A34" s="3" t="s">
        <v>74</v>
      </c>
      <c r="B34" s="3">
        <f>B7+(B32/2)</f>
        <v>3.2727272727272725</v>
      </c>
      <c r="C34" s="3" t="s">
        <v>4</v>
      </c>
      <c r="D34" s="3"/>
    </row>
    <row r="36" spans="1:4" x14ac:dyDescent="0.25">
      <c r="A36" s="24" t="s">
        <v>75</v>
      </c>
      <c r="B36" s="24"/>
      <c r="C36" s="24"/>
      <c r="D36" s="24"/>
    </row>
    <row r="37" spans="1:4" x14ac:dyDescent="0.25">
      <c r="A37" s="2" t="s">
        <v>44</v>
      </c>
      <c r="B37" s="2" t="s">
        <v>1</v>
      </c>
      <c r="C37" s="2" t="s">
        <v>45</v>
      </c>
      <c r="D37" s="2" t="s">
        <v>24</v>
      </c>
    </row>
    <row r="38" spans="1:4" x14ac:dyDescent="0.25">
      <c r="A38" s="3" t="s">
        <v>79</v>
      </c>
      <c r="B38" s="3">
        <f>B11-B10</f>
        <v>1.5</v>
      </c>
      <c r="C38" s="3" t="s">
        <v>4</v>
      </c>
      <c r="D38" s="3"/>
    </row>
    <row r="39" spans="1:4" x14ac:dyDescent="0.25">
      <c r="A39" s="3" t="s">
        <v>82</v>
      </c>
      <c r="B39" s="3">
        <f>B6*4/100</f>
        <v>0.48</v>
      </c>
      <c r="C39" s="3" t="s">
        <v>3</v>
      </c>
      <c r="D39" s="3"/>
    </row>
    <row r="40" spans="1:4" x14ac:dyDescent="0.25">
      <c r="A40" s="3" t="s">
        <v>83</v>
      </c>
      <c r="B40" s="3">
        <f>(100+B9)*B6/100</f>
        <v>12.12</v>
      </c>
      <c r="C40" s="3" t="s">
        <v>3</v>
      </c>
      <c r="D40" s="3"/>
    </row>
    <row r="41" spans="1:4" x14ac:dyDescent="0.25">
      <c r="A41" s="3" t="s">
        <v>50</v>
      </c>
      <c r="B41" s="3">
        <f>B8*B6*0.01</f>
        <v>0.06</v>
      </c>
      <c r="C41" s="3" t="s">
        <v>3</v>
      </c>
      <c r="D41" s="3"/>
    </row>
    <row r="42" spans="1:4" x14ac:dyDescent="0.25">
      <c r="A42" s="3" t="s">
        <v>84</v>
      </c>
      <c r="B42" s="22">
        <f>(2*B38)/(B23*B39)*1000000</f>
        <v>7.8125</v>
      </c>
      <c r="C42" s="3" t="s">
        <v>88</v>
      </c>
      <c r="D42" s="3" t="s">
        <v>85</v>
      </c>
    </row>
    <row r="43" spans="1:4" ht="30" x14ac:dyDescent="0.25">
      <c r="A43" s="3" t="s">
        <v>86</v>
      </c>
      <c r="B43" s="22">
        <f>(B31*(B11^2-B10^2))/(B40^2-B6^2)*1000000</f>
        <v>34.203980099502601</v>
      </c>
      <c r="C43" s="3" t="s">
        <v>88</v>
      </c>
      <c r="D43" s="18" t="s">
        <v>89</v>
      </c>
    </row>
    <row r="44" spans="1:4" ht="30" x14ac:dyDescent="0.25">
      <c r="A44" s="3" t="s">
        <v>87</v>
      </c>
      <c r="B44" s="22">
        <f>1/(8*B23*(B41/B32))*1000000</f>
        <v>1.4204545454545454</v>
      </c>
      <c r="C44" s="3" t="s">
        <v>88</v>
      </c>
      <c r="D44" s="18" t="s">
        <v>90</v>
      </c>
    </row>
    <row r="45" spans="1:4" x14ac:dyDescent="0.25">
      <c r="A45" s="3" t="s">
        <v>91</v>
      </c>
      <c r="B45" s="21">
        <f>3 * 0.000047</f>
        <v>1.4099999999999998E-4</v>
      </c>
      <c r="C45" s="3" t="s">
        <v>88</v>
      </c>
      <c r="D45" s="16" t="s">
        <v>126</v>
      </c>
    </row>
    <row r="46" spans="1:4" x14ac:dyDescent="0.25">
      <c r="A46" s="3" t="s">
        <v>92</v>
      </c>
      <c r="B46" s="3">
        <f>B41/B32*1000</f>
        <v>110</v>
      </c>
      <c r="C46" s="3" t="s">
        <v>55</v>
      </c>
      <c r="D46" s="16" t="s">
        <v>95</v>
      </c>
    </row>
    <row r="47" spans="1:4" x14ac:dyDescent="0.25">
      <c r="A47" s="3" t="s">
        <v>94</v>
      </c>
      <c r="B47" s="3">
        <f>B32/SQRT(12)*1000</f>
        <v>157.45916432444341</v>
      </c>
      <c r="C47" s="3" t="s">
        <v>93</v>
      </c>
      <c r="D47" s="16" t="s">
        <v>95</v>
      </c>
    </row>
    <row r="48" spans="1:4" x14ac:dyDescent="0.25">
      <c r="A48" s="17" t="s">
        <v>127</v>
      </c>
      <c r="B48" s="17">
        <f>(0.005)/3</f>
        <v>1.6666666666666668E-3</v>
      </c>
      <c r="C48" s="17"/>
      <c r="D48" s="17"/>
    </row>
    <row r="50" spans="1:4" x14ac:dyDescent="0.25">
      <c r="A50" s="24" t="s">
        <v>96</v>
      </c>
      <c r="B50" s="24"/>
      <c r="C50" s="24"/>
      <c r="D50" s="24"/>
    </row>
    <row r="51" spans="1:4" x14ac:dyDescent="0.25">
      <c r="A51" s="2" t="s">
        <v>44</v>
      </c>
      <c r="B51" s="2" t="s">
        <v>1</v>
      </c>
      <c r="C51" s="2" t="s">
        <v>45</v>
      </c>
      <c r="D51" s="2" t="s">
        <v>24</v>
      </c>
    </row>
    <row r="52" spans="1:4" x14ac:dyDescent="0.25">
      <c r="A52" s="3" t="s">
        <v>97</v>
      </c>
      <c r="B52" s="3">
        <v>2</v>
      </c>
      <c r="C52" s="3" t="s">
        <v>5</v>
      </c>
      <c r="D52" s="16" t="s">
        <v>98</v>
      </c>
    </row>
    <row r="53" spans="1:4" x14ac:dyDescent="0.25">
      <c r="A53" s="3" t="s">
        <v>101</v>
      </c>
      <c r="B53" s="3">
        <v>0.7</v>
      </c>
      <c r="C53" s="3" t="s">
        <v>3</v>
      </c>
      <c r="D53" s="16" t="s">
        <v>98</v>
      </c>
    </row>
    <row r="54" spans="1:4" x14ac:dyDescent="0.25">
      <c r="A54" s="3" t="s">
        <v>100</v>
      </c>
      <c r="B54" s="23">
        <f>2*(B52-(((B5-B6)*B7*B53)/B5))/(B23*(B5+B53)^2)</f>
        <v>2.1712638655553419E-10</v>
      </c>
      <c r="C54" s="3" t="s">
        <v>99</v>
      </c>
      <c r="D54" s="23">
        <f>B54*1000000000000</f>
        <v>217.1263865555342</v>
      </c>
    </row>
    <row r="56" spans="1:4" x14ac:dyDescent="0.25">
      <c r="A56" s="24" t="s">
        <v>102</v>
      </c>
      <c r="B56" s="24"/>
      <c r="C56" s="24"/>
      <c r="D56" s="24"/>
    </row>
    <row r="57" spans="1:4" x14ac:dyDescent="0.25">
      <c r="A57" s="2" t="s">
        <v>44</v>
      </c>
      <c r="B57" s="2" t="s">
        <v>1</v>
      </c>
      <c r="C57" s="2" t="s">
        <v>45</v>
      </c>
      <c r="D57" s="2" t="s">
        <v>24</v>
      </c>
    </row>
    <row r="58" spans="1:4" x14ac:dyDescent="0.25">
      <c r="A58" s="3" t="s">
        <v>105</v>
      </c>
      <c r="B58" s="3">
        <f>B7*SQRT((B6*(B3-B6))/B3^2)</f>
        <v>1.2000000000000002</v>
      </c>
      <c r="C58" s="3" t="s">
        <v>4</v>
      </c>
      <c r="D58" s="3"/>
    </row>
    <row r="59" spans="1:4" x14ac:dyDescent="0.25">
      <c r="A59" s="3" t="s">
        <v>106</v>
      </c>
      <c r="B59" s="3">
        <v>0.3</v>
      </c>
      <c r="C59" s="3" t="s">
        <v>3</v>
      </c>
      <c r="D59" s="3"/>
    </row>
    <row r="60" spans="1:4" x14ac:dyDescent="0.25">
      <c r="A60" s="3" t="s">
        <v>107</v>
      </c>
      <c r="B60" s="3">
        <f>(B7*0.25)/(B59*B23)</f>
        <v>3.1250000000000001E-6</v>
      </c>
      <c r="C60" s="3" t="s">
        <v>108</v>
      </c>
      <c r="D60" s="3">
        <f>B60*1000000</f>
        <v>3.125</v>
      </c>
    </row>
    <row r="61" spans="1:4" x14ac:dyDescent="0.25">
      <c r="A61" s="3" t="s">
        <v>109</v>
      </c>
      <c r="B61" s="3" t="s">
        <v>110</v>
      </c>
      <c r="C61" s="3"/>
      <c r="D61" s="3" t="s">
        <v>111</v>
      </c>
    </row>
    <row r="63" spans="1:4" x14ac:dyDescent="0.25">
      <c r="A63" s="24" t="s">
        <v>112</v>
      </c>
      <c r="B63" s="24"/>
      <c r="C63" s="24"/>
      <c r="D63" s="24"/>
    </row>
    <row r="64" spans="1:4" x14ac:dyDescent="0.25">
      <c r="A64" s="2" t="s">
        <v>44</v>
      </c>
      <c r="B64" s="2" t="s">
        <v>1</v>
      </c>
      <c r="C64" s="2" t="s">
        <v>45</v>
      </c>
      <c r="D64" s="2" t="s">
        <v>24</v>
      </c>
    </row>
    <row r="65" spans="1:4" x14ac:dyDescent="0.25">
      <c r="A65" s="3" t="s">
        <v>113</v>
      </c>
      <c r="B65" s="3">
        <v>100</v>
      </c>
      <c r="C65" s="3" t="s">
        <v>115</v>
      </c>
      <c r="D65" s="3"/>
    </row>
    <row r="66" spans="1:4" x14ac:dyDescent="0.25">
      <c r="A66" s="3" t="s">
        <v>114</v>
      </c>
      <c r="B66" s="3">
        <v>25</v>
      </c>
      <c r="C66" s="3" t="s">
        <v>3</v>
      </c>
      <c r="D66" s="3" t="s">
        <v>160</v>
      </c>
    </row>
    <row r="68" spans="1:4" x14ac:dyDescent="0.25">
      <c r="A68" s="24" t="s">
        <v>116</v>
      </c>
      <c r="B68" s="24"/>
      <c r="C68" s="24"/>
      <c r="D68" s="24"/>
    </row>
    <row r="69" spans="1:4" x14ac:dyDescent="0.25">
      <c r="A69" s="2" t="s">
        <v>44</v>
      </c>
      <c r="B69" s="2" t="s">
        <v>1</v>
      </c>
      <c r="C69" s="2" t="s">
        <v>45</v>
      </c>
      <c r="D69" s="2" t="s">
        <v>24</v>
      </c>
    </row>
    <row r="70" spans="1:4" x14ac:dyDescent="0.25">
      <c r="A70" s="3" t="s">
        <v>117</v>
      </c>
      <c r="B70" s="3">
        <f>((B3-(B6+1.5))/0.0000034)</f>
        <v>441176.4705882353</v>
      </c>
      <c r="C70" s="3" t="s">
        <v>61</v>
      </c>
      <c r="D70" s="3">
        <v>470000</v>
      </c>
    </row>
    <row r="71" spans="1:4" x14ac:dyDescent="0.25">
      <c r="A71" s="3" t="s">
        <v>118</v>
      </c>
      <c r="B71" s="3">
        <f>1.2/(((B3-1.2)/D70)+0.0000012)</f>
        <v>39264.828738512944</v>
      </c>
      <c r="C71" s="3" t="s">
        <v>61</v>
      </c>
      <c r="D71" s="3">
        <v>39000</v>
      </c>
    </row>
    <row r="73" spans="1:4" x14ac:dyDescent="0.25">
      <c r="A73" s="24" t="s">
        <v>119</v>
      </c>
      <c r="B73" s="24"/>
      <c r="C73" s="24"/>
      <c r="D73" s="24"/>
    </row>
    <row r="74" spans="1:4" x14ac:dyDescent="0.25">
      <c r="A74" s="2" t="s">
        <v>44</v>
      </c>
      <c r="B74" s="2" t="s">
        <v>1</v>
      </c>
      <c r="C74" s="2" t="s">
        <v>45</v>
      </c>
      <c r="D74" s="2" t="s">
        <v>24</v>
      </c>
    </row>
    <row r="75" spans="1:4" x14ac:dyDescent="0.25">
      <c r="A75" s="3" t="s">
        <v>118</v>
      </c>
      <c r="B75" s="3">
        <v>10000</v>
      </c>
      <c r="C75" s="3" t="s">
        <v>61</v>
      </c>
      <c r="D75" s="3"/>
    </row>
    <row r="76" spans="1:4" x14ac:dyDescent="0.25">
      <c r="A76" s="3" t="s">
        <v>117</v>
      </c>
      <c r="B76" s="3">
        <f>(B75*(B6-0.8))/0.8</f>
        <v>140000</v>
      </c>
      <c r="C76" s="3" t="s">
        <v>61</v>
      </c>
      <c r="D76" s="3" t="s">
        <v>120</v>
      </c>
    </row>
    <row r="78" spans="1:4" x14ac:dyDescent="0.25">
      <c r="A78" s="24" t="s">
        <v>121</v>
      </c>
      <c r="B78" s="24"/>
      <c r="C78" s="24"/>
      <c r="D78" s="24"/>
    </row>
    <row r="79" spans="1:4" x14ac:dyDescent="0.25">
      <c r="A79" s="2" t="s">
        <v>44</v>
      </c>
      <c r="B79" s="2" t="s">
        <v>1</v>
      </c>
      <c r="C79" s="2" t="s">
        <v>45</v>
      </c>
      <c r="D79" s="2" t="s">
        <v>24</v>
      </c>
    </row>
    <row r="80" spans="1:4" x14ac:dyDescent="0.25">
      <c r="A80" s="3" t="s">
        <v>122</v>
      </c>
      <c r="B80" s="3">
        <f>((B6+0.5+(0.0253*B7))/0.99)+(0.12*B7)-0.5</f>
        <v>12.562929292929294</v>
      </c>
      <c r="C80" s="3" t="s">
        <v>3</v>
      </c>
      <c r="D80" s="3"/>
    </row>
    <row r="82" spans="1:4" x14ac:dyDescent="0.25">
      <c r="A82" s="24" t="s">
        <v>123</v>
      </c>
      <c r="B82" s="24"/>
      <c r="C82" s="24"/>
      <c r="D82" s="24"/>
    </row>
    <row r="83" spans="1:4" x14ac:dyDescent="0.25">
      <c r="A83" s="2" t="s">
        <v>44</v>
      </c>
      <c r="B83" s="2" t="s">
        <v>1</v>
      </c>
      <c r="C83" s="2" t="s">
        <v>45</v>
      </c>
      <c r="D83" s="2" t="s">
        <v>24</v>
      </c>
    </row>
    <row r="84" spans="1:4" x14ac:dyDescent="0.25">
      <c r="A84" s="3" t="s">
        <v>124</v>
      </c>
      <c r="B84" s="3">
        <f>B7/(2*3.14*B6*0.62*B45)</f>
        <v>455.375396905196</v>
      </c>
      <c r="C84" s="3" t="s">
        <v>7</v>
      </c>
      <c r="D84" s="3"/>
    </row>
    <row r="85" spans="1:4" x14ac:dyDescent="0.25">
      <c r="A85" s="3" t="s">
        <v>125</v>
      </c>
      <c r="B85" s="3">
        <f>1/(2*3.14*B48*0.62*B45)</f>
        <v>1092900.9525724703</v>
      </c>
      <c r="C85" s="3" t="s">
        <v>7</v>
      </c>
      <c r="D85" s="3"/>
    </row>
    <row r="86" spans="1:4" x14ac:dyDescent="0.25">
      <c r="A86" s="3" t="s">
        <v>129</v>
      </c>
      <c r="B86" s="3">
        <f>SQRT(B84*B85)</f>
        <v>22308.747276701921</v>
      </c>
      <c r="C86" s="3" t="s">
        <v>7</v>
      </c>
      <c r="D86" s="3" t="s">
        <v>128</v>
      </c>
    </row>
    <row r="87" spans="1:4" x14ac:dyDescent="0.25">
      <c r="A87" s="3" t="s">
        <v>130</v>
      </c>
      <c r="B87" s="3">
        <f>SQRT(B84*B23/2)</f>
        <v>13496.301669793782</v>
      </c>
      <c r="C87" s="3" t="s">
        <v>7</v>
      </c>
      <c r="D87" s="3" t="s">
        <v>131</v>
      </c>
    </row>
    <row r="88" spans="1:4" x14ac:dyDescent="0.25">
      <c r="A88" s="3" t="s">
        <v>132</v>
      </c>
      <c r="B88" s="21">
        <f>MIN(B86, B87)</f>
        <v>13496.301669793782</v>
      </c>
      <c r="C88" s="3" t="s">
        <v>7</v>
      </c>
      <c r="D88" s="3"/>
    </row>
    <row r="89" spans="1:4" x14ac:dyDescent="0.25">
      <c r="A89" s="3" t="s">
        <v>134</v>
      </c>
      <c r="B89" s="3">
        <v>12</v>
      </c>
      <c r="C89" s="3" t="s">
        <v>135</v>
      </c>
      <c r="D89" s="3"/>
    </row>
    <row r="90" spans="1:4" x14ac:dyDescent="0.25">
      <c r="A90" s="3" t="s">
        <v>136</v>
      </c>
      <c r="B90" s="3">
        <v>0.8</v>
      </c>
      <c r="C90" s="3" t="s">
        <v>3</v>
      </c>
      <c r="D90" s="3"/>
    </row>
    <row r="91" spans="1:4" x14ac:dyDescent="0.25">
      <c r="A91" s="3" t="s">
        <v>137</v>
      </c>
      <c r="B91" s="36">
        <v>3.5E-4</v>
      </c>
      <c r="C91" s="3" t="s">
        <v>135</v>
      </c>
      <c r="D91" s="3"/>
    </row>
    <row r="92" spans="1:4" x14ac:dyDescent="0.25">
      <c r="A92" s="3" t="s">
        <v>133</v>
      </c>
      <c r="B92" s="37">
        <f>(2*3.14*B88*0.62*B45*B6)/(B89*B90*B91)</f>
        <v>26462.275805688492</v>
      </c>
      <c r="C92" s="3" t="s">
        <v>61</v>
      </c>
      <c r="D92" s="3" t="s">
        <v>142</v>
      </c>
    </row>
    <row r="93" spans="1:4" x14ac:dyDescent="0.25">
      <c r="A93" s="3" t="s">
        <v>138</v>
      </c>
      <c r="B93" s="39">
        <f>1/(2*3.14*B92*B84)</f>
        <v>1.3214282950101768E-8</v>
      </c>
      <c r="C93" s="3" t="s">
        <v>139</v>
      </c>
      <c r="D93" s="21">
        <f>B93*1000000000000</f>
        <v>13214.282950101768</v>
      </c>
    </row>
    <row r="94" spans="1:4" x14ac:dyDescent="0.25">
      <c r="A94" s="3" t="s">
        <v>140</v>
      </c>
      <c r="B94" s="38">
        <f>(0.62*B45*B48)/B92</f>
        <v>5.5059512292090701E-12</v>
      </c>
      <c r="C94" s="3" t="s">
        <v>139</v>
      </c>
      <c r="D94" s="3">
        <f>B94*1000000000000</f>
        <v>5.50595122920907</v>
      </c>
    </row>
    <row r="95" spans="1:4" x14ac:dyDescent="0.25">
      <c r="A95" s="3" t="s">
        <v>141</v>
      </c>
      <c r="B95" s="38">
        <f>1/(B92*B23*3.14)</f>
        <v>1.5043648358050391E-11</v>
      </c>
      <c r="C95" s="3" t="s">
        <v>139</v>
      </c>
      <c r="D95" s="3">
        <f>B95*1000000000000</f>
        <v>15.043648358050392</v>
      </c>
    </row>
    <row r="96" spans="1:4" x14ac:dyDescent="0.25">
      <c r="A96" s="3" t="s">
        <v>143</v>
      </c>
      <c r="B96" s="21">
        <f>D95</f>
        <v>15.043648358050392</v>
      </c>
      <c r="C96" s="3" t="s">
        <v>144</v>
      </c>
      <c r="D96" s="3">
        <v>15</v>
      </c>
    </row>
    <row r="98" spans="1:4" x14ac:dyDescent="0.25">
      <c r="A98" s="24" t="s">
        <v>145</v>
      </c>
      <c r="B98" s="24"/>
      <c r="C98" s="24"/>
      <c r="D98" s="24"/>
    </row>
    <row r="99" spans="1:4" x14ac:dyDescent="0.25">
      <c r="A99" s="2" t="s">
        <v>44</v>
      </c>
      <c r="B99" s="2" t="s">
        <v>1</v>
      </c>
      <c r="C99" s="2" t="s">
        <v>45</v>
      </c>
      <c r="D99" s="2" t="s">
        <v>24</v>
      </c>
    </row>
    <row r="100" spans="1:4" x14ac:dyDescent="0.25">
      <c r="A100" s="3" t="s">
        <v>148</v>
      </c>
      <c r="B100" s="3">
        <f>(B7^2)*0.092*(B6/B4)</f>
        <v>0.20699999999999999</v>
      </c>
      <c r="C100" s="3" t="s">
        <v>5</v>
      </c>
      <c r="D100" s="3"/>
    </row>
    <row r="101" spans="1:4" x14ac:dyDescent="0.25">
      <c r="A101" s="3" t="s">
        <v>147</v>
      </c>
      <c r="B101" s="3">
        <f>B4*B23*B7*0.0000000049</f>
        <v>0.56447999999999998</v>
      </c>
      <c r="C101" s="3" t="s">
        <v>5</v>
      </c>
      <c r="D101" s="3"/>
    </row>
    <row r="102" spans="1:4" x14ac:dyDescent="0.25">
      <c r="A102" s="3" t="s">
        <v>149</v>
      </c>
      <c r="B102" s="3">
        <f>B4*0.000000003*B23</f>
        <v>0.1152</v>
      </c>
      <c r="C102" s="3" t="s">
        <v>5</v>
      </c>
      <c r="D102" s="3"/>
    </row>
    <row r="103" spans="1:4" x14ac:dyDescent="0.25">
      <c r="A103" s="3" t="s">
        <v>150</v>
      </c>
      <c r="B103" s="3">
        <f>B4*0.000146</f>
        <v>7.0080000000000003E-3</v>
      </c>
      <c r="C103" s="3" t="s">
        <v>5</v>
      </c>
      <c r="D103" s="3"/>
    </row>
    <row r="104" spans="1:4" x14ac:dyDescent="0.25">
      <c r="A104" s="3" t="s">
        <v>151</v>
      </c>
      <c r="B104" s="21">
        <f>SUM(B100:B103)</f>
        <v>0.89368799999999993</v>
      </c>
      <c r="C104" s="3" t="s">
        <v>5</v>
      </c>
      <c r="D104" s="3"/>
    </row>
    <row r="105" spans="1:4" x14ac:dyDescent="0.25">
      <c r="A105" s="3" t="s">
        <v>153</v>
      </c>
      <c r="B105" s="17">
        <v>23.4</v>
      </c>
      <c r="C105" s="3" t="s">
        <v>154</v>
      </c>
      <c r="D105" s="3" t="s">
        <v>156</v>
      </c>
    </row>
    <row r="106" spans="1:4" x14ac:dyDescent="0.25">
      <c r="A106" s="3" t="s">
        <v>152</v>
      </c>
      <c r="B106" s="21">
        <f>25+(B105*B104)</f>
        <v>45.912299199999993</v>
      </c>
      <c r="C106" s="3" t="s">
        <v>155</v>
      </c>
      <c r="D106" s="3"/>
    </row>
  </sheetData>
  <mergeCells count="13">
    <mergeCell ref="A98:D98"/>
    <mergeCell ref="G1:J1"/>
    <mergeCell ref="A82:D82"/>
    <mergeCell ref="A78:D78"/>
    <mergeCell ref="A1:D1"/>
    <mergeCell ref="A13:D13"/>
    <mergeCell ref="A27:D27"/>
    <mergeCell ref="A36:D36"/>
    <mergeCell ref="A50:D50"/>
    <mergeCell ref="A56:D56"/>
    <mergeCell ref="A63:D63"/>
    <mergeCell ref="A68:D68"/>
    <mergeCell ref="A73:D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20" zoomScaleNormal="120" workbookViewId="0">
      <selection activeCell="C1" sqref="C1"/>
    </sheetView>
  </sheetViews>
  <sheetFormatPr defaultColWidth="9.140625" defaultRowHeight="15" x14ac:dyDescent="0.25"/>
  <cols>
    <col min="1" max="1" width="32.85546875" style="1" bestFit="1" customWidth="1"/>
    <col min="2" max="2" width="15.140625" style="1" customWidth="1"/>
    <col min="3" max="3" width="14.5703125" style="1" customWidth="1"/>
    <col min="4" max="16384" width="9.1406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ht="18" x14ac:dyDescent="0.25">
      <c r="A2" s="3" t="s">
        <v>11</v>
      </c>
      <c r="B2" s="4">
        <v>48</v>
      </c>
      <c r="C2" s="3" t="s">
        <v>3</v>
      </c>
    </row>
    <row r="3" spans="1:3" ht="18" x14ac:dyDescent="0.25">
      <c r="A3" s="3" t="s">
        <v>12</v>
      </c>
      <c r="B3" s="4">
        <v>12</v>
      </c>
      <c r="C3" s="3" t="s">
        <v>3</v>
      </c>
    </row>
    <row r="4" spans="1:3" ht="18" x14ac:dyDescent="0.25">
      <c r="A4" s="3" t="s">
        <v>13</v>
      </c>
      <c r="B4" s="4">
        <v>5</v>
      </c>
      <c r="C4" s="3" t="s">
        <v>4</v>
      </c>
    </row>
    <row r="5" spans="1:3" ht="18" x14ac:dyDescent="0.25">
      <c r="A5" s="3" t="s">
        <v>14</v>
      </c>
      <c r="B5" s="3">
        <f>B3*B4</f>
        <v>60</v>
      </c>
      <c r="C5" s="3" t="s">
        <v>5</v>
      </c>
    </row>
    <row r="6" spans="1:3" x14ac:dyDescent="0.25">
      <c r="A6" s="3" t="s">
        <v>6</v>
      </c>
      <c r="B6" s="4">
        <v>0.9</v>
      </c>
      <c r="C6" s="3"/>
    </row>
    <row r="7" spans="1:3" ht="18" x14ac:dyDescent="0.25">
      <c r="A7" s="3" t="s">
        <v>15</v>
      </c>
      <c r="B7" s="3">
        <f>B5/B6</f>
        <v>66.666666666666671</v>
      </c>
      <c r="C7" s="3" t="s">
        <v>5</v>
      </c>
    </row>
    <row r="8" spans="1:3" ht="18" x14ac:dyDescent="0.25">
      <c r="A8" s="3" t="s">
        <v>16</v>
      </c>
      <c r="B8" s="3">
        <f>B7/B2</f>
        <v>1.3888888888888891</v>
      </c>
      <c r="C8" s="3" t="s">
        <v>4</v>
      </c>
    </row>
    <row r="9" spans="1:3" ht="18" x14ac:dyDescent="0.25">
      <c r="A9" s="3" t="s">
        <v>17</v>
      </c>
      <c r="B9" s="5">
        <v>300000</v>
      </c>
      <c r="C9" s="3" t="s">
        <v>7</v>
      </c>
    </row>
    <row r="10" spans="1:3" x14ac:dyDescent="0.25">
      <c r="A10" s="3" t="s">
        <v>8</v>
      </c>
      <c r="B10" s="3">
        <v>0.4</v>
      </c>
      <c r="C10" s="3" t="s">
        <v>9</v>
      </c>
    </row>
    <row r="11" spans="1:3" x14ac:dyDescent="0.25">
      <c r="A11" s="3"/>
      <c r="B11" s="3"/>
      <c r="C11" s="3"/>
    </row>
    <row r="12" spans="1:3" x14ac:dyDescent="0.25">
      <c r="A12" s="25" t="s">
        <v>10</v>
      </c>
      <c r="B12" s="26"/>
      <c r="C12" s="27"/>
    </row>
    <row r="13" spans="1:3" x14ac:dyDescent="0.25">
      <c r="A13" s="28"/>
      <c r="B13" s="29"/>
      <c r="C13" s="30"/>
    </row>
    <row r="14" spans="1:3" ht="18" x14ac:dyDescent="0.25">
      <c r="A14" s="3" t="s">
        <v>18</v>
      </c>
      <c r="B14" s="3">
        <f>B8*B10</f>
        <v>0.55555555555555569</v>
      </c>
      <c r="C14" s="3" t="s">
        <v>4</v>
      </c>
    </row>
    <row r="15" spans="1:3" x14ac:dyDescent="0.25">
      <c r="A15" s="3" t="s">
        <v>19</v>
      </c>
      <c r="B15" s="3">
        <f>B3/B2</f>
        <v>0.25</v>
      </c>
      <c r="C15" s="3"/>
    </row>
    <row r="16" spans="1:3" ht="18" x14ac:dyDescent="0.25">
      <c r="A16" s="3" t="s">
        <v>20</v>
      </c>
      <c r="B16" s="3">
        <v>0.96</v>
      </c>
      <c r="C16" s="3" t="s">
        <v>3</v>
      </c>
    </row>
    <row r="17" spans="1:3" ht="18" x14ac:dyDescent="0.25">
      <c r="A17" s="3" t="s">
        <v>21</v>
      </c>
      <c r="B17" s="5">
        <f>(B8*B15)/(B16*B9)</f>
        <v>1.2056327160493829E-6</v>
      </c>
      <c r="C17" s="3" t="s">
        <v>22</v>
      </c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</sheetData>
  <mergeCells count="1">
    <mergeCell ref="A12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="120" zoomScaleNormal="120" workbookViewId="0">
      <selection activeCell="D17" sqref="D17"/>
    </sheetView>
  </sheetViews>
  <sheetFormatPr defaultColWidth="9.140625" defaultRowHeight="15" x14ac:dyDescent="0.25"/>
  <cols>
    <col min="1" max="1" width="32.85546875" style="1" bestFit="1" customWidth="1"/>
    <col min="2" max="2" width="15.140625" style="1" customWidth="1"/>
    <col min="3" max="3" width="14.5703125" style="1" customWidth="1"/>
    <col min="4" max="4" width="45" style="1" bestFit="1" customWidth="1"/>
    <col min="5" max="5" width="9.140625" style="1"/>
    <col min="6" max="6" width="74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24</v>
      </c>
    </row>
    <row r="2" spans="1:6" ht="18" x14ac:dyDescent="0.25">
      <c r="A2" s="3" t="s">
        <v>23</v>
      </c>
      <c r="B2" s="4">
        <v>48</v>
      </c>
      <c r="C2" s="3" t="s">
        <v>3</v>
      </c>
      <c r="D2" s="7" t="s">
        <v>25</v>
      </c>
    </row>
    <row r="3" spans="1:6" ht="18" x14ac:dyDescent="0.25">
      <c r="A3" s="3" t="s">
        <v>26</v>
      </c>
      <c r="B3" s="4">
        <v>58</v>
      </c>
      <c r="C3" s="3" t="s">
        <v>3</v>
      </c>
      <c r="D3" s="7" t="s">
        <v>27</v>
      </c>
      <c r="F3" s="6"/>
    </row>
    <row r="4" spans="1:6" ht="18" x14ac:dyDescent="0.25">
      <c r="A4" s="3" t="s">
        <v>28</v>
      </c>
      <c r="B4" s="4">
        <v>93</v>
      </c>
      <c r="C4" s="3" t="s">
        <v>3</v>
      </c>
      <c r="D4" s="7" t="s">
        <v>29</v>
      </c>
      <c r="F4" s="6"/>
    </row>
    <row r="5" spans="1:6" ht="18" x14ac:dyDescent="0.25">
      <c r="A5" s="3" t="s">
        <v>30</v>
      </c>
      <c r="B5" s="4">
        <v>6.5</v>
      </c>
      <c r="C5" s="3" t="s">
        <v>4</v>
      </c>
      <c r="D5" s="7" t="s">
        <v>31</v>
      </c>
      <c r="F5" s="6"/>
    </row>
    <row r="6" spans="1:6" ht="18" x14ac:dyDescent="0.25">
      <c r="A6" s="3" t="s">
        <v>32</v>
      </c>
      <c r="B6" s="4">
        <v>600</v>
      </c>
      <c r="C6" s="3" t="s">
        <v>5</v>
      </c>
      <c r="D6" s="7" t="s">
        <v>33</v>
      </c>
      <c r="F6" s="6"/>
    </row>
    <row r="7" spans="1:6" ht="18" x14ac:dyDescent="0.25">
      <c r="A7" s="3" t="s">
        <v>34</v>
      </c>
      <c r="B7" s="4">
        <v>1</v>
      </c>
      <c r="C7" s="3" t="s">
        <v>35</v>
      </c>
      <c r="D7" s="7" t="s">
        <v>36</v>
      </c>
      <c r="F7" s="6"/>
    </row>
    <row r="8" spans="1:6" x14ac:dyDescent="0.25">
      <c r="A8" s="3"/>
      <c r="B8" s="5"/>
      <c r="C8" s="3"/>
      <c r="D8" s="7"/>
    </row>
    <row r="9" spans="1:6" x14ac:dyDescent="0.25">
      <c r="A9" s="3"/>
      <c r="B9" s="3"/>
      <c r="C9" s="3"/>
      <c r="D9" s="7"/>
    </row>
    <row r="10" spans="1:6" x14ac:dyDescent="0.25">
      <c r="A10" s="3"/>
      <c r="B10" s="3"/>
      <c r="C10" s="3"/>
      <c r="D10" s="7"/>
    </row>
    <row r="11" spans="1:6" x14ac:dyDescent="0.25">
      <c r="A11" s="3"/>
      <c r="B11" s="3"/>
      <c r="C11" s="3"/>
      <c r="D11" s="7"/>
    </row>
    <row r="12" spans="1:6" x14ac:dyDescent="0.25">
      <c r="A12" s="3"/>
      <c r="B12" s="3"/>
      <c r="C12" s="3"/>
      <c r="D12" s="7"/>
    </row>
    <row r="13" spans="1:6" x14ac:dyDescent="0.25">
      <c r="A13" s="3"/>
      <c r="B13" s="3"/>
      <c r="C13" s="3"/>
      <c r="D13" s="7"/>
    </row>
    <row r="14" spans="1:6" x14ac:dyDescent="0.25">
      <c r="A14" s="3"/>
      <c r="B14" s="5"/>
      <c r="C14" s="3"/>
      <c r="D14" s="7"/>
    </row>
    <row r="15" spans="1:6" x14ac:dyDescent="0.25">
      <c r="A15" s="3"/>
      <c r="B15" s="3"/>
      <c r="C15" s="3"/>
      <c r="D15" s="7"/>
    </row>
    <row r="16" spans="1:6" x14ac:dyDescent="0.25">
      <c r="A16" s="3"/>
      <c r="B16" s="3"/>
      <c r="C16" s="3"/>
      <c r="D16" s="7"/>
    </row>
    <row r="17" spans="1:4" x14ac:dyDescent="0.25">
      <c r="A17" s="3"/>
      <c r="B17" s="3"/>
      <c r="C17" s="3"/>
      <c r="D17" s="7"/>
    </row>
    <row r="18" spans="1:4" x14ac:dyDescent="0.25">
      <c r="A18" s="3"/>
      <c r="B18" s="3"/>
      <c r="C18" s="3"/>
      <c r="D18" s="7"/>
    </row>
    <row r="19" spans="1:4" x14ac:dyDescent="0.25">
      <c r="A19" s="3"/>
      <c r="B19" s="3"/>
      <c r="C19" s="3"/>
      <c r="D19" s="7"/>
    </row>
    <row r="20" spans="1:4" x14ac:dyDescent="0.25">
      <c r="A20" s="3"/>
      <c r="B20" s="3"/>
      <c r="C20" s="3"/>
      <c r="D20" s="7"/>
    </row>
    <row r="21" spans="1:4" x14ac:dyDescent="0.25">
      <c r="A21" s="3"/>
      <c r="B21" s="3"/>
      <c r="C21" s="3"/>
      <c r="D21" s="7"/>
    </row>
    <row r="22" spans="1:4" x14ac:dyDescent="0.25">
      <c r="A22" s="3"/>
      <c r="B22" s="3"/>
      <c r="C22" s="3"/>
      <c r="D22" s="7"/>
    </row>
    <row r="23" spans="1:4" x14ac:dyDescent="0.25">
      <c r="A23" s="3"/>
      <c r="B23" s="3"/>
      <c r="C23" s="3"/>
      <c r="D23" s="7"/>
    </row>
    <row r="24" spans="1:4" x14ac:dyDescent="0.25">
      <c r="A24" s="3"/>
      <c r="B24" s="3"/>
      <c r="C24" s="3"/>
      <c r="D2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zoomScale="120" zoomScaleNormal="120" workbookViewId="0">
      <selection activeCell="B4" sqref="B4"/>
    </sheetView>
  </sheetViews>
  <sheetFormatPr defaultColWidth="9.140625" defaultRowHeight="15" x14ac:dyDescent="0.25"/>
  <cols>
    <col min="1" max="1" width="32.85546875" style="1" bestFit="1" customWidth="1"/>
    <col min="2" max="2" width="15.140625" style="1" customWidth="1"/>
    <col min="3" max="3" width="14.5703125" style="1" customWidth="1"/>
    <col min="4" max="4" width="95.5703125" style="1" bestFit="1" customWidth="1"/>
    <col min="5" max="5" width="9.140625" style="1"/>
    <col min="6" max="6" width="74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24</v>
      </c>
    </row>
    <row r="2" spans="1:6" ht="18" x14ac:dyDescent="0.25">
      <c r="A2" s="3" t="s">
        <v>43</v>
      </c>
      <c r="B2" s="8">
        <v>2.2000000000000001E-6</v>
      </c>
      <c r="C2" s="3" t="s">
        <v>22</v>
      </c>
      <c r="D2" s="31" t="s">
        <v>38</v>
      </c>
    </row>
    <row r="3" spans="1:6" ht="18" x14ac:dyDescent="0.25">
      <c r="A3" s="3" t="s">
        <v>42</v>
      </c>
      <c r="B3" s="8">
        <v>2.2000000000000001E-6</v>
      </c>
      <c r="C3" s="3" t="s">
        <v>22</v>
      </c>
      <c r="D3" s="32"/>
      <c r="F3" s="6"/>
    </row>
    <row r="4" spans="1:6" x14ac:dyDescent="0.25">
      <c r="A4" s="3" t="s">
        <v>41</v>
      </c>
      <c r="B4" s="8">
        <v>1.0000000000000001E-5</v>
      </c>
      <c r="C4" s="3" t="s">
        <v>22</v>
      </c>
      <c r="D4" s="7" t="s">
        <v>37</v>
      </c>
      <c r="F4" s="6"/>
    </row>
    <row r="5" spans="1:6" x14ac:dyDescent="0.25">
      <c r="A5" s="33"/>
      <c r="B5" s="34"/>
      <c r="C5" s="34"/>
      <c r="D5" s="35"/>
      <c r="F5" s="6"/>
    </row>
    <row r="6" spans="1:6" ht="18" x14ac:dyDescent="0.25">
      <c r="A6" s="3" t="s">
        <v>39</v>
      </c>
      <c r="B6" s="9">
        <f>(B2*B3)/(B2+B3)</f>
        <v>1.1000000000000001E-6</v>
      </c>
      <c r="C6" s="3" t="s">
        <v>22</v>
      </c>
      <c r="D6" s="7"/>
      <c r="F6" s="6"/>
    </row>
    <row r="7" spans="1:6" ht="18" x14ac:dyDescent="0.25">
      <c r="A7" s="3" t="s">
        <v>40</v>
      </c>
      <c r="B7" s="10">
        <f>1/(2*3.14*SQRT(B4*B6))</f>
        <v>48011.360601554712</v>
      </c>
      <c r="C7" s="3" t="s">
        <v>7</v>
      </c>
      <c r="D7" s="7"/>
      <c r="F7" s="6"/>
    </row>
    <row r="8" spans="1:6" x14ac:dyDescent="0.25">
      <c r="A8" s="3"/>
      <c r="B8" s="5"/>
      <c r="C8" s="3"/>
      <c r="D8" s="7"/>
    </row>
    <row r="9" spans="1:6" x14ac:dyDescent="0.25">
      <c r="A9" s="3"/>
      <c r="B9" s="3"/>
      <c r="C9" s="3"/>
      <c r="D9" s="7"/>
    </row>
    <row r="10" spans="1:6" x14ac:dyDescent="0.25">
      <c r="A10" s="3"/>
      <c r="B10" s="3"/>
      <c r="C10" s="3"/>
      <c r="D10" s="7"/>
    </row>
    <row r="11" spans="1:6" x14ac:dyDescent="0.25">
      <c r="A11" s="3"/>
      <c r="B11" s="3"/>
      <c r="C11" s="3"/>
      <c r="D11" s="7"/>
    </row>
    <row r="12" spans="1:6" x14ac:dyDescent="0.25">
      <c r="A12" s="3"/>
      <c r="B12" s="3"/>
      <c r="C12" s="3"/>
      <c r="D12" s="7"/>
    </row>
    <row r="13" spans="1:6" x14ac:dyDescent="0.25">
      <c r="A13" s="3"/>
      <c r="B13" s="3"/>
      <c r="C13" s="3"/>
      <c r="D13" s="7"/>
    </row>
    <row r="14" spans="1:6" x14ac:dyDescent="0.25">
      <c r="A14" s="3"/>
      <c r="B14" s="5"/>
      <c r="C14" s="3"/>
      <c r="D14" s="7"/>
    </row>
    <row r="15" spans="1:6" x14ac:dyDescent="0.25">
      <c r="A15" s="3"/>
      <c r="B15" s="3"/>
      <c r="C15" s="3"/>
      <c r="D15" s="7"/>
    </row>
    <row r="16" spans="1:6" x14ac:dyDescent="0.25">
      <c r="A16" s="3"/>
      <c r="B16" s="3"/>
      <c r="C16" s="3"/>
      <c r="D16" s="7"/>
    </row>
    <row r="17" spans="1:4" x14ac:dyDescent="0.25">
      <c r="A17" s="3"/>
      <c r="B17" s="3"/>
      <c r="C17" s="3"/>
      <c r="D17" s="7"/>
    </row>
    <row r="18" spans="1:4" x14ac:dyDescent="0.25">
      <c r="A18" s="3"/>
      <c r="B18" s="3"/>
      <c r="C18" s="3"/>
      <c r="D18" s="7"/>
    </row>
    <row r="19" spans="1:4" x14ac:dyDescent="0.25">
      <c r="A19" s="3"/>
      <c r="B19" s="3"/>
      <c r="C19" s="3"/>
      <c r="D19" s="7"/>
    </row>
    <row r="20" spans="1:4" x14ac:dyDescent="0.25">
      <c r="A20" s="3"/>
      <c r="B20" s="3"/>
      <c r="C20" s="3"/>
      <c r="D20" s="7"/>
    </row>
    <row r="21" spans="1:4" x14ac:dyDescent="0.25">
      <c r="A21" s="3"/>
      <c r="B21" s="3"/>
      <c r="C21" s="3"/>
      <c r="D21" s="7"/>
    </row>
    <row r="22" spans="1:4" x14ac:dyDescent="0.25">
      <c r="A22" s="3"/>
      <c r="B22" s="3"/>
      <c r="C22" s="3"/>
      <c r="D22" s="7"/>
    </row>
    <row r="23" spans="1:4" x14ac:dyDescent="0.25">
      <c r="A23" s="3"/>
      <c r="B23" s="3"/>
      <c r="C23" s="3"/>
      <c r="D23" s="7"/>
    </row>
    <row r="24" spans="1:4" x14ac:dyDescent="0.25">
      <c r="A24" s="3"/>
      <c r="B24" s="3"/>
      <c r="C24" s="3"/>
      <c r="D24" s="7"/>
    </row>
  </sheetData>
  <mergeCells count="2">
    <mergeCell ref="D2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TPS54360</vt:lpstr>
      <vt:lpstr>Input Capacitance</vt:lpstr>
      <vt:lpstr>Input TVS Diode</vt:lpstr>
      <vt:lpstr>Pi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Khanna</dc:creator>
  <cp:lastModifiedBy>Satyam Khanna</cp:lastModifiedBy>
  <dcterms:created xsi:type="dcterms:W3CDTF">2025-03-07T10:04:45Z</dcterms:created>
  <dcterms:modified xsi:type="dcterms:W3CDTF">2025-03-21T12:40:56Z</dcterms:modified>
</cp:coreProperties>
</file>