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4295" yWindow="0" windowWidth="14610" windowHeight="15585"/>
  </bookViews>
  <sheets>
    <sheet name="TPS54360" sheetId="5" r:id="rId1"/>
    <sheet name="Input Capacitance" sheetId="1" r:id="rId2"/>
    <sheet name="Input TVS Diode" sheetId="3" r:id="rId3"/>
    <sheet name="Pi Filter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3" i="5" l="1"/>
  <c r="H59" i="5"/>
  <c r="B82" i="5"/>
  <c r="B44" i="5"/>
  <c r="B78" i="5" l="1"/>
  <c r="B74" i="5"/>
  <c r="B69" i="5"/>
  <c r="B68" i="5"/>
  <c r="D58" i="5"/>
  <c r="B58" i="5"/>
  <c r="B56" i="5"/>
  <c r="B40" i="5"/>
  <c r="B10" i="5"/>
  <c r="B37" i="5" s="1"/>
  <c r="B9" i="5"/>
  <c r="B39" i="5"/>
  <c r="B38" i="5"/>
  <c r="B30" i="5"/>
  <c r="B14" i="5"/>
  <c r="B20" i="5" s="1"/>
  <c r="B22" i="5" s="1"/>
  <c r="B23" i="5" s="1"/>
  <c r="B24" i="5" s="1"/>
  <c r="B21" i="5"/>
  <c r="B6" i="4"/>
  <c r="B7" i="4" s="1"/>
  <c r="B17" i="1"/>
  <c r="B15" i="1"/>
  <c r="B14" i="1"/>
  <c r="B8" i="1"/>
  <c r="B7" i="1"/>
  <c r="B5" i="1"/>
  <c r="B52" i="5" l="1"/>
  <c r="D52" i="5" s="1"/>
  <c r="B42" i="5"/>
  <c r="B41" i="5"/>
  <c r="B29" i="5"/>
  <c r="D29" i="5" s="1"/>
  <c r="B31" i="5"/>
  <c r="B43" i="5" l="1"/>
  <c r="B46" i="5"/>
  <c r="B45" i="5"/>
  <c r="B33" i="5"/>
  <c r="B32" i="5"/>
</calcChain>
</file>

<file path=xl/sharedStrings.xml><?xml version="1.0" encoding="utf-8"?>
<sst xmlns="http://schemas.openxmlformats.org/spreadsheetml/2006/main" count="232" uniqueCount="127">
  <si>
    <t>Parameter</t>
  </si>
  <si>
    <t>Value</t>
  </si>
  <si>
    <t>Unit</t>
  </si>
  <si>
    <t>V</t>
  </si>
  <si>
    <t>A</t>
  </si>
  <si>
    <t>W</t>
  </si>
  <si>
    <t>Efficiency</t>
  </si>
  <si>
    <t>Hz</t>
  </si>
  <si>
    <t>Ripple Current Ratio, k</t>
  </si>
  <si>
    <t>0.3 - 0.5</t>
  </si>
  <si>
    <t>Required Input Capacitance</t>
  </si>
  <si>
    <r>
      <t>Input Voltage, V</t>
    </r>
    <r>
      <rPr>
        <b/>
        <vertAlign val="subscript"/>
        <sz val="11"/>
        <color theme="1"/>
        <rFont val="Aptos Narrow"/>
        <family val="2"/>
        <scheme val="minor"/>
      </rPr>
      <t>INPUT</t>
    </r>
  </si>
  <si>
    <r>
      <t>Output Voltage, V</t>
    </r>
    <r>
      <rPr>
        <b/>
        <vertAlign val="subscript"/>
        <sz val="11"/>
        <color theme="1"/>
        <rFont val="Aptos Narrow"/>
        <family val="2"/>
        <scheme val="minor"/>
      </rPr>
      <t>OUTPUT</t>
    </r>
  </si>
  <si>
    <r>
      <t>Output Current, I</t>
    </r>
    <r>
      <rPr>
        <b/>
        <vertAlign val="subscript"/>
        <sz val="11"/>
        <color theme="1"/>
        <rFont val="Aptos Narrow"/>
        <family val="2"/>
        <scheme val="minor"/>
      </rPr>
      <t>OUTPUT</t>
    </r>
  </si>
  <si>
    <r>
      <t>Power Output, P</t>
    </r>
    <r>
      <rPr>
        <b/>
        <vertAlign val="subscript"/>
        <sz val="11"/>
        <color theme="1"/>
        <rFont val="Aptos Narrow"/>
        <family val="2"/>
        <scheme val="minor"/>
      </rPr>
      <t>OUTPUT</t>
    </r>
  </si>
  <si>
    <r>
      <t>Input Power, P</t>
    </r>
    <r>
      <rPr>
        <b/>
        <vertAlign val="subscript"/>
        <sz val="11"/>
        <color theme="1"/>
        <rFont val="Aptos Narrow"/>
        <family val="2"/>
        <scheme val="minor"/>
      </rPr>
      <t>INPUT</t>
    </r>
  </si>
  <si>
    <r>
      <t>Input Current, I</t>
    </r>
    <r>
      <rPr>
        <b/>
        <vertAlign val="subscript"/>
        <sz val="11"/>
        <color theme="1"/>
        <rFont val="Aptos Narrow"/>
        <family val="2"/>
        <scheme val="minor"/>
      </rPr>
      <t>INPUT</t>
    </r>
  </si>
  <si>
    <r>
      <t>Switching Frequency, F</t>
    </r>
    <r>
      <rPr>
        <b/>
        <vertAlign val="subscript"/>
        <sz val="11"/>
        <color theme="1"/>
        <rFont val="Aptos Narrow"/>
        <family val="2"/>
        <scheme val="minor"/>
      </rPr>
      <t>SW</t>
    </r>
  </si>
  <si>
    <r>
      <t>RMS Current, I</t>
    </r>
    <r>
      <rPr>
        <b/>
        <vertAlign val="subscript"/>
        <sz val="11"/>
        <color theme="1"/>
        <rFont val="Aptos Narrow"/>
        <family val="2"/>
        <scheme val="minor"/>
      </rPr>
      <t>RMS</t>
    </r>
  </si>
  <si>
    <t>Duty Cycle, D</t>
  </si>
  <si>
    <r>
      <t xml:space="preserve">Ripple Voltage, </t>
    </r>
    <r>
      <rPr>
        <b/>
        <sz val="11"/>
        <color theme="1"/>
        <rFont val="Aptos Narrow"/>
        <family val="2"/>
      </rPr>
      <t>∆</t>
    </r>
    <r>
      <rPr>
        <b/>
        <sz val="13.2"/>
        <color theme="1"/>
        <rFont val="Aptos Narrow"/>
        <family val="2"/>
      </rPr>
      <t>V</t>
    </r>
  </si>
  <si>
    <r>
      <t>Minimum Input Capacitance, C</t>
    </r>
    <r>
      <rPr>
        <b/>
        <vertAlign val="subscript"/>
        <sz val="11"/>
        <color theme="1"/>
        <rFont val="Aptos Narrow"/>
        <family val="2"/>
        <scheme val="minor"/>
      </rPr>
      <t>INPUT</t>
    </r>
  </si>
  <si>
    <t>F</t>
  </si>
  <si>
    <r>
      <t>Reverse Standoff Voltage, V</t>
    </r>
    <r>
      <rPr>
        <b/>
        <vertAlign val="subscript"/>
        <sz val="11"/>
        <color theme="1"/>
        <rFont val="Aptos Narrow"/>
        <family val="2"/>
        <scheme val="minor"/>
      </rPr>
      <t>RV</t>
    </r>
  </si>
  <si>
    <t>Remarks</t>
  </si>
  <si>
    <t>The maximum operating voltage without leakage</t>
  </si>
  <si>
    <r>
      <t>Breakdown Voltage, V</t>
    </r>
    <r>
      <rPr>
        <b/>
        <vertAlign val="subscript"/>
        <sz val="11"/>
        <color theme="1"/>
        <rFont val="Aptos Narrow"/>
        <family val="2"/>
        <scheme val="minor"/>
      </rPr>
      <t>BR</t>
    </r>
  </si>
  <si>
    <t>The voltage where the diode starts conducting</t>
  </si>
  <si>
    <r>
      <t>Clamping Voltage, V</t>
    </r>
    <r>
      <rPr>
        <b/>
        <vertAlign val="subscript"/>
        <sz val="11"/>
        <color theme="1"/>
        <rFont val="Aptos Narrow"/>
        <family val="2"/>
        <scheme val="minor"/>
      </rPr>
      <t>CL</t>
    </r>
  </si>
  <si>
    <t>The voltage at which the diode limits the transient</t>
  </si>
  <si>
    <r>
      <t>Peak Pulse Current, I</t>
    </r>
    <r>
      <rPr>
        <b/>
        <vertAlign val="subscript"/>
        <sz val="11"/>
        <color theme="1"/>
        <rFont val="Aptos Narrow"/>
        <family val="2"/>
        <scheme val="minor"/>
      </rPr>
      <t>PPC</t>
    </r>
  </si>
  <si>
    <t>Maximum surge current it can handle</t>
  </si>
  <si>
    <r>
      <t>Power Dissipation, P</t>
    </r>
    <r>
      <rPr>
        <b/>
        <vertAlign val="subscript"/>
        <sz val="11"/>
        <color theme="1"/>
        <rFont val="Aptos Narrow"/>
        <family val="2"/>
        <scheme val="minor"/>
      </rPr>
      <t>D</t>
    </r>
  </si>
  <si>
    <t>Energy it can absorb without damage</t>
  </si>
  <si>
    <r>
      <t>Time Response, T</t>
    </r>
    <r>
      <rPr>
        <b/>
        <vertAlign val="subscript"/>
        <sz val="11"/>
        <color theme="1"/>
        <rFont val="Aptos Narrow"/>
        <family val="2"/>
        <scheme val="minor"/>
      </rPr>
      <t>R</t>
    </r>
  </si>
  <si>
    <t>pS</t>
  </si>
  <si>
    <t>Time taken to clamp voltage spikes</t>
  </si>
  <si>
    <t>A higher inductance provides better noise filtering but can cause a voltage drop if too high</t>
  </si>
  <si>
    <t>Higher capacitance provides better ripple suppression, but excessive capacitance can lead to resonance</t>
  </si>
  <si>
    <r>
      <t>Equivalent Capacitance, C</t>
    </r>
    <r>
      <rPr>
        <b/>
        <vertAlign val="subscript"/>
        <sz val="11"/>
        <color theme="1"/>
        <rFont val="Aptos Narrow"/>
        <family val="2"/>
        <scheme val="minor"/>
      </rPr>
      <t>EQ</t>
    </r>
  </si>
  <si>
    <r>
      <t>Filter Cutoff Frequency, F</t>
    </r>
    <r>
      <rPr>
        <b/>
        <vertAlign val="subscript"/>
        <sz val="11"/>
        <color theme="1"/>
        <rFont val="Aptos Narrow"/>
        <family val="2"/>
        <scheme val="minor"/>
      </rPr>
      <t>C</t>
    </r>
  </si>
  <si>
    <t>Inductor, L</t>
  </si>
  <si>
    <r>
      <t>Output Capacitor, C</t>
    </r>
    <r>
      <rPr>
        <b/>
        <vertAlign val="subscript"/>
        <sz val="11"/>
        <color theme="1"/>
        <rFont val="Aptos Narrow"/>
        <family val="2"/>
        <scheme val="minor"/>
      </rPr>
      <t>2</t>
    </r>
  </si>
  <si>
    <r>
      <t>Input Capacitor, C</t>
    </r>
    <r>
      <rPr>
        <b/>
        <vertAlign val="subscript"/>
        <sz val="11"/>
        <color theme="1"/>
        <rFont val="Aptos Narrow"/>
        <family val="2"/>
        <scheme val="minor"/>
      </rPr>
      <t>1</t>
    </r>
  </si>
  <si>
    <t>Parameter Name</t>
  </si>
  <si>
    <t xml:space="preserve">Unit </t>
  </si>
  <si>
    <t>DESIGN PARAMETERS</t>
  </si>
  <si>
    <t>Output Voltage</t>
  </si>
  <si>
    <t>Output Current</t>
  </si>
  <si>
    <t>%</t>
  </si>
  <si>
    <t>Output Voltage Ripple</t>
  </si>
  <si>
    <t>Transient Response</t>
  </si>
  <si>
    <t>STEP 1: SWITCHING FREQUENCY</t>
  </si>
  <si>
    <t>Minimum On Time</t>
  </si>
  <si>
    <t>Inductor DCR</t>
  </si>
  <si>
    <t>mOhm</t>
  </si>
  <si>
    <t>Catch Diode Voltage</t>
  </si>
  <si>
    <t>Switch RDS ON</t>
  </si>
  <si>
    <t>Output Current Limit</t>
  </si>
  <si>
    <t>FSW SKIP</t>
  </si>
  <si>
    <t>FSW SHIFT</t>
  </si>
  <si>
    <t>Ohm</t>
  </si>
  <si>
    <t>S</t>
  </si>
  <si>
    <t>Output Short Circuit Voltage</t>
  </si>
  <si>
    <t>Choosen Frequency</t>
  </si>
  <si>
    <t>Timing Resistor, RT</t>
  </si>
  <si>
    <t>Frequency Tolerance With Selected RT</t>
  </si>
  <si>
    <t>kOhm</t>
  </si>
  <si>
    <t>STEP 2: OUTPUT INDUCTOR</t>
  </si>
  <si>
    <r>
      <t>K</t>
    </r>
    <r>
      <rPr>
        <b/>
        <vertAlign val="subscript"/>
        <sz val="11"/>
        <color theme="1"/>
        <rFont val="Aptos Narrow"/>
        <family val="2"/>
        <scheme val="minor"/>
      </rPr>
      <t>IND</t>
    </r>
  </si>
  <si>
    <t>Ratio of inductor ripple current to maximum output current, 0.2 for low ESR and 0.3 when using higher ESR output capacitor</t>
  </si>
  <si>
    <t>Minimum Inductance Value</t>
  </si>
  <si>
    <t>Inductor Ripple Current</t>
  </si>
  <si>
    <t>RMS Current</t>
  </si>
  <si>
    <t>Peak Current</t>
  </si>
  <si>
    <t>STEP 3: OUTPUT CAPACITOR</t>
  </si>
  <si>
    <t>H ---&gt; uH</t>
  </si>
  <si>
    <t>H &lt;--- uH</t>
  </si>
  <si>
    <t>Selected Inductance Value, FILL MANUALY</t>
  </si>
  <si>
    <t>Change in Output Current</t>
  </si>
  <si>
    <t>Output Current Low Load Level</t>
  </si>
  <si>
    <t>Output Current High Load Level</t>
  </si>
  <si>
    <t>Change in Output Voltage</t>
  </si>
  <si>
    <t>Max Allowed Deviation in Output Voltage</t>
  </si>
  <si>
    <t>Output Capactance EQ1</t>
  </si>
  <si>
    <t>the minimum output capacitance necessary</t>
  </si>
  <si>
    <t>Output Capactance EQ2</t>
  </si>
  <si>
    <t>Output Capactance EQ3</t>
  </si>
  <si>
    <t>uF</t>
  </si>
  <si>
    <t>the minimum output capacitance to keep output voltage overshoot to desired value</t>
  </si>
  <si>
    <t>the minimum output capacitance needed to meet  the output voltage ripple specification</t>
  </si>
  <si>
    <t>Minimum Capacitance Deduced</t>
  </si>
  <si>
    <t>Maximum  ESR</t>
  </si>
  <si>
    <t>mA</t>
  </si>
  <si>
    <t>Minimum RMS Current</t>
  </si>
  <si>
    <t>Check Cap Parameter</t>
  </si>
  <si>
    <t>STEP 4: CATCH DIODE</t>
  </si>
  <si>
    <t>Maximum Power Dissipation Expected</t>
  </si>
  <si>
    <t>FILL MANUALLY</t>
  </si>
  <si>
    <t>F --- &gt;pF</t>
  </si>
  <si>
    <t>Maximum Junction Capacitance</t>
  </si>
  <si>
    <t>Maximu Diode Forward Drop</t>
  </si>
  <si>
    <t>STEP 5: INPUT CAPACITOR</t>
  </si>
  <si>
    <t>Minimum Input Voltage</t>
  </si>
  <si>
    <t>Maximum Input Voltage</t>
  </si>
  <si>
    <t>Input RMS Current</t>
  </si>
  <si>
    <t>Maximum Input Current Ripple</t>
  </si>
  <si>
    <t>Minimum Input Capacitance</t>
  </si>
  <si>
    <t>F --- &gt;uF</t>
  </si>
  <si>
    <t>Selected Capacitors</t>
  </si>
  <si>
    <t>2 x 4.7uF</t>
  </si>
  <si>
    <t>2 x 4.7uF, 100V, Low ESR</t>
  </si>
  <si>
    <t>STEP 6: BOOTSTRAP CAPACITOR</t>
  </si>
  <si>
    <t>Capacitance</t>
  </si>
  <si>
    <t>Voltage</t>
  </si>
  <si>
    <t>nF</t>
  </si>
  <si>
    <t>STEP 6: UVLO RESISTORS</t>
  </si>
  <si>
    <t>High Side Res</t>
  </si>
  <si>
    <t>Low Side Res</t>
  </si>
  <si>
    <t>STEP 7: FEEDBACK RESISTORS</t>
  </si>
  <si>
    <t>110K + 30K</t>
  </si>
  <si>
    <t>STEP 8: MINIMUM INPUT VOLTAGE</t>
  </si>
  <si>
    <t>VIN MIN</t>
  </si>
  <si>
    <t>STEP 9: COMPENSATION NETWORK</t>
  </si>
  <si>
    <t>Modulator Frequency</t>
  </si>
  <si>
    <t>Zero Frequency</t>
  </si>
  <si>
    <t>3 x 47uF, 25V, 5mOhm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</si>
</sst>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000000000"/>
    <numFmt numFmtId="166" formatCode="0.000000000"/>
    <numFmt numFmtId="167" formatCode="0.000000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3.2"/>
      <color theme="1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topLeftCell="A44" workbookViewId="0">
      <selection activeCell="B83" sqref="B83"/>
    </sheetView>
  </sheetViews>
  <sheetFormatPr defaultColWidth="9.125" defaultRowHeight="15"/>
  <cols>
    <col min="1" max="1" width="39.625" style="12" bestFit="1" customWidth="1"/>
    <col min="2" max="2" width="14.75" style="12" bestFit="1" customWidth="1"/>
    <col min="3" max="3" width="9" style="12" bestFit="1" customWidth="1"/>
    <col min="4" max="4" width="52.625" style="12" bestFit="1" customWidth="1"/>
    <col min="5" max="7" width="9.125" style="12"/>
    <col min="8" max="8" width="10.875" style="12" bestFit="1" customWidth="1"/>
    <col min="9" max="16384" width="9.125" style="12"/>
  </cols>
  <sheetData>
    <row r="1" spans="1:9">
      <c r="A1" s="25" t="s">
        <v>46</v>
      </c>
      <c r="B1" s="25"/>
      <c r="C1" s="25"/>
      <c r="D1" s="25"/>
      <c r="E1" s="11"/>
      <c r="F1" s="11"/>
      <c r="G1" s="11"/>
      <c r="H1" s="11"/>
      <c r="I1" s="11"/>
    </row>
    <row r="2" spans="1:9">
      <c r="A2" s="2" t="s">
        <v>44</v>
      </c>
      <c r="B2" s="2" t="s">
        <v>1</v>
      </c>
      <c r="C2" s="2" t="s">
        <v>45</v>
      </c>
      <c r="D2" s="2" t="s">
        <v>24</v>
      </c>
    </row>
    <row r="3" spans="1:9">
      <c r="A3" s="17" t="s">
        <v>103</v>
      </c>
      <c r="B3" s="17">
        <v>15</v>
      </c>
      <c r="C3" s="17" t="s">
        <v>3</v>
      </c>
      <c r="D3" s="17"/>
    </row>
    <row r="4" spans="1:9">
      <c r="A4" s="3" t="s">
        <v>104</v>
      </c>
      <c r="B4" s="3">
        <v>60</v>
      </c>
      <c r="C4" s="3" t="s">
        <v>3</v>
      </c>
      <c r="D4" s="3"/>
    </row>
    <row r="5" spans="1:9">
      <c r="A5" s="3" t="s">
        <v>47</v>
      </c>
      <c r="B5" s="3">
        <v>12</v>
      </c>
      <c r="C5" s="3" t="s">
        <v>3</v>
      </c>
      <c r="D5" s="3"/>
    </row>
    <row r="6" spans="1:9">
      <c r="A6" s="3" t="s">
        <v>48</v>
      </c>
      <c r="B6" s="3">
        <v>3</v>
      </c>
      <c r="C6" s="3" t="s">
        <v>4</v>
      </c>
      <c r="D6" s="3"/>
    </row>
    <row r="7" spans="1:9">
      <c r="A7" s="3" t="s">
        <v>50</v>
      </c>
      <c r="B7" s="3">
        <v>0.5</v>
      </c>
      <c r="C7" s="3" t="s">
        <v>49</v>
      </c>
      <c r="D7" s="3"/>
    </row>
    <row r="8" spans="1:9">
      <c r="A8" s="3" t="s">
        <v>51</v>
      </c>
      <c r="B8" s="3">
        <v>1</v>
      </c>
      <c r="C8" s="3" t="s">
        <v>49</v>
      </c>
      <c r="D8" s="3"/>
    </row>
    <row r="9" spans="1:9">
      <c r="A9" s="3" t="s">
        <v>80</v>
      </c>
      <c r="B9" s="3">
        <f>0.25*B6</f>
        <v>0.75</v>
      </c>
      <c r="C9" s="3" t="s">
        <v>4</v>
      </c>
      <c r="D9" s="3"/>
    </row>
    <row r="10" spans="1:9">
      <c r="A10" s="3" t="s">
        <v>81</v>
      </c>
      <c r="B10" s="3">
        <f>0.75*B6</f>
        <v>2.25</v>
      </c>
      <c r="C10" s="3" t="s">
        <v>4</v>
      </c>
      <c r="D10" s="3"/>
    </row>
    <row r="12" spans="1:9">
      <c r="A12" s="25" t="s">
        <v>52</v>
      </c>
      <c r="B12" s="25"/>
      <c r="C12" s="25"/>
      <c r="D12" s="25"/>
    </row>
    <row r="13" spans="1:9">
      <c r="A13" s="2" t="s">
        <v>44</v>
      </c>
      <c r="B13" s="2" t="s">
        <v>1</v>
      </c>
      <c r="C13" s="2" t="s">
        <v>45</v>
      </c>
      <c r="D13" s="2" t="s">
        <v>24</v>
      </c>
    </row>
    <row r="14" spans="1:9">
      <c r="A14" s="3" t="s">
        <v>53</v>
      </c>
      <c r="B14" s="13">
        <f>135/1000000000</f>
        <v>1.35E-7</v>
      </c>
      <c r="C14" s="3" t="s">
        <v>62</v>
      </c>
      <c r="D14" s="3"/>
    </row>
    <row r="15" spans="1:9">
      <c r="A15" s="3" t="s">
        <v>54</v>
      </c>
      <c r="B15" s="3">
        <v>2.5000000000000001E-2</v>
      </c>
      <c r="C15" s="3" t="s">
        <v>61</v>
      </c>
      <c r="D15" s="3"/>
    </row>
    <row r="16" spans="1:9">
      <c r="A16" s="3" t="s">
        <v>56</v>
      </c>
      <c r="B16" s="3">
        <v>0.7</v>
      </c>
      <c r="C16" s="3" t="s">
        <v>3</v>
      </c>
      <c r="D16" s="3"/>
    </row>
    <row r="17" spans="1:4">
      <c r="A17" s="3" t="s">
        <v>57</v>
      </c>
      <c r="B17" s="3">
        <v>9.1999999999999998E-2</v>
      </c>
      <c r="C17" s="3" t="s">
        <v>61</v>
      </c>
      <c r="D17" s="3"/>
    </row>
    <row r="18" spans="1:4">
      <c r="A18" s="3" t="s">
        <v>58</v>
      </c>
      <c r="B18" s="3">
        <v>4.5</v>
      </c>
      <c r="C18" s="3" t="s">
        <v>4</v>
      </c>
      <c r="D18" s="3"/>
    </row>
    <row r="19" spans="1:4">
      <c r="A19" s="3" t="s">
        <v>63</v>
      </c>
      <c r="B19" s="3">
        <v>0.1</v>
      </c>
      <c r="C19" s="3" t="s">
        <v>3</v>
      </c>
      <c r="D19" s="3"/>
    </row>
    <row r="20" spans="1:4">
      <c r="A20" s="3" t="s">
        <v>59</v>
      </c>
      <c r="B20" s="14">
        <f>(B6*B15+B5+B16)/(B4-B6*B17+B16)*(1/B14)</f>
        <v>1566093.4335633127</v>
      </c>
      <c r="C20" s="3" t="s">
        <v>7</v>
      </c>
      <c r="D20" s="3"/>
    </row>
    <row r="21" spans="1:4">
      <c r="A21" s="3" t="s">
        <v>60</v>
      </c>
      <c r="B21" s="14">
        <f>(8/B14)*((B18*B15)+B19+B16)/(B4-(B18*B17)+B16)</f>
        <v>896959.06303410523</v>
      </c>
      <c r="C21" s="3" t="s">
        <v>7</v>
      </c>
      <c r="D21" s="3"/>
    </row>
    <row r="22" spans="1:4">
      <c r="A22" s="3" t="s">
        <v>64</v>
      </c>
      <c r="B22" s="15">
        <f>ROUND(MIN(ROUND(B20,-5), ROUND(B21,-5)) - 100000, -5)</f>
        <v>800000</v>
      </c>
      <c r="C22" s="3" t="s">
        <v>7</v>
      </c>
      <c r="D22" s="3"/>
    </row>
    <row r="23" spans="1:4">
      <c r="A23" s="3" t="s">
        <v>65</v>
      </c>
      <c r="B23" s="14">
        <f>MROUND(101756/((B22/1000)^1.008)*1000,10000)/1000</f>
        <v>120</v>
      </c>
      <c r="C23" s="3" t="s">
        <v>67</v>
      </c>
      <c r="D23" s="3"/>
    </row>
    <row r="24" spans="1:4">
      <c r="A24" s="3" t="s">
        <v>66</v>
      </c>
      <c r="B24" s="3">
        <f>POWER(101756 / B23, 1 / 1.008)*1000</f>
        <v>803780.89480373147</v>
      </c>
      <c r="C24" s="3" t="s">
        <v>7</v>
      </c>
      <c r="D24" s="3"/>
    </row>
    <row r="26" spans="1:4">
      <c r="A26" s="25" t="s">
        <v>68</v>
      </c>
      <c r="B26" s="25"/>
      <c r="C26" s="25"/>
      <c r="D26" s="25"/>
    </row>
    <row r="27" spans="1:4">
      <c r="A27" s="2" t="s">
        <v>44</v>
      </c>
      <c r="B27" s="2" t="s">
        <v>1</v>
      </c>
      <c r="C27" s="2" t="s">
        <v>45</v>
      </c>
      <c r="D27" s="2" t="s">
        <v>24</v>
      </c>
    </row>
    <row r="28" spans="1:4" ht="45">
      <c r="A28" s="3" t="s">
        <v>69</v>
      </c>
      <c r="B28" s="3">
        <v>0.2</v>
      </c>
      <c r="C28" s="3"/>
      <c r="D28" s="18" t="s">
        <v>70</v>
      </c>
    </row>
    <row r="29" spans="1:4">
      <c r="A29" s="3" t="s">
        <v>71</v>
      </c>
      <c r="B29" s="19">
        <f>((B4-B5)*B5)/(B6*B28*B4*B22)</f>
        <v>1.9999999999999995E-5</v>
      </c>
      <c r="C29" s="3" t="s">
        <v>76</v>
      </c>
      <c r="D29" s="3">
        <f>B29*1000000</f>
        <v>19.999999999999996</v>
      </c>
    </row>
    <row r="30" spans="1:4">
      <c r="A30" s="16" t="s">
        <v>78</v>
      </c>
      <c r="B30" s="16">
        <f>D30/1000000</f>
        <v>2.1999999999999999E-5</v>
      </c>
      <c r="C30" s="16" t="s">
        <v>77</v>
      </c>
      <c r="D30" s="16">
        <v>22</v>
      </c>
    </row>
    <row r="31" spans="1:4">
      <c r="A31" s="3" t="s">
        <v>72</v>
      </c>
      <c r="B31" s="3">
        <f>(B5*(B4-B5))/(B4*B30*B22)</f>
        <v>0.54545454545454541</v>
      </c>
      <c r="C31" s="3" t="s">
        <v>4</v>
      </c>
      <c r="D31" s="3"/>
    </row>
    <row r="32" spans="1:4">
      <c r="A32" s="20" t="s">
        <v>73</v>
      </c>
      <c r="B32" s="20">
        <f>SQRT((B6^2)+((1/12)*(B31^2)))</f>
        <v>3.0041293894287828</v>
      </c>
      <c r="C32" s="20" t="s">
        <v>4</v>
      </c>
      <c r="D32" s="20"/>
    </row>
    <row r="33" spans="1:4">
      <c r="A33" s="3" t="s">
        <v>74</v>
      </c>
      <c r="B33" s="3">
        <f>B6+(B31/2)</f>
        <v>3.2727272727272725</v>
      </c>
      <c r="C33" s="3" t="s">
        <v>4</v>
      </c>
      <c r="D33" s="3"/>
    </row>
    <row r="34" spans="1:4">
      <c r="A34" s="21"/>
      <c r="B34" s="21"/>
      <c r="C34" s="21"/>
      <c r="D34" s="21"/>
    </row>
    <row r="35" spans="1:4">
      <c r="A35" s="25" t="s">
        <v>75</v>
      </c>
      <c r="B35" s="25"/>
      <c r="C35" s="25"/>
      <c r="D35" s="25"/>
    </row>
    <row r="36" spans="1:4">
      <c r="A36" s="2" t="s">
        <v>44</v>
      </c>
      <c r="B36" s="2" t="s">
        <v>1</v>
      </c>
      <c r="C36" s="2" t="s">
        <v>45</v>
      </c>
      <c r="D36" s="2" t="s">
        <v>24</v>
      </c>
    </row>
    <row r="37" spans="1:4">
      <c r="A37" s="3" t="s">
        <v>79</v>
      </c>
      <c r="B37" s="3">
        <f>B10-B9</f>
        <v>1.5</v>
      </c>
      <c r="C37" s="3" t="s">
        <v>4</v>
      </c>
      <c r="D37" s="3"/>
    </row>
    <row r="38" spans="1:4">
      <c r="A38" s="3" t="s">
        <v>82</v>
      </c>
      <c r="B38" s="3">
        <f>B5*4/100</f>
        <v>0.48</v>
      </c>
      <c r="C38" s="3" t="s">
        <v>3</v>
      </c>
      <c r="D38" s="3"/>
    </row>
    <row r="39" spans="1:4">
      <c r="A39" s="3" t="s">
        <v>83</v>
      </c>
      <c r="B39" s="3">
        <f>(100+B8)*B5/100</f>
        <v>12.12</v>
      </c>
      <c r="C39" s="3" t="s">
        <v>3</v>
      </c>
      <c r="D39" s="3"/>
    </row>
    <row r="40" spans="1:4">
      <c r="A40" s="3" t="s">
        <v>50</v>
      </c>
      <c r="B40" s="3">
        <f>B7*B5*0.01</f>
        <v>0.06</v>
      </c>
      <c r="C40" s="3" t="s">
        <v>3</v>
      </c>
      <c r="D40" s="3"/>
    </row>
    <row r="41" spans="1:4">
      <c r="A41" s="3" t="s">
        <v>84</v>
      </c>
      <c r="B41" s="23">
        <f>(2*B37)/(B22*B38)*1000000</f>
        <v>7.8125</v>
      </c>
      <c r="C41" s="3" t="s">
        <v>88</v>
      </c>
      <c r="D41" s="3" t="s">
        <v>85</v>
      </c>
    </row>
    <row r="42" spans="1:4" ht="30">
      <c r="A42" s="3" t="s">
        <v>86</v>
      </c>
      <c r="B42" s="23">
        <f>(B30*(B10^2-B9^2))/(B39^2-B5^2)*1000000</f>
        <v>34.203980099502601</v>
      </c>
      <c r="C42" s="3" t="s">
        <v>88</v>
      </c>
      <c r="D42" s="18" t="s">
        <v>89</v>
      </c>
    </row>
    <row r="43" spans="1:4" ht="30">
      <c r="A43" s="3" t="s">
        <v>87</v>
      </c>
      <c r="B43" s="23">
        <f>1/(8*B22*(B40/B31))*1000000</f>
        <v>1.4204545454545454</v>
      </c>
      <c r="C43" s="3" t="s">
        <v>88</v>
      </c>
      <c r="D43" s="18" t="s">
        <v>90</v>
      </c>
    </row>
    <row r="44" spans="1:4">
      <c r="A44" s="3" t="s">
        <v>91</v>
      </c>
      <c r="B44" s="22">
        <f>3 * 47</f>
        <v>141</v>
      </c>
      <c r="C44" s="3" t="s">
        <v>88</v>
      </c>
      <c r="D44" s="16" t="s">
        <v>126</v>
      </c>
    </row>
    <row r="45" spans="1:4">
      <c r="A45" s="3" t="s">
        <v>92</v>
      </c>
      <c r="B45" s="3">
        <f>B40/B31*1000</f>
        <v>110</v>
      </c>
      <c r="C45" s="3" t="s">
        <v>55</v>
      </c>
      <c r="D45" s="16" t="s">
        <v>95</v>
      </c>
    </row>
    <row r="46" spans="1:4">
      <c r="A46" s="3" t="s">
        <v>94</v>
      </c>
      <c r="B46" s="3">
        <f>B31/SQRT(12)*1000</f>
        <v>157.45916432444341</v>
      </c>
      <c r="C46" s="3" t="s">
        <v>93</v>
      </c>
      <c r="D46" s="16" t="s">
        <v>95</v>
      </c>
    </row>
    <row r="48" spans="1:4">
      <c r="A48" s="25" t="s">
        <v>96</v>
      </c>
      <c r="B48" s="25"/>
      <c r="C48" s="25"/>
      <c r="D48" s="25"/>
    </row>
    <row r="49" spans="1:8">
      <c r="A49" s="2" t="s">
        <v>44</v>
      </c>
      <c r="B49" s="2" t="s">
        <v>1</v>
      </c>
      <c r="C49" s="2" t="s">
        <v>45</v>
      </c>
      <c r="D49" s="2" t="s">
        <v>24</v>
      </c>
    </row>
    <row r="50" spans="1:8">
      <c r="A50" s="3" t="s">
        <v>97</v>
      </c>
      <c r="B50" s="3">
        <v>2</v>
      </c>
      <c r="C50" s="3" t="s">
        <v>5</v>
      </c>
      <c r="D50" s="16" t="s">
        <v>98</v>
      </c>
    </row>
    <row r="51" spans="1:8">
      <c r="A51" s="3" t="s">
        <v>101</v>
      </c>
      <c r="B51" s="3">
        <v>0.7</v>
      </c>
      <c r="C51" s="3" t="s">
        <v>3</v>
      </c>
      <c r="D51" s="16" t="s">
        <v>98</v>
      </c>
    </row>
    <row r="52" spans="1:8">
      <c r="A52" s="3" t="s">
        <v>100</v>
      </c>
      <c r="B52" s="24">
        <f>2*(B50-(((B4-B5)*B6*B51)/B4))/(B22*(B4+B51)^2)</f>
        <v>2.1712638655553419E-10</v>
      </c>
      <c r="C52" s="3" t="s">
        <v>99</v>
      </c>
      <c r="D52" s="24">
        <f>B52*1000000000000</f>
        <v>217.1263865555342</v>
      </c>
    </row>
    <row r="54" spans="1:8">
      <c r="A54" s="25" t="s">
        <v>102</v>
      </c>
      <c r="B54" s="25"/>
      <c r="C54" s="25"/>
      <c r="D54" s="25"/>
    </row>
    <row r="55" spans="1:8">
      <c r="A55" s="2" t="s">
        <v>44</v>
      </c>
      <c r="B55" s="2" t="s">
        <v>1</v>
      </c>
      <c r="C55" s="2" t="s">
        <v>45</v>
      </c>
      <c r="D55" s="2" t="s">
        <v>24</v>
      </c>
    </row>
    <row r="56" spans="1:8">
      <c r="A56" s="3" t="s">
        <v>105</v>
      </c>
      <c r="B56" s="3">
        <f>B6*SQRT((B5*(B3-B5))/B3^2)</f>
        <v>1.2000000000000002</v>
      </c>
      <c r="C56" s="3" t="s">
        <v>4</v>
      </c>
      <c r="D56" s="3"/>
    </row>
    <row r="57" spans="1:8">
      <c r="A57" s="3" t="s">
        <v>106</v>
      </c>
      <c r="B57" s="3">
        <v>0.3</v>
      </c>
      <c r="C57" s="3" t="s">
        <v>3</v>
      </c>
      <c r="D57" s="3"/>
    </row>
    <row r="58" spans="1:8">
      <c r="A58" s="3" t="s">
        <v>107</v>
      </c>
      <c r="B58" s="3">
        <f>(B6*0.25)/(B57*B22)</f>
        <v>3.1250000000000001E-6</v>
      </c>
      <c r="C58" s="3" t="s">
        <v>108</v>
      </c>
      <c r="D58" s="3">
        <f>B58*1000000</f>
        <v>3.125</v>
      </c>
    </row>
    <row r="59" spans="1:8">
      <c r="A59" s="3" t="s">
        <v>109</v>
      </c>
      <c r="B59" s="3" t="s">
        <v>110</v>
      </c>
      <c r="C59" s="3"/>
      <c r="D59" s="3" t="s">
        <v>111</v>
      </c>
      <c r="H59" s="12">
        <f>3.5/(0.62*94*0.000001*2*3.14*5)</f>
        <v>1912.5766670018231</v>
      </c>
    </row>
    <row r="61" spans="1:8">
      <c r="A61" s="25" t="s">
        <v>112</v>
      </c>
      <c r="B61" s="25"/>
      <c r="C61" s="25"/>
      <c r="D61" s="25"/>
    </row>
    <row r="62" spans="1:8">
      <c r="A62" s="2" t="s">
        <v>44</v>
      </c>
      <c r="B62" s="2" t="s">
        <v>1</v>
      </c>
      <c r="C62" s="2" t="s">
        <v>45</v>
      </c>
      <c r="D62" s="2" t="s">
        <v>24</v>
      </c>
    </row>
    <row r="63" spans="1:8">
      <c r="A63" s="3" t="s">
        <v>113</v>
      </c>
      <c r="B63" s="3">
        <v>100</v>
      </c>
      <c r="C63" s="3" t="s">
        <v>115</v>
      </c>
      <c r="D63" s="3"/>
    </row>
    <row r="64" spans="1:8">
      <c r="A64" s="3" t="s">
        <v>114</v>
      </c>
      <c r="B64" s="3">
        <v>25</v>
      </c>
      <c r="C64" s="3" t="s">
        <v>3</v>
      </c>
      <c r="D64" s="3"/>
    </row>
    <row r="66" spans="1:4">
      <c r="A66" s="25" t="s">
        <v>116</v>
      </c>
      <c r="B66" s="25"/>
      <c r="C66" s="25"/>
      <c r="D66" s="25"/>
    </row>
    <row r="67" spans="1:4">
      <c r="A67" s="2" t="s">
        <v>44</v>
      </c>
      <c r="B67" s="2" t="s">
        <v>1</v>
      </c>
      <c r="C67" s="2" t="s">
        <v>45</v>
      </c>
      <c r="D67" s="2" t="s">
        <v>24</v>
      </c>
    </row>
    <row r="68" spans="1:4">
      <c r="A68" s="3" t="s">
        <v>117</v>
      </c>
      <c r="B68" s="3">
        <f>((B3-(B5+1.5))/0.0000034)</f>
        <v>441176.4705882353</v>
      </c>
      <c r="C68" s="3" t="s">
        <v>61</v>
      </c>
      <c r="D68" s="3">
        <v>470000</v>
      </c>
    </row>
    <row r="69" spans="1:4">
      <c r="A69" s="3" t="s">
        <v>118</v>
      </c>
      <c r="B69" s="3">
        <f>1.2/(((B3-1.2)/D68)+0.0000012)</f>
        <v>39264.828738512944</v>
      </c>
      <c r="C69" s="3" t="s">
        <v>61</v>
      </c>
      <c r="D69" s="3">
        <v>39000</v>
      </c>
    </row>
    <row r="71" spans="1:4">
      <c r="A71" s="25" t="s">
        <v>119</v>
      </c>
      <c r="B71" s="25"/>
      <c r="C71" s="25"/>
      <c r="D71" s="25"/>
    </row>
    <row r="72" spans="1:4">
      <c r="A72" s="2" t="s">
        <v>44</v>
      </c>
      <c r="B72" s="2" t="s">
        <v>1</v>
      </c>
      <c r="C72" s="2" t="s">
        <v>45</v>
      </c>
      <c r="D72" s="2" t="s">
        <v>24</v>
      </c>
    </row>
    <row r="73" spans="1:4">
      <c r="A73" s="3" t="s">
        <v>118</v>
      </c>
      <c r="B73" s="3">
        <v>10000</v>
      </c>
      <c r="C73" s="3" t="s">
        <v>61</v>
      </c>
      <c r="D73" s="3"/>
    </row>
    <row r="74" spans="1:4">
      <c r="A74" s="3" t="s">
        <v>117</v>
      </c>
      <c r="B74" s="3">
        <f>(B73*(B5-0.8))/0.8</f>
        <v>140000</v>
      </c>
      <c r="C74" s="3" t="s">
        <v>61</v>
      </c>
      <c r="D74" s="3" t="s">
        <v>120</v>
      </c>
    </row>
    <row r="76" spans="1:4">
      <c r="A76" s="25" t="s">
        <v>121</v>
      </c>
      <c r="B76" s="25"/>
      <c r="C76" s="25"/>
      <c r="D76" s="25"/>
    </row>
    <row r="77" spans="1:4">
      <c r="A77" s="2" t="s">
        <v>44</v>
      </c>
      <c r="B77" s="2" t="s">
        <v>1</v>
      </c>
      <c r="C77" s="2" t="s">
        <v>45</v>
      </c>
      <c r="D77" s="2" t="s">
        <v>24</v>
      </c>
    </row>
    <row r="78" spans="1:4">
      <c r="A78" s="3" t="s">
        <v>122</v>
      </c>
      <c r="B78" s="3">
        <f>((B5+0.5+(0.0253*B6))/0.99)+(0.12*B6)-0.5</f>
        <v>12.562929292929294</v>
      </c>
      <c r="C78" s="3" t="s">
        <v>3</v>
      </c>
      <c r="D78" s="3"/>
    </row>
    <row r="80" spans="1:4">
      <c r="A80" s="25" t="s">
        <v>123</v>
      </c>
      <c r="B80" s="25"/>
      <c r="C80" s="25"/>
      <c r="D80" s="25"/>
    </row>
    <row r="81" spans="1:4">
      <c r="A81" s="2" t="s">
        <v>44</v>
      </c>
      <c r="B81" s="2" t="s">
        <v>1</v>
      </c>
      <c r="C81" s="2" t="s">
        <v>45</v>
      </c>
      <c r="D81" s="2" t="s">
        <v>24</v>
      </c>
    </row>
    <row r="82" spans="1:4">
      <c r="A82" s="12" t="s">
        <v>124</v>
      </c>
      <c r="B82" s="12">
        <f>B6/(2*3.14*B5*0.62*B44*0.000001)</f>
        <v>455.37539690519594</v>
      </c>
      <c r="C82" s="12" t="s">
        <v>7</v>
      </c>
    </row>
    <row r="83" spans="1:4">
      <c r="A83" s="12" t="s">
        <v>125</v>
      </c>
      <c r="B83" s="12">
        <f>1/(2*3.14*2.5*0.001*0.62*B44*0.000001)</f>
        <v>728600.63504831353</v>
      </c>
    </row>
  </sheetData>
  <mergeCells count="11">
    <mergeCell ref="A80:D80"/>
    <mergeCell ref="A76:D76"/>
    <mergeCell ref="A1:D1"/>
    <mergeCell ref="A12:D12"/>
    <mergeCell ref="A26:D26"/>
    <mergeCell ref="A35:D35"/>
    <mergeCell ref="A48:D48"/>
    <mergeCell ref="A54:D54"/>
    <mergeCell ref="A61:D61"/>
    <mergeCell ref="A66:D66"/>
    <mergeCell ref="A71:D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zoomScale="120" zoomScaleNormal="120" workbookViewId="0">
      <selection activeCell="C1" sqref="C1"/>
    </sheetView>
  </sheetViews>
  <sheetFormatPr defaultColWidth="9.125" defaultRowHeight="14.25"/>
  <cols>
    <col min="1" max="1" width="32.875" style="1" bestFit="1" customWidth="1"/>
    <col min="2" max="2" width="15.125" style="1" customWidth="1"/>
    <col min="3" max="3" width="14.625" style="1" customWidth="1"/>
    <col min="4" max="16384" width="9.125" style="1"/>
  </cols>
  <sheetData>
    <row r="1" spans="1:3" ht="15">
      <c r="A1" s="2" t="s">
        <v>0</v>
      </c>
      <c r="B1" s="2" t="s">
        <v>1</v>
      </c>
      <c r="C1" s="2" t="s">
        <v>2</v>
      </c>
    </row>
    <row r="2" spans="1:3" ht="18">
      <c r="A2" s="3" t="s">
        <v>11</v>
      </c>
      <c r="B2" s="4">
        <v>48</v>
      </c>
      <c r="C2" s="3" t="s">
        <v>3</v>
      </c>
    </row>
    <row r="3" spans="1:3" ht="18">
      <c r="A3" s="3" t="s">
        <v>12</v>
      </c>
      <c r="B3" s="4">
        <v>12</v>
      </c>
      <c r="C3" s="3" t="s">
        <v>3</v>
      </c>
    </row>
    <row r="4" spans="1:3" ht="18">
      <c r="A4" s="3" t="s">
        <v>13</v>
      </c>
      <c r="B4" s="4">
        <v>5</v>
      </c>
      <c r="C4" s="3" t="s">
        <v>4</v>
      </c>
    </row>
    <row r="5" spans="1:3" ht="18">
      <c r="A5" s="3" t="s">
        <v>14</v>
      </c>
      <c r="B5" s="3">
        <f>B3*B4</f>
        <v>60</v>
      </c>
      <c r="C5" s="3" t="s">
        <v>5</v>
      </c>
    </row>
    <row r="6" spans="1:3" ht="15">
      <c r="A6" s="3" t="s">
        <v>6</v>
      </c>
      <c r="B6" s="4">
        <v>0.9</v>
      </c>
      <c r="C6" s="3"/>
    </row>
    <row r="7" spans="1:3" ht="18">
      <c r="A7" s="3" t="s">
        <v>15</v>
      </c>
      <c r="B7" s="3">
        <f>B5/B6</f>
        <v>66.666666666666671</v>
      </c>
      <c r="C7" s="3" t="s">
        <v>5</v>
      </c>
    </row>
    <row r="8" spans="1:3" ht="18">
      <c r="A8" s="3" t="s">
        <v>16</v>
      </c>
      <c r="B8" s="3">
        <f>B7/B2</f>
        <v>1.3888888888888891</v>
      </c>
      <c r="C8" s="3" t="s">
        <v>4</v>
      </c>
    </row>
    <row r="9" spans="1:3" ht="18">
      <c r="A9" s="3" t="s">
        <v>17</v>
      </c>
      <c r="B9" s="5">
        <v>300000</v>
      </c>
      <c r="C9" s="3" t="s">
        <v>7</v>
      </c>
    </row>
    <row r="10" spans="1:3" ht="15">
      <c r="A10" s="3" t="s">
        <v>8</v>
      </c>
      <c r="B10" s="3">
        <v>0.4</v>
      </c>
      <c r="C10" s="3" t="s">
        <v>9</v>
      </c>
    </row>
    <row r="11" spans="1:3" ht="15">
      <c r="A11" s="3"/>
      <c r="B11" s="3"/>
      <c r="C11" s="3"/>
    </row>
    <row r="12" spans="1:3">
      <c r="A12" s="26" t="s">
        <v>10</v>
      </c>
      <c r="B12" s="27"/>
      <c r="C12" s="28"/>
    </row>
    <row r="13" spans="1:3">
      <c r="A13" s="29"/>
      <c r="B13" s="30"/>
      <c r="C13" s="31"/>
    </row>
    <row r="14" spans="1:3" ht="18">
      <c r="A14" s="3" t="s">
        <v>18</v>
      </c>
      <c r="B14" s="3">
        <f>B8*B10</f>
        <v>0.55555555555555569</v>
      </c>
      <c r="C14" s="3" t="s">
        <v>4</v>
      </c>
    </row>
    <row r="15" spans="1:3" ht="15">
      <c r="A15" s="3" t="s">
        <v>19</v>
      </c>
      <c r="B15" s="3">
        <f>B3/B2</f>
        <v>0.25</v>
      </c>
      <c r="C15" s="3"/>
    </row>
    <row r="16" spans="1:3" ht="17.25">
      <c r="A16" s="3" t="s">
        <v>20</v>
      </c>
      <c r="B16" s="3">
        <v>0.96</v>
      </c>
      <c r="C16" s="3" t="s">
        <v>3</v>
      </c>
    </row>
    <row r="17" spans="1:3" ht="18">
      <c r="A17" s="3" t="s">
        <v>21</v>
      </c>
      <c r="B17" s="5">
        <f>(B8*B15)/(B16*B9)</f>
        <v>1.2056327160493829E-6</v>
      </c>
      <c r="C17" s="3" t="s">
        <v>22</v>
      </c>
    </row>
    <row r="18" spans="1:3" ht="15">
      <c r="A18" s="3"/>
      <c r="B18" s="3"/>
      <c r="C18" s="3"/>
    </row>
    <row r="19" spans="1:3" ht="15">
      <c r="A19" s="3"/>
      <c r="B19" s="3"/>
      <c r="C19" s="3"/>
    </row>
    <row r="20" spans="1:3" ht="15">
      <c r="A20" s="3"/>
      <c r="B20" s="3"/>
      <c r="C20" s="3"/>
    </row>
    <row r="21" spans="1:3" ht="15">
      <c r="A21" s="3"/>
      <c r="B21" s="3"/>
      <c r="C21" s="3"/>
    </row>
    <row r="22" spans="1:3" ht="15">
      <c r="A22" s="3"/>
      <c r="B22" s="3"/>
      <c r="C22" s="3"/>
    </row>
    <row r="23" spans="1:3" ht="15">
      <c r="A23" s="3"/>
      <c r="B23" s="3"/>
      <c r="C23" s="3"/>
    </row>
    <row r="24" spans="1:3" ht="15">
      <c r="A24" s="3"/>
      <c r="B24" s="3"/>
      <c r="C24" s="3"/>
    </row>
    <row r="25" spans="1:3" ht="15">
      <c r="A25" s="3"/>
      <c r="B25" s="3"/>
      <c r="C25" s="3"/>
    </row>
    <row r="26" spans="1:3" ht="15">
      <c r="A26" s="3"/>
      <c r="B26" s="3"/>
      <c r="C26" s="3"/>
    </row>
    <row r="27" spans="1:3" ht="15">
      <c r="A27" s="3"/>
      <c r="B27" s="3"/>
      <c r="C27" s="3"/>
    </row>
  </sheetData>
  <mergeCells count="1">
    <mergeCell ref="A12:C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120" zoomScaleNormal="120" workbookViewId="0">
      <selection activeCell="D17" sqref="D17"/>
    </sheetView>
  </sheetViews>
  <sheetFormatPr defaultColWidth="9.125" defaultRowHeight="14.25"/>
  <cols>
    <col min="1" max="1" width="32.875" style="1" bestFit="1" customWidth="1"/>
    <col min="2" max="2" width="15.125" style="1" customWidth="1"/>
    <col min="3" max="3" width="14.625" style="1" customWidth="1"/>
    <col min="4" max="4" width="45" style="1" bestFit="1" customWidth="1"/>
    <col min="5" max="5" width="9.125" style="1"/>
    <col min="6" max="6" width="74" style="1" customWidth="1"/>
    <col min="7" max="16384" width="9.125" style="1"/>
  </cols>
  <sheetData>
    <row r="1" spans="1:6" ht="15">
      <c r="A1" s="2" t="s">
        <v>0</v>
      </c>
      <c r="B1" s="2" t="s">
        <v>1</v>
      </c>
      <c r="C1" s="2" t="s">
        <v>2</v>
      </c>
      <c r="D1" s="2" t="s">
        <v>24</v>
      </c>
    </row>
    <row r="2" spans="1:6" ht="18">
      <c r="A2" s="3" t="s">
        <v>23</v>
      </c>
      <c r="B2" s="4">
        <v>48</v>
      </c>
      <c r="C2" s="3" t="s">
        <v>3</v>
      </c>
      <c r="D2" s="7" t="s">
        <v>25</v>
      </c>
    </row>
    <row r="3" spans="1:6" ht="18">
      <c r="A3" s="3" t="s">
        <v>26</v>
      </c>
      <c r="B3" s="4">
        <v>58</v>
      </c>
      <c r="C3" s="3" t="s">
        <v>3</v>
      </c>
      <c r="D3" s="7" t="s">
        <v>27</v>
      </c>
      <c r="F3" s="6"/>
    </row>
    <row r="4" spans="1:6" ht="18">
      <c r="A4" s="3" t="s">
        <v>28</v>
      </c>
      <c r="B4" s="4">
        <v>93</v>
      </c>
      <c r="C4" s="3" t="s">
        <v>3</v>
      </c>
      <c r="D4" s="7" t="s">
        <v>29</v>
      </c>
      <c r="F4" s="6"/>
    </row>
    <row r="5" spans="1:6" ht="18">
      <c r="A5" s="3" t="s">
        <v>30</v>
      </c>
      <c r="B5" s="4">
        <v>6.5</v>
      </c>
      <c r="C5" s="3" t="s">
        <v>4</v>
      </c>
      <c r="D5" s="7" t="s">
        <v>31</v>
      </c>
      <c r="F5" s="6"/>
    </row>
    <row r="6" spans="1:6" ht="18">
      <c r="A6" s="3" t="s">
        <v>32</v>
      </c>
      <c r="B6" s="4">
        <v>600</v>
      </c>
      <c r="C6" s="3" t="s">
        <v>5</v>
      </c>
      <c r="D6" s="7" t="s">
        <v>33</v>
      </c>
      <c r="F6" s="6"/>
    </row>
    <row r="7" spans="1:6" ht="18">
      <c r="A7" s="3" t="s">
        <v>34</v>
      </c>
      <c r="B7" s="4">
        <v>1</v>
      </c>
      <c r="C7" s="3" t="s">
        <v>35</v>
      </c>
      <c r="D7" s="7" t="s">
        <v>36</v>
      </c>
      <c r="F7" s="6"/>
    </row>
    <row r="8" spans="1:6" ht="15">
      <c r="A8" s="3"/>
      <c r="B8" s="5"/>
      <c r="C8" s="3"/>
      <c r="D8" s="7"/>
    </row>
    <row r="9" spans="1:6" ht="15">
      <c r="A9" s="3"/>
      <c r="B9" s="3"/>
      <c r="C9" s="3"/>
      <c r="D9" s="7"/>
    </row>
    <row r="10" spans="1:6" ht="15">
      <c r="A10" s="3"/>
      <c r="B10" s="3"/>
      <c r="C10" s="3"/>
      <c r="D10" s="7"/>
    </row>
    <row r="11" spans="1:6" ht="15">
      <c r="A11" s="3"/>
      <c r="B11" s="3"/>
      <c r="C11" s="3"/>
      <c r="D11" s="7"/>
    </row>
    <row r="12" spans="1:6" ht="15">
      <c r="A12" s="3"/>
      <c r="B12" s="3"/>
      <c r="C12" s="3"/>
      <c r="D12" s="7"/>
    </row>
    <row r="13" spans="1:6" ht="15">
      <c r="A13" s="3"/>
      <c r="B13" s="3"/>
      <c r="C13" s="3"/>
      <c r="D13" s="7"/>
    </row>
    <row r="14" spans="1:6" ht="15">
      <c r="A14" s="3"/>
      <c r="B14" s="5"/>
      <c r="C14" s="3"/>
      <c r="D14" s="7"/>
    </row>
    <row r="15" spans="1:6" ht="15">
      <c r="A15" s="3"/>
      <c r="B15" s="3"/>
      <c r="C15" s="3"/>
      <c r="D15" s="7"/>
    </row>
    <row r="16" spans="1:6" ht="15">
      <c r="A16" s="3"/>
      <c r="B16" s="3"/>
      <c r="C16" s="3"/>
      <c r="D16" s="7"/>
    </row>
    <row r="17" spans="1:4" ht="15">
      <c r="A17" s="3"/>
      <c r="B17" s="3"/>
      <c r="C17" s="3"/>
      <c r="D17" s="7"/>
    </row>
    <row r="18" spans="1:4" ht="15">
      <c r="A18" s="3"/>
      <c r="B18" s="3"/>
      <c r="C18" s="3"/>
      <c r="D18" s="7"/>
    </row>
    <row r="19" spans="1:4" ht="15">
      <c r="A19" s="3"/>
      <c r="B19" s="3"/>
      <c r="C19" s="3"/>
      <c r="D19" s="7"/>
    </row>
    <row r="20" spans="1:4" ht="15">
      <c r="A20" s="3"/>
      <c r="B20" s="3"/>
      <c r="C20" s="3"/>
      <c r="D20" s="7"/>
    </row>
    <row r="21" spans="1:4" ht="15">
      <c r="A21" s="3"/>
      <c r="B21" s="3"/>
      <c r="C21" s="3"/>
      <c r="D21" s="7"/>
    </row>
    <row r="22" spans="1:4" ht="15">
      <c r="A22" s="3"/>
      <c r="B22" s="3"/>
      <c r="C22" s="3"/>
      <c r="D22" s="7"/>
    </row>
    <row r="23" spans="1:4" ht="15">
      <c r="A23" s="3"/>
      <c r="B23" s="3"/>
      <c r="C23" s="3"/>
      <c r="D23" s="7"/>
    </row>
    <row r="24" spans="1:4" ht="15">
      <c r="A24" s="3"/>
      <c r="B24" s="3"/>
      <c r="C24" s="3"/>
      <c r="D2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120" zoomScaleNormal="120" workbookViewId="0">
      <selection activeCell="B4" sqref="B4"/>
    </sheetView>
  </sheetViews>
  <sheetFormatPr defaultColWidth="9.125" defaultRowHeight="14.25"/>
  <cols>
    <col min="1" max="1" width="32.875" style="1" bestFit="1" customWidth="1"/>
    <col min="2" max="2" width="15.125" style="1" customWidth="1"/>
    <col min="3" max="3" width="14.625" style="1" customWidth="1"/>
    <col min="4" max="4" width="95.625" style="1" bestFit="1" customWidth="1"/>
    <col min="5" max="5" width="9.125" style="1"/>
    <col min="6" max="6" width="74" style="1" customWidth="1"/>
    <col min="7" max="16384" width="9.125" style="1"/>
  </cols>
  <sheetData>
    <row r="1" spans="1:6" ht="15">
      <c r="A1" s="2" t="s">
        <v>0</v>
      </c>
      <c r="B1" s="2" t="s">
        <v>1</v>
      </c>
      <c r="C1" s="2" t="s">
        <v>2</v>
      </c>
      <c r="D1" s="2" t="s">
        <v>24</v>
      </c>
    </row>
    <row r="2" spans="1:6" ht="16.5">
      <c r="A2" s="3" t="s">
        <v>43</v>
      </c>
      <c r="B2" s="8">
        <v>2.2000000000000001E-6</v>
      </c>
      <c r="C2" s="3" t="s">
        <v>22</v>
      </c>
      <c r="D2" s="32" t="s">
        <v>38</v>
      </c>
    </row>
    <row r="3" spans="1:6" ht="16.5">
      <c r="A3" s="3" t="s">
        <v>42</v>
      </c>
      <c r="B3" s="8">
        <v>2.2000000000000001E-6</v>
      </c>
      <c r="C3" s="3" t="s">
        <v>22</v>
      </c>
      <c r="D3" s="33"/>
      <c r="F3" s="6"/>
    </row>
    <row r="4" spans="1:6" ht="15">
      <c r="A4" s="3" t="s">
        <v>41</v>
      </c>
      <c r="B4" s="8">
        <v>1.0000000000000001E-5</v>
      </c>
      <c r="C4" s="3" t="s">
        <v>22</v>
      </c>
      <c r="D4" s="7" t="s">
        <v>37</v>
      </c>
      <c r="F4" s="6"/>
    </row>
    <row r="5" spans="1:6" ht="15">
      <c r="A5" s="34"/>
      <c r="B5" s="35"/>
      <c r="C5" s="35"/>
      <c r="D5" s="36"/>
      <c r="F5" s="6"/>
    </row>
    <row r="6" spans="1:6" ht="18">
      <c r="A6" s="3" t="s">
        <v>39</v>
      </c>
      <c r="B6" s="9">
        <f>(B2*B3)/(B2+B3)</f>
        <v>1.1000000000000001E-6</v>
      </c>
      <c r="C6" s="3" t="s">
        <v>22</v>
      </c>
      <c r="D6" s="7"/>
      <c r="F6" s="6"/>
    </row>
    <row r="7" spans="1:6" ht="18">
      <c r="A7" s="3" t="s">
        <v>40</v>
      </c>
      <c r="B7" s="10">
        <f>1/(2*3.14*SQRT(B4*B6))</f>
        <v>48011.360601554712</v>
      </c>
      <c r="C7" s="3" t="s">
        <v>7</v>
      </c>
      <c r="D7" s="7"/>
      <c r="F7" s="6"/>
    </row>
    <row r="8" spans="1:6" ht="15">
      <c r="A8" s="3"/>
      <c r="B8" s="5"/>
      <c r="C8" s="3"/>
      <c r="D8" s="7"/>
    </row>
    <row r="9" spans="1:6" ht="15">
      <c r="A9" s="3"/>
      <c r="B9" s="3"/>
      <c r="C9" s="3"/>
      <c r="D9" s="7"/>
    </row>
    <row r="10" spans="1:6" ht="15">
      <c r="A10" s="3"/>
      <c r="B10" s="3"/>
      <c r="C10" s="3"/>
      <c r="D10" s="7"/>
    </row>
    <row r="11" spans="1:6" ht="15">
      <c r="A11" s="3"/>
      <c r="B11" s="3"/>
      <c r="C11" s="3"/>
      <c r="D11" s="7"/>
    </row>
    <row r="12" spans="1:6" ht="15">
      <c r="A12" s="3"/>
      <c r="B12" s="3"/>
      <c r="C12" s="3"/>
      <c r="D12" s="7"/>
    </row>
    <row r="13" spans="1:6" ht="15">
      <c r="A13" s="3"/>
      <c r="B13" s="3"/>
      <c r="C13" s="3"/>
      <c r="D13" s="7"/>
    </row>
    <row r="14" spans="1:6" ht="15">
      <c r="A14" s="3"/>
      <c r="B14" s="5"/>
      <c r="C14" s="3"/>
      <c r="D14" s="7"/>
    </row>
    <row r="15" spans="1:6" ht="15">
      <c r="A15" s="3"/>
      <c r="B15" s="3"/>
      <c r="C15" s="3"/>
      <c r="D15" s="7"/>
    </row>
    <row r="16" spans="1:6" ht="15">
      <c r="A16" s="3"/>
      <c r="B16" s="3"/>
      <c r="C16" s="3"/>
      <c r="D16" s="7"/>
    </row>
    <row r="17" spans="1:4" ht="15">
      <c r="A17" s="3"/>
      <c r="B17" s="3"/>
      <c r="C17" s="3"/>
      <c r="D17" s="7"/>
    </row>
    <row r="18" spans="1:4" ht="15">
      <c r="A18" s="3"/>
      <c r="B18" s="3"/>
      <c r="C18" s="3"/>
      <c r="D18" s="7"/>
    </row>
    <row r="19" spans="1:4" ht="15">
      <c r="A19" s="3"/>
      <c r="B19" s="3"/>
      <c r="C19" s="3"/>
      <c r="D19" s="7"/>
    </row>
    <row r="20" spans="1:4" ht="15">
      <c r="A20" s="3"/>
      <c r="B20" s="3"/>
      <c r="C20" s="3"/>
      <c r="D20" s="7"/>
    </row>
    <row r="21" spans="1:4" ht="15">
      <c r="A21" s="3"/>
      <c r="B21" s="3"/>
      <c r="C21" s="3"/>
      <c r="D21" s="7"/>
    </row>
    <row r="22" spans="1:4" ht="15">
      <c r="A22" s="3"/>
      <c r="B22" s="3"/>
      <c r="C22" s="3"/>
      <c r="D22" s="7"/>
    </row>
    <row r="23" spans="1:4" ht="15">
      <c r="A23" s="3"/>
      <c r="B23" s="3"/>
      <c r="C23" s="3"/>
      <c r="D23" s="7"/>
    </row>
    <row r="24" spans="1:4" ht="15">
      <c r="A24" s="3"/>
      <c r="B24" s="3"/>
      <c r="C24" s="3"/>
      <c r="D24" s="7"/>
    </row>
  </sheetData>
  <mergeCells count="2">
    <mergeCell ref="D2:D3"/>
    <mergeCell ref="A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TPS54360</vt:lpstr>
      <vt:lpstr>Input Capacitance</vt:lpstr>
      <vt:lpstr>Input TVS Diode</vt:lpstr>
      <vt:lpstr>Pi Filter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Khanna</dc:creator>
  <cp:lastModifiedBy>S</cp:lastModifiedBy>
  <dcterms:created xsi:type="dcterms:W3CDTF">2025-03-07T10:04:45Z</dcterms:created>
  <dcterms:modified xsi:type="dcterms:W3CDTF">2025-03-20T18:52:43Z</dcterms:modified>
</cp:coreProperties>
</file>