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-15" windowWidth="25440" windowHeight="13320" tabRatio="500" activeTab="1"/>
  </bookViews>
  <sheets>
    <sheet name="Kosten CHF" sheetId="2" r:id="rId1"/>
    <sheet name="Kosten EUR" sheetId="5" r:id="rId2"/>
    <sheet name="Ladedauer 100km" sheetId="1" r:id="rId3"/>
    <sheet name="Drehmoment nach Getriebe" sheetId="4" r:id="rId4"/>
    <sheet name="Skalen m vs. km" sheetId="3" r:id="rId5"/>
    <sheet name="Skala mph_kph" sheetId="6" r:id="rId6"/>
    <sheet name="Kofferraumvolumen" sheetId="7" r:id="rId7"/>
    <sheet name="Beschleunigung 0-100" sheetId="8" r:id="rId8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" i="7" l="1"/>
  <c r="C4" i="7"/>
  <c r="E4" i="7"/>
  <c r="B4" i="7"/>
  <c r="C13" i="4"/>
  <c r="C12" i="4"/>
  <c r="C11" i="4"/>
  <c r="C10" i="4"/>
  <c r="C9" i="4"/>
  <c r="D8" i="4"/>
  <c r="C8" i="4"/>
  <c r="C5" i="2"/>
  <c r="C6" i="2"/>
  <c r="C7" i="2"/>
  <c r="C8" i="2"/>
  <c r="B3" i="2"/>
  <c r="B4" i="2"/>
  <c r="B5" i="2"/>
  <c r="B6" i="2"/>
  <c r="B7" i="2"/>
  <c r="B8" i="2"/>
  <c r="C4" i="5"/>
  <c r="C5" i="5"/>
  <c r="C6" i="5"/>
  <c r="C7" i="5"/>
  <c r="B3" i="5"/>
  <c r="B4" i="5"/>
  <c r="B5" i="5"/>
  <c r="B6" i="5"/>
  <c r="B7" i="5"/>
  <c r="D17" i="1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<sst xmlns="http://schemas.openxmlformats.org/spreadsheetml/2006/main" count="109" uniqueCount="56">
  <si>
    <t>|</t>
    <phoneticPr fontId="1" type="noConversion"/>
  </si>
  <si>
    <t>mph</t>
    <phoneticPr fontId="1" type="noConversion"/>
  </si>
  <si>
    <t>km/h</t>
    <phoneticPr fontId="1" type="noConversion"/>
  </si>
  <si>
    <t>Tesla Supercharger</t>
    <phoneticPr fontId="1" type="noConversion"/>
  </si>
  <si>
    <t>zuhause (3Phasen, 400V)</t>
    <phoneticPr fontId="1" type="noConversion"/>
  </si>
  <si>
    <t>100km in ? Minuten</t>
    <phoneticPr fontId="1" type="noConversion"/>
  </si>
  <si>
    <t>11kW</t>
    <phoneticPr fontId="1" type="noConversion"/>
  </si>
  <si>
    <t>22kW</t>
    <phoneticPr fontId="1" type="noConversion"/>
  </si>
  <si>
    <t>120kW</t>
    <phoneticPr fontId="1" type="noConversion"/>
  </si>
  <si>
    <t>öffentlich / zuhause (Typ2)</t>
    <phoneticPr fontId="1" type="noConversion"/>
  </si>
  <si>
    <t>Importsteuer</t>
  </si>
  <si>
    <t>Basispreis</t>
  </si>
  <si>
    <t>Strassensteuer</t>
  </si>
  <si>
    <t>Jahre</t>
  </si>
  <si>
    <t>km pro Jahr</t>
  </si>
  <si>
    <t>Fr. pro liter</t>
  </si>
  <si>
    <t>liter pro 100km</t>
  </si>
  <si>
    <t>Fr. pro kWh</t>
  </si>
  <si>
    <t>kWh pro 100km</t>
  </si>
  <si>
    <t>Energiekosten</t>
  </si>
  <si>
    <t>Service, Reifen, Bremsen, Öl usw.</t>
  </si>
  <si>
    <t>Tesla Model S</t>
  </si>
  <si>
    <t>-</t>
  </si>
  <si>
    <t>Wh / km</t>
  </si>
  <si>
    <t>Versicherung (Vollkasko)</t>
  </si>
  <si>
    <t>Audi S6</t>
  </si>
  <si>
    <t>1. Gang</t>
  </si>
  <si>
    <t>2. Gang</t>
  </si>
  <si>
    <t>3. Gang</t>
  </si>
  <si>
    <t>4. Gang</t>
  </si>
  <si>
    <t>5. Gang</t>
  </si>
  <si>
    <t>6. Gang</t>
  </si>
  <si>
    <t>Motor</t>
  </si>
  <si>
    <t>zuhause
(230V, 16A)</t>
  </si>
  <si>
    <t>2.3kW</t>
  </si>
  <si>
    <t>3.7kW</t>
  </si>
  <si>
    <t>zuhause 
(230V, 10A)</t>
  </si>
  <si>
    <t>€ pro liter</t>
  </si>
  <si>
    <t>€ pro kWh</t>
  </si>
  <si>
    <t>Verbrenner</t>
  </si>
  <si>
    <t>Verbrenner</t>
    <phoneticPr fontId="1" type="noConversion"/>
  </si>
  <si>
    <t>Volvo XC70</t>
  </si>
  <si>
    <t>Kofferraum (Sitze oben)</t>
  </si>
  <si>
    <t>Audi A6 Avant</t>
  </si>
  <si>
    <t>Front Kofferraum</t>
  </si>
  <si>
    <t>zusätzlicher Kofferraum (Sitze runter klappen)</t>
  </si>
  <si>
    <t>BMW 5er Touring</t>
  </si>
  <si>
    <t>0-100</t>
  </si>
  <si>
    <t>Chevrolet Camaro SS (6.2L V8)</t>
  </si>
  <si>
    <t>Audi A4 Avant 1.8 TFSI</t>
  </si>
  <si>
    <t>BMW 518d Touring</t>
  </si>
  <si>
    <t>Tesla P85</t>
  </si>
  <si>
    <t>Tesla S85</t>
  </si>
  <si>
    <t>Tesla S60</t>
  </si>
  <si>
    <t>Audi S5 Sportback (3.0L TFSI V6)</t>
  </si>
  <si>
    <t>Porsche 911 Carrera 4S (3.8L Boxer)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</si>
</sst>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&quot;min&quot;"/>
    <numFmt numFmtId="165" formatCode="_ [$Fr.-807]\ * #,##0.00_ ;_ [$Fr.-807]\ * \-#,##0.00_ ;_ [$Fr.-807]\ * &quot;-&quot;??_ ;_ @_ "/>
    <numFmt numFmtId="166" formatCode="0\ &quot;Nm&quot;"/>
    <numFmt numFmtId="167" formatCode="_-* #,##0.00\ [$€-407]_-;\-* #,##0.00\ [$€-407]_-;_-* &quot;-&quot;??\ [$€-407]_-;_-@_-"/>
    <numFmt numFmtId="168" formatCode="0\ &quot;L&quot;"/>
    <numFmt numFmtId="169" formatCode="0.0\ &quot;sec&quot;"/>
  </numFmts>
  <fonts count="7" x14ac:knownFonts="1">
    <font>
      <sz val="10"/>
      <name val="Verdana"/>
    </font>
    <font>
      <sz val="8"/>
      <name val="Verdana"/>
    </font>
    <font>
      <sz val="9"/>
      <name val="Verdana"/>
    </font>
    <font>
      <sz val="10"/>
      <name val="Verdana"/>
    </font>
    <font>
      <b/>
      <sz val="10"/>
      <name val="Verdana"/>
    </font>
    <font>
      <sz val="9"/>
      <name val="Verdana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gray125">
        <fgColor indexed="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1" fontId="0" fillId="3" borderId="0" xfId="0" applyNumberFormat="1" applyFill="1"/>
    <xf numFmtId="0" fontId="3" fillId="3" borderId="0" xfId="0" applyFont="1" applyFill="1" applyAlignment="1">
      <alignment vertical="center"/>
    </xf>
    <xf numFmtId="166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67" fontId="0" fillId="0" borderId="0" xfId="0" applyNumberFormat="1"/>
    <xf numFmtId="0" fontId="3" fillId="0" borderId="0" xfId="0" applyFont="1"/>
    <xf numFmtId="168" fontId="0" fillId="0" borderId="0" xfId="0" applyNumberFormat="1"/>
    <xf numFmtId="0" fontId="6" fillId="0" borderId="0" xfId="0" applyFont="1"/>
    <xf numFmtId="169" fontId="0" fillId="0" borderId="0" xfId="0" applyNumberFormat="1"/>
    <xf numFmtId="1" fontId="4" fillId="3" borderId="0" xfId="0" applyNumberFormat="1" applyFont="1" applyFill="1" applyAlignment="1">
      <alignment horizontal="right" vertical="center" textRotation="90"/>
    </xf>
  </cellXfs>
  <cellStyles count="1">
    <cellStyle name="Standard" xfId="0" builtinId="0"/>
  </cellStyles>
  <dxfs count="0"/>
  <tableStyles count="0" defaultTableStyle="TableStyleMedium9"/>
  <colors>
    <mruColors>
      <color rgb="FFF5F9CF"/>
      <color rgb="FFF2E47E"/>
      <color rgb="FFF5D933"/>
      <color rgb="FFEFDE5F"/>
      <color rgb="FFCAE8CF"/>
      <color rgb="FF7E1818"/>
      <color rgb="FFA8B5C4"/>
      <color rgb="FF364866"/>
      <color rgb="FFAE0000"/>
      <color rgb="FFF25F5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250166274058"/>
          <c:y val="5.1400554097404502E-2"/>
          <c:w val="0.41053863462527601"/>
          <c:h val="0.832619568387285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'Kosten CHF'!$A$2</c:f>
              <c:strCache>
                <c:ptCount val="1"/>
                <c:pt idx="0">
                  <c:v>Basispreis</c:v>
                </c:pt>
              </c:strCache>
            </c:strRef>
          </c:tx>
          <c:spPr>
            <a:gradFill>
              <a:gsLst>
                <a:gs pos="0">
                  <a:srgbClr val="C00000">
                    <a:alpha val="72000"/>
                  </a:srgbClr>
                </a:gs>
                <a:gs pos="100000">
                  <a:schemeClr val="bg1">
                    <a:lumMod val="65000"/>
                    <a:alpha val="78000"/>
                  </a:schemeClr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invertIfNegative val="0"/>
          <c:dLbls>
            <c:dLblPos val="ct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CHF'!$B$2:$C$2</c:f>
              <c:numCache>
                <c:formatCode>_ [$Fr.-807]\ * #,##0.00_ ;_ [$Fr.-807]\ * \-#,##0.00_ ;_ [$Fr.-807]\ * "-"??_ ;_ @_ </c:formatCode>
                <c:ptCount val="2"/>
                <c:pt idx="0">
                  <c:v>45000</c:v>
                </c:pt>
                <c:pt idx="1">
                  <c:v>72400</c:v>
                </c:pt>
              </c:numCache>
            </c:numRef>
          </c:val>
        </c:ser>
        <c:ser>
          <c:idx val="1"/>
          <c:order val="1"/>
          <c:tx>
            <c:strRef>
              <c:f>'Kosten CHF'!$A$3</c:f>
              <c:strCache>
                <c:ptCount val="1"/>
                <c:pt idx="0">
                  <c:v>Importsteuer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CHF'!$B$3:$C$3</c:f>
              <c:numCache>
                <c:formatCode>_ [$Fr.-807]\ * #,##0.00_ ;_ [$Fr.-807]\ * \-#,##0.00_ ;_ [$Fr.-807]\ * "-"??_ ;_ @_ </c:formatCode>
                <c:ptCount val="2"/>
                <c:pt idx="0">
                  <c:v>1800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'Kosten CHF'!$A$4</c:f>
              <c:strCache>
                <c:ptCount val="1"/>
                <c:pt idx="0">
                  <c:v>Strassensteuer</c:v>
                </c:pt>
              </c:strCache>
            </c:strRef>
          </c:tx>
          <c:spPr>
            <a:solidFill>
              <a:schemeClr val="tx1">
                <a:lumMod val="50000"/>
                <a:lumOff val="50000"/>
                <a:alpha val="7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CHF'!$B$4:$C$4</c:f>
              <c:numCache>
                <c:formatCode>_ [$Fr.-807]\ * #,##0.00_ ;_ [$Fr.-807]\ * \-#,##0.00_ ;_ [$Fr.-807]\ * "-"??_ ;_ @_ </c:formatCode>
                <c:ptCount val="2"/>
                <c:pt idx="0">
                  <c:v>2400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'Kosten CHF'!$A$5</c:f>
              <c:strCache>
                <c:ptCount val="1"/>
                <c:pt idx="0">
                  <c:v>Energiekosten</c:v>
                </c:pt>
              </c:strCache>
            </c:strRef>
          </c:tx>
          <c:spPr>
            <a:gradFill>
              <a:gsLst>
                <a:gs pos="0">
                  <a:srgbClr val="FFC000">
                    <a:alpha val="70000"/>
                  </a:srgbClr>
                </a:gs>
                <a:gs pos="100000">
                  <a:srgbClr val="FFFF00">
                    <a:alpha val="38000"/>
                  </a:srgbClr>
                </a:gs>
              </a:gsLst>
              <a:lin ang="5400000" scaled="0"/>
            </a:gradFill>
            <a:ln>
              <a:solidFill>
                <a:srgbClr val="FF0000">
                  <a:alpha val="92000"/>
                </a:srgb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CHF'!$B$5:$C$5</c:f>
              <c:numCache>
                <c:formatCode>_ [$Fr.-807]\ * #,##0.00_ ;_ [$Fr.-807]\ * \-#,##0.00_ ;_ [$Fr.-807]\ * "-"??_ ;_ @_ </c:formatCode>
                <c:ptCount val="2"/>
                <c:pt idx="0">
                  <c:v>20160</c:v>
                </c:pt>
                <c:pt idx="1">
                  <c:v>7360</c:v>
                </c:pt>
              </c:numCache>
            </c:numRef>
          </c:val>
        </c:ser>
        <c:ser>
          <c:idx val="4"/>
          <c:order val="4"/>
          <c:tx>
            <c:strRef>
              <c:f>'Kosten CHF'!$A$6</c:f>
              <c:strCache>
                <c:ptCount val="1"/>
                <c:pt idx="0">
                  <c:v>Versicherung (Vollkasko)</c:v>
                </c:pt>
              </c:strCache>
            </c:strRef>
          </c:tx>
          <c:spPr>
            <a:gradFill>
              <a:gsLst>
                <a:gs pos="0">
                  <a:srgbClr val="364866">
                    <a:alpha val="50980"/>
                  </a:srgbClr>
                </a:gs>
                <a:gs pos="100000">
                  <a:srgbClr val="A8B5C4">
                    <a:alpha val="66667"/>
                  </a:srgb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72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CHF'!$B$6:$C$6</c:f>
              <c:numCache>
                <c:formatCode>_ [$Fr.-807]\ * #,##0.00_ ;_ [$Fr.-807]\ * \-#,##0.00_ ;_ [$Fr.-807]\ * "-"??_ ;_ @_ </c:formatCode>
                <c:ptCount val="2"/>
                <c:pt idx="0">
                  <c:v>16000</c:v>
                </c:pt>
                <c:pt idx="1">
                  <c:v>12000</c:v>
                </c:pt>
              </c:numCache>
            </c:numRef>
          </c:val>
        </c:ser>
        <c:ser>
          <c:idx val="5"/>
          <c:order val="5"/>
          <c:tx>
            <c:strRef>
              <c:f>'Kosten CHF'!$A$7</c:f>
              <c:strCache>
                <c:ptCount val="1"/>
                <c:pt idx="0">
                  <c:v>Service, Reifen, Bremsen, Öl usw.</c:v>
                </c:pt>
              </c:strCache>
            </c:strRef>
          </c:tx>
          <c:spPr>
            <a:gradFill>
              <a:gsLst>
                <a:gs pos="0">
                  <a:srgbClr val="00B050">
                    <a:alpha val="74000"/>
                  </a:srgbClr>
                </a:gs>
                <a:gs pos="100000">
                  <a:srgbClr val="CAE8CF">
                    <a:alpha val="76000"/>
                  </a:srgbClr>
                </a:gs>
              </a:gsLst>
              <a:lin ang="5400000" scaled="0"/>
            </a:gradFill>
            <a:ln>
              <a:solidFill>
                <a:schemeClr val="bg2">
                  <a:lumMod val="25000"/>
                </a:schemeClr>
              </a:solidFill>
            </a:ln>
          </c:spPr>
          <c:invertIfNegative val="0"/>
          <c:cat>
            <c:strRef>
              <c:f>'Kosten CHF'!$B$1:$C$1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CHF'!$B$7:$C$7</c:f>
              <c:numCache>
                <c:formatCode>_ [$Fr.-807]\ * #,##0.00_ ;_ [$Fr.-807]\ * \-#,##0.00_ ;_ [$Fr.-807]\ * "-"??_ ;_ @_ </c:formatCode>
                <c:ptCount val="2"/>
                <c:pt idx="0">
                  <c:v>10400</c:v>
                </c:pt>
                <c:pt idx="1">
                  <c:v>4800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235833216"/>
        <c:axId val="235834752"/>
      </c:barChart>
      <c:catAx>
        <c:axId val="235833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35834752"/>
        <c:crosses val="autoZero"/>
        <c:auto val="1"/>
        <c:lblAlgn val="ctr"/>
        <c:lblOffset val="100"/>
        <c:noMultiLvlLbl val="0"/>
      </c:catAx>
      <c:valAx>
        <c:axId val="235834752"/>
        <c:scaling>
          <c:orientation val="minMax"/>
        </c:scaling>
        <c:delete val="0"/>
        <c:axPos val="l"/>
        <c:majorGridlines/>
        <c:numFmt formatCode="_ [$Fr.-807]\ * #,##0.00_ ;_ [$Fr.-807]\ * \-#,##0.00_ ;_ [$Fr.-807]\ * &quot;-&quot;??_ ;_ @_ " sourceLinked="1"/>
        <c:majorTickMark val="out"/>
        <c:minorTickMark val="none"/>
        <c:tickLblPos val="nextTo"/>
        <c:crossAx val="235833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741842521149003"/>
          <c:y val="0.150858486439195"/>
          <c:w val="0.33763600957492101"/>
          <c:h val="0.5045943523083820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solidFill>
            <a:srgbClr val="7E1818"/>
          </a:solidFill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250166274058"/>
          <c:y val="5.1400554097404502E-2"/>
          <c:w val="0.41053863462527601"/>
          <c:h val="0.832619568387285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'Kosten EUR'!$A$2</c:f>
              <c:strCache>
                <c:ptCount val="1"/>
                <c:pt idx="0">
                  <c:v>Basispreis</c:v>
                </c:pt>
              </c:strCache>
            </c:strRef>
          </c:tx>
          <c:spPr>
            <a:gradFill>
              <a:gsLst>
                <a:gs pos="0">
                  <a:srgbClr val="C00000">
                    <a:alpha val="72000"/>
                  </a:srgbClr>
                </a:gs>
                <a:gs pos="100000">
                  <a:schemeClr val="bg1">
                    <a:lumMod val="65000"/>
                    <a:alpha val="78000"/>
                  </a:schemeClr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invertIfNegative val="0"/>
          <c:dLbls>
            <c:dLblPos val="ctr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EUR'!$B$2:$C$2</c:f>
              <c:numCache>
                <c:formatCode>_-* #,##0.00\ [$€-407]_-;\-* #,##0.00\ [$€-407]_-;_-* "-"??\ [$€-407]_-;_-@_-</c:formatCode>
                <c:ptCount val="2"/>
                <c:pt idx="0">
                  <c:v>50000</c:v>
                </c:pt>
                <c:pt idx="1">
                  <c:v>65300</c:v>
                </c:pt>
              </c:numCache>
            </c:numRef>
          </c:val>
        </c:ser>
        <c:ser>
          <c:idx val="1"/>
          <c:order val="1"/>
          <c:tx>
            <c:strRef>
              <c:f>'Kosten EUR'!$A$3</c:f>
              <c:strCache>
                <c:ptCount val="1"/>
                <c:pt idx="0">
                  <c:v>Strassensteuer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EUR'!$B$3:$C$3</c:f>
              <c:numCache>
                <c:formatCode>_-* #,##0.00\ [$€-407]_-;\-* #,##0.00\ [$€-407]_-;_-* "-"??\ [$€-407]_-;_-@_-</c:formatCode>
                <c:ptCount val="2"/>
                <c:pt idx="0">
                  <c:v>2160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'Kosten EUR'!$A$4</c:f>
              <c:strCache>
                <c:ptCount val="1"/>
                <c:pt idx="0">
                  <c:v>Energiekosten</c:v>
                </c:pt>
              </c:strCache>
            </c:strRef>
          </c:tx>
          <c:spPr>
            <a:gradFill>
              <a:gsLst>
                <a:gs pos="0">
                  <a:srgbClr val="F5D933">
                    <a:alpha val="80000"/>
                  </a:srgbClr>
                </a:gs>
                <a:gs pos="100000">
                  <a:srgbClr val="F5F9CF"/>
                </a:gs>
              </a:gsLst>
              <a:lin ang="5400000" scaled="0"/>
            </a:gradFill>
            <a:ln>
              <a:solidFill>
                <a:srgbClr val="C00000"/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EUR'!$B$4:$C$4</c:f>
              <c:numCache>
                <c:formatCode>_-* #,##0.00\ [$€-407]_-;\-* #,##0.00\ [$€-407]_-;_-* "-"??\ [$€-407]_-;_-@_-</c:formatCode>
                <c:ptCount val="2"/>
                <c:pt idx="0">
                  <c:v>21840</c:v>
                </c:pt>
                <c:pt idx="1">
                  <c:v>15456</c:v>
                </c:pt>
              </c:numCache>
            </c:numRef>
          </c:val>
        </c:ser>
        <c:ser>
          <c:idx val="3"/>
          <c:order val="3"/>
          <c:tx>
            <c:strRef>
              <c:f>'Kosten EUR'!$A$5</c:f>
              <c:strCache>
                <c:ptCount val="1"/>
                <c:pt idx="0">
                  <c:v>Versicherung (Vollkasko)</c:v>
                </c:pt>
              </c:strCache>
            </c:strRef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100000">
                  <a:schemeClr val="tx2">
                    <a:lumMod val="20000"/>
                    <a:lumOff val="80000"/>
                  </a:scheme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92000"/>
                </a:schemeClr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EUR'!$B$5:$C$5</c:f>
              <c:numCache>
                <c:formatCode>_-* #,##0.00\ [$€-407]_-;\-* #,##0.00\ [$€-407]_-;_-* "-"??\ [$€-407]_-;_-@_-</c:formatCode>
                <c:ptCount val="2"/>
                <c:pt idx="0">
                  <c:v>16000</c:v>
                </c:pt>
                <c:pt idx="1">
                  <c:v>12000</c:v>
                </c:pt>
              </c:numCache>
            </c:numRef>
          </c:val>
        </c:ser>
        <c:ser>
          <c:idx val="4"/>
          <c:order val="4"/>
          <c:tx>
            <c:strRef>
              <c:f>'Kosten EUR'!$A$6</c:f>
              <c:strCache>
                <c:ptCount val="1"/>
                <c:pt idx="0">
                  <c:v>Service, Reifen, Bremsen, Öl usw.</c:v>
                </c:pt>
              </c:strCache>
            </c:strRef>
          </c:tx>
          <c:spPr>
            <a:gradFill>
              <a:gsLst>
                <a:gs pos="0">
                  <a:srgbClr val="364866">
                    <a:alpha val="50980"/>
                  </a:srgbClr>
                </a:gs>
                <a:gs pos="100000">
                  <a:srgbClr val="A8B5C4">
                    <a:alpha val="66667"/>
                  </a:srgbClr>
                </a:gs>
              </a:gsLst>
              <a:lin ang="5400000" scaled="0"/>
            </a:gradFill>
            <a:ln>
              <a:solidFill>
                <a:schemeClr val="tx2">
                  <a:lumMod val="75000"/>
                  <a:alpha val="72000"/>
                </a:schemeClr>
              </a:solidFill>
            </a:ln>
          </c:spPr>
          <c:invertIfNegative val="0"/>
          <c:cat>
            <c:strRef>
              <c:f>'Kosten EUR'!$B$1:$C$1</c:f>
              <c:strCache>
                <c:ptCount val="2"/>
                <c:pt idx="0">
                  <c:v>Verbrenner</c:v>
                </c:pt>
                <c:pt idx="1">
                  <c:v>Tesla Model S</c:v>
                </c:pt>
              </c:strCache>
            </c:strRef>
          </c:cat>
          <c:val>
            <c:numRef>
              <c:f>'Kosten EUR'!$B$6:$C$6</c:f>
              <c:numCache>
                <c:formatCode>_-* #,##0.00\ [$€-407]_-;\-* #,##0.00\ [$€-407]_-;_-* "-"??\ [$€-407]_-;_-@_-</c:formatCode>
                <c:ptCount val="2"/>
                <c:pt idx="0">
                  <c:v>7200</c:v>
                </c:pt>
                <c:pt idx="1">
                  <c:v>4800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170026112"/>
        <c:axId val="170027648"/>
      </c:barChart>
      <c:catAx>
        <c:axId val="170026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0027648"/>
        <c:crosses val="autoZero"/>
        <c:auto val="1"/>
        <c:lblAlgn val="ctr"/>
        <c:lblOffset val="100"/>
        <c:noMultiLvlLbl val="0"/>
      </c:catAx>
      <c:valAx>
        <c:axId val="170027648"/>
        <c:scaling>
          <c:orientation val="minMax"/>
        </c:scaling>
        <c:delete val="0"/>
        <c:axPos val="l"/>
        <c:majorGridlines/>
        <c:numFmt formatCode="_-* #,##0.00\ [$€-407]_-;\-* #,##0.00\ [$€-407]_-;_-* &quot;-&quot;??\ [$€-407]_-;_-@_-" sourceLinked="1"/>
        <c:majorTickMark val="out"/>
        <c:minorTickMark val="none"/>
        <c:tickLblPos val="nextTo"/>
        <c:crossAx val="170026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741842521149003"/>
          <c:y val="0.150858486439195"/>
          <c:w val="0.33763600957492101"/>
          <c:h val="0.50459435230838201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solidFill>
            <a:srgbClr val="7E1818"/>
          </a:solidFill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526235525938"/>
          <c:y val="0.10083100513710699"/>
          <c:w val="0.81337191503558504"/>
          <c:h val="0.641503811077402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'Ladedauer 100km'!$D$19</c:f>
              <c:strCache>
                <c:ptCount val="1"/>
                <c:pt idx="0">
                  <c:v>100km in ? Minuten</c:v>
                </c:pt>
              </c:strCache>
            </c:strRef>
          </c:tx>
          <c:spPr>
            <a:gradFill flip="none" rotWithShape="1">
              <a:gsLst>
                <a:gs pos="0">
                  <a:srgbClr val="AE0000">
                    <a:alpha val="67000"/>
                  </a:srgbClr>
                </a:gs>
                <a:gs pos="100000">
                  <a:srgbClr val="F25F58">
                    <a:alpha val="53000"/>
                  </a:srgbClr>
                </a:gs>
              </a:gsLst>
              <a:lin ang="16200000" scaled="0"/>
              <a:tileRect/>
            </a:gradFill>
            <a:ln>
              <a:solidFill>
                <a:srgbClr val="800000"/>
              </a:solidFill>
            </a:ln>
          </c:spPr>
          <c:invertIfNegative val="0"/>
          <c:dLbls>
            <c:dLbl>
              <c:idx val="0"/>
              <c:layout>
                <c:manualLayout>
                  <c:x val="-4.6378758528593897E-4"/>
                  <c:y val="1.235921647946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81734947254672E-7"/>
                  <c:y val="-1.443108022885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-2.40518003814199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'Ladedauer 100km'!$B$20:$C$24</c:f>
              <c:multiLvlStrCache>
                <c:ptCount val="5"/>
                <c:lvl>
                  <c:pt idx="0">
                    <c:v>2.3kW</c:v>
                  </c:pt>
                  <c:pt idx="1">
                    <c:v>3.7kW</c:v>
                  </c:pt>
                  <c:pt idx="2">
                    <c:v>11kW</c:v>
                  </c:pt>
                  <c:pt idx="3">
                    <c:v>22kW</c:v>
                  </c:pt>
                  <c:pt idx="4">
                    <c:v>120kW</c:v>
                  </c:pt>
                </c:lvl>
                <c:lvl>
                  <c:pt idx="0">
                    <c:v>zuhause 
(230V, 10A)</c:v>
                  </c:pt>
                  <c:pt idx="1">
                    <c:v>zuhause
(230V, 16A)</c:v>
                  </c:pt>
                  <c:pt idx="2">
                    <c:v>zuhause (3Phasen, 400V)</c:v>
                  </c:pt>
                  <c:pt idx="3">
                    <c:v>öffentlich / zuhause (Typ2)</c:v>
                  </c:pt>
                  <c:pt idx="4">
                    <c:v>Tesla Supercharger</c:v>
                  </c:pt>
                </c:lvl>
              </c:multiLvlStrCache>
            </c:multiLvlStrRef>
          </c:cat>
          <c:val>
            <c:numRef>
              <c:f>'Ladedauer 100km'!$D$20:$D$24</c:f>
              <c:numCache>
                <c:formatCode>0"min"</c:formatCode>
                <c:ptCount val="5"/>
                <c:pt idx="0">
                  <c:v>600</c:v>
                </c:pt>
                <c:pt idx="1">
                  <c:v>380</c:v>
                </c:pt>
                <c:pt idx="2">
                  <c:v>120</c:v>
                </c:pt>
                <c:pt idx="3">
                  <c:v>60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70093568"/>
        <c:axId val="170107648"/>
      </c:barChart>
      <c:catAx>
        <c:axId val="170093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0107648"/>
        <c:crosses val="autoZero"/>
        <c:auto val="1"/>
        <c:lblAlgn val="ctr"/>
        <c:lblOffset val="100"/>
        <c:noMultiLvlLbl val="0"/>
      </c:catAx>
      <c:valAx>
        <c:axId val="170107648"/>
        <c:scaling>
          <c:orientation val="minMax"/>
          <c:max val="600"/>
        </c:scaling>
        <c:delete val="0"/>
        <c:axPos val="l"/>
        <c:majorGridlines/>
        <c:numFmt formatCode="0&quot;min&quot;" sourceLinked="1"/>
        <c:majorTickMark val="out"/>
        <c:minorTickMark val="none"/>
        <c:tickLblPos val="nextTo"/>
        <c:crossAx val="170093568"/>
        <c:crosses val="autoZero"/>
        <c:crossBetween val="between"/>
        <c:majorUnit val="50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'Drehmoment nach Getriebe'!$C$5:$D$5</c:f>
              <c:strCache>
                <c:ptCount val="2"/>
                <c:pt idx="0">
                  <c:v>Audi S6</c:v>
                </c:pt>
                <c:pt idx="1">
                  <c:v>Tesla Model S</c:v>
                </c:pt>
              </c:strCache>
            </c:strRef>
          </c:cat>
          <c:val>
            <c:numRef>
              <c:f>'Drehmoment nach Getriebe'!$C$6:$D$6</c:f>
              <c:numCache>
                <c:formatCode>0\ "Nm"</c:formatCode>
                <c:ptCount val="2"/>
                <c:pt idx="0">
                  <c:v>550</c:v>
                </c:pt>
                <c:pt idx="1">
                  <c:v>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774336"/>
        <c:axId val="171775872"/>
      </c:barChart>
      <c:catAx>
        <c:axId val="171774336"/>
        <c:scaling>
          <c:orientation val="minMax"/>
        </c:scaling>
        <c:delete val="0"/>
        <c:axPos val="l"/>
        <c:majorTickMark val="out"/>
        <c:minorTickMark val="none"/>
        <c:tickLblPos val="nextTo"/>
        <c:crossAx val="171775872"/>
        <c:crosses val="autoZero"/>
        <c:auto val="1"/>
        <c:lblAlgn val="ctr"/>
        <c:lblOffset val="100"/>
        <c:noMultiLvlLbl val="0"/>
      </c:catAx>
      <c:valAx>
        <c:axId val="171775872"/>
        <c:scaling>
          <c:orientation val="minMax"/>
          <c:max val="1000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crossAx val="171774336"/>
        <c:crosses val="autoZero"/>
        <c:crossBetween val="between"/>
        <c:majorUnit val="500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'Drehmoment nach Getriebe'!$B$8</c:f>
              <c:strCache>
                <c:ptCount val="1"/>
                <c:pt idx="0">
                  <c:v>1.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Getriebe'!$C$8</c:f>
              <c:numCache>
                <c:formatCode>0\ "Nm"</c:formatCode>
                <c:ptCount val="1"/>
                <c:pt idx="0">
                  <c:v>2294.0500000000002</c:v>
                </c:pt>
              </c:numCache>
            </c:numRef>
          </c:val>
        </c:ser>
        <c:ser>
          <c:idx val="1"/>
          <c:order val="1"/>
          <c:tx>
            <c:strRef>
              <c:f>'Drehmoment nach Getriebe'!$B$9</c:f>
              <c:strCache>
                <c:ptCount val="1"/>
                <c:pt idx="0">
                  <c:v>2.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Getriebe'!$C$9</c:f>
              <c:numCache>
                <c:formatCode>0\ "Nm"</c:formatCode>
                <c:ptCount val="1"/>
                <c:pt idx="0">
                  <c:v>1287</c:v>
                </c:pt>
              </c:numCache>
            </c:numRef>
          </c:val>
        </c:ser>
        <c:ser>
          <c:idx val="2"/>
          <c:order val="2"/>
          <c:tx>
            <c:strRef>
              <c:f>'Drehmoment nach Getriebe'!$B$10</c:f>
              <c:strCache>
                <c:ptCount val="1"/>
                <c:pt idx="0">
                  <c:v>3.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Getriebe'!$C$10</c:f>
              <c:numCache>
                <c:formatCode>0\ "Nm"</c:formatCode>
                <c:ptCount val="1"/>
                <c:pt idx="0">
                  <c:v>836.55</c:v>
                </c:pt>
              </c:numCache>
            </c:numRef>
          </c:val>
        </c:ser>
        <c:ser>
          <c:idx val="3"/>
          <c:order val="3"/>
          <c:tx>
            <c:strRef>
              <c:f>'Drehmoment nach Getriebe'!$B$11</c:f>
              <c:strCache>
                <c:ptCount val="1"/>
                <c:pt idx="0">
                  <c:v>4.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Getriebe'!$C$11</c:f>
              <c:numCache>
                <c:formatCode>0\ "Nm"</c:formatCode>
                <c:ptCount val="1"/>
                <c:pt idx="0">
                  <c:v>628.65</c:v>
                </c:pt>
              </c:numCache>
            </c:numRef>
          </c:val>
        </c:ser>
        <c:ser>
          <c:idx val="4"/>
          <c:order val="4"/>
          <c:tx>
            <c:strRef>
              <c:f>'Drehmoment nach Getriebe'!$B$12</c:f>
              <c:strCache>
                <c:ptCount val="1"/>
                <c:pt idx="0">
                  <c:v>5.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Getriebe'!$C$12</c:f>
              <c:numCache>
                <c:formatCode>0\ "Nm"</c:formatCode>
                <c:ptCount val="1"/>
                <c:pt idx="0">
                  <c:v>476.85</c:v>
                </c:pt>
              </c:numCache>
            </c:numRef>
          </c:val>
        </c:ser>
        <c:ser>
          <c:idx val="5"/>
          <c:order val="5"/>
          <c:tx>
            <c:strRef>
              <c:f>'Drehmoment nach Getriebe'!$B$13</c:f>
              <c:strCache>
                <c:ptCount val="1"/>
                <c:pt idx="0">
                  <c:v>6. Gang</c:v>
                </c:pt>
              </c:strCache>
            </c:strRef>
          </c:tx>
          <c:invertIfNegative val="0"/>
          <c:cat>
            <c:strRef>
              <c:f>'Drehmoment nach Getriebe'!$C$7</c:f>
              <c:strCache>
                <c:ptCount val="1"/>
                <c:pt idx="0">
                  <c:v>Audi S6</c:v>
                </c:pt>
              </c:strCache>
            </c:strRef>
          </c:cat>
          <c:val>
            <c:numRef>
              <c:f>'Drehmoment nach Getriebe'!$C$13</c:f>
              <c:numCache>
                <c:formatCode>0\ "Nm"</c:formatCode>
                <c:ptCount val="1"/>
                <c:pt idx="0">
                  <c:v>380.04999999999995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35520"/>
        <c:axId val="213437056"/>
      </c:barChart>
      <c:catAx>
        <c:axId val="213435520"/>
        <c:scaling>
          <c:orientation val="minMax"/>
        </c:scaling>
        <c:delete val="1"/>
        <c:axPos val="l"/>
        <c:majorTickMark val="out"/>
        <c:minorTickMark val="none"/>
        <c:tickLblPos val="nextTo"/>
        <c:crossAx val="213437056"/>
        <c:crosses val="autoZero"/>
        <c:auto val="1"/>
        <c:lblAlgn val="ctr"/>
        <c:lblOffset val="100"/>
        <c:noMultiLvlLbl val="0"/>
      </c:catAx>
      <c:valAx>
        <c:axId val="213437056"/>
        <c:scaling>
          <c:orientation val="minMax"/>
          <c:max val="5000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35520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56396706631895999"/>
          <c:y val="0.153469896848624"/>
          <c:w val="0.170799863708198"/>
          <c:h val="0.57214077921621398"/>
        </c:manualLayout>
      </c:layout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266738716484E-2"/>
          <c:y val="0.19432888597258699"/>
          <c:w val="0.65377349221721603"/>
          <c:h val="0.6896912365121029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'Drehmoment nach Getriebe'!$D$7</c:f>
              <c:strCache>
                <c:ptCount val="1"/>
                <c:pt idx="0">
                  <c:v>Tesla Model S</c:v>
                </c:pt>
              </c:strCache>
            </c:strRef>
          </c:tx>
          <c:invertIfNegative val="0"/>
          <c:val>
            <c:numRef>
              <c:f>'Drehmoment nach Getriebe'!$D$8</c:f>
              <c:numCache>
                <c:formatCode>0\ "Nm"</c:formatCode>
                <c:ptCount val="1"/>
                <c:pt idx="0">
                  <c:v>4378.5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44480"/>
        <c:axId val="213446016"/>
      </c:barChart>
      <c:catAx>
        <c:axId val="213444480"/>
        <c:scaling>
          <c:orientation val="minMax"/>
        </c:scaling>
        <c:delete val="1"/>
        <c:axPos val="l"/>
        <c:majorTickMark val="out"/>
        <c:minorTickMark val="none"/>
        <c:tickLblPos val="nextTo"/>
        <c:crossAx val="213446016"/>
        <c:crosses val="autoZero"/>
        <c:auto val="1"/>
        <c:lblAlgn val="ctr"/>
        <c:lblOffset val="100"/>
        <c:noMultiLvlLbl val="0"/>
      </c:catAx>
      <c:valAx>
        <c:axId val="213446016"/>
        <c:scaling>
          <c:orientation val="minMax"/>
        </c:scaling>
        <c:delete val="0"/>
        <c:axPos val="b"/>
        <c:majorGridlines/>
        <c:numFmt formatCode="0\ &quot;Nm&quot;" sourceLinked="1"/>
        <c:majorTickMark val="out"/>
        <c:minorTickMark val="none"/>
        <c:tickLblPos val="nextTo"/>
        <c:crossAx val="213444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686891491124493E-2"/>
          <c:y val="5.5243082574215077E-2"/>
          <c:w val="0.5594411532893292"/>
          <c:h val="0.599116630049683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Kofferraumvolumen!$A$3</c:f>
              <c:strCache>
                <c:ptCount val="1"/>
                <c:pt idx="0">
                  <c:v>Kofferraum (Sitze oben)</c:v>
                </c:pt>
              </c:strCache>
            </c:strRef>
          </c:tx>
          <c:spPr>
            <a:solidFill>
              <a:schemeClr val="tx2">
                <a:alpha val="84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Kofferraumvolumen!$B$3:$E$3</c:f>
              <c:numCache>
                <c:formatCode>0\ "L"</c:formatCode>
                <c:ptCount val="4"/>
                <c:pt idx="0">
                  <c:v>744.7</c:v>
                </c:pt>
                <c:pt idx="1">
                  <c:v>565</c:v>
                </c:pt>
                <c:pt idx="2">
                  <c:v>560</c:v>
                </c:pt>
                <c:pt idx="3">
                  <c:v>485</c:v>
                </c:pt>
              </c:numCache>
            </c:numRef>
          </c:val>
        </c:ser>
        <c:ser>
          <c:idx val="1"/>
          <c:order val="1"/>
          <c:tx>
            <c:strRef>
              <c:f>Kofferraumvolumen!$A$4</c:f>
              <c:strCache>
                <c:ptCount val="1"/>
                <c:pt idx="0">
                  <c:v>zusätzlicher Kofferraum (Sitze runter klappen)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Kofferraumvolumen!$B$4:$E$4</c:f>
              <c:numCache>
                <c:formatCode>0\ "L"</c:formatCode>
                <c:ptCount val="4"/>
                <c:pt idx="0">
                  <c:v>900.5</c:v>
                </c:pt>
                <c:pt idx="1">
                  <c:v>1115</c:v>
                </c:pt>
                <c:pt idx="2">
                  <c:v>1110</c:v>
                </c:pt>
                <c:pt idx="3">
                  <c:v>1156</c:v>
                </c:pt>
              </c:numCache>
            </c:numRef>
          </c:val>
        </c:ser>
        <c:ser>
          <c:idx val="2"/>
          <c:order val="2"/>
          <c:tx>
            <c:strRef>
              <c:f>Kofferraumvolumen!$A$5</c:f>
              <c:strCache>
                <c:ptCount val="1"/>
                <c:pt idx="0">
                  <c:v>Front Kofferraum</c:v>
                </c:pt>
              </c:strCache>
            </c:strRef>
          </c:tx>
          <c:spPr>
            <a:solidFill>
              <a:schemeClr val="tx2">
                <a:lumMod val="50000"/>
                <a:alpha val="72000"/>
              </a:schemeClr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Kofferraumvolumen!$B$2:$E$2</c:f>
              <c:strCache>
                <c:ptCount val="4"/>
                <c:pt idx="0">
                  <c:v>Tesla Model S</c:v>
                </c:pt>
                <c:pt idx="1">
                  <c:v>Audi A6 Avant</c:v>
                </c:pt>
                <c:pt idx="2">
                  <c:v>BMW 5er Touring</c:v>
                </c:pt>
                <c:pt idx="3">
                  <c:v>Volvo XC70</c:v>
                </c:pt>
              </c:strCache>
            </c:strRef>
          </c:cat>
          <c:val>
            <c:numRef>
              <c:f>Kofferraumvolumen!$B$5:$E$5</c:f>
              <c:numCache>
                <c:formatCode>0\ "L"</c:formatCode>
                <c:ptCount val="4"/>
                <c:pt idx="0">
                  <c:v>150.1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2"/>
        <c:overlap val="100"/>
        <c:axId val="236066688"/>
        <c:axId val="236068224"/>
      </c:barChart>
      <c:catAx>
        <c:axId val="2360666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36068224"/>
        <c:crosses val="autoZero"/>
        <c:auto val="1"/>
        <c:lblAlgn val="ctr"/>
        <c:lblOffset val="100"/>
        <c:noMultiLvlLbl val="0"/>
      </c:catAx>
      <c:valAx>
        <c:axId val="236068224"/>
        <c:scaling>
          <c:orientation val="minMax"/>
        </c:scaling>
        <c:delete val="0"/>
        <c:axPos val="l"/>
        <c:majorGridlines/>
        <c:numFmt formatCode="0\ &quot;L&quot;" sourceLinked="1"/>
        <c:majorTickMark val="out"/>
        <c:minorTickMark val="none"/>
        <c:tickLblPos val="nextTo"/>
        <c:crossAx val="236066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8299668033399559E-2"/>
          <c:y val="0.78289401687638582"/>
          <c:w val="0.55818571647785897"/>
          <c:h val="0.1831231284932323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Beschleunigung 0-100 km/h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'Beschleunigung 0-100'!$A$3</c:f>
              <c:strCache>
                <c:ptCount val="1"/>
                <c:pt idx="0">
                  <c:v>0-100</c:v>
                </c:pt>
              </c:strCache>
            </c:strRef>
          </c:tx>
          <c:spPr>
            <a:gradFill>
              <a:gsLst>
                <a:gs pos="0">
                  <a:srgbClr val="FFF200"/>
                </a:gs>
                <a:gs pos="45000">
                  <a:srgbClr val="FF7A00"/>
                </a:gs>
                <a:gs pos="70000">
                  <a:srgbClr val="FF0300"/>
                </a:gs>
                <a:gs pos="100000">
                  <a:srgbClr val="4D0808"/>
                </a:gs>
              </a:gsLst>
              <a:lin ang="0" scaled="0"/>
            </a:gradFill>
            <a:ln w="19050"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0" scaled="0"/>
              </a:gradFill>
              <a:ln w="19050"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0" scaled="0"/>
              </a:gradFill>
              <a:ln w="19050"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03D4A8"/>
                  </a:gs>
                  <a:gs pos="25000">
                    <a:srgbClr val="21D6E0"/>
                  </a:gs>
                  <a:gs pos="75000">
                    <a:srgbClr val="0087E6"/>
                  </a:gs>
                  <a:gs pos="100000">
                    <a:srgbClr val="005CBF"/>
                  </a:gs>
                </a:gsLst>
                <a:lin ang="0" scaled="0"/>
              </a:gradFill>
              <a:ln w="19050"/>
            </c:spPr>
          </c:dPt>
          <c:cat>
            <c:strRef>
              <c:f>'Beschleunigung 0-100'!$B$2:$I$2</c:f>
              <c:strCache>
                <c:ptCount val="8"/>
                <c:pt idx="0">
                  <c:v>Tesla P85</c:v>
                </c:pt>
                <c:pt idx="1">
                  <c:v>Tesla S85</c:v>
                </c:pt>
                <c:pt idx="2">
                  <c:v>Tesla S60</c:v>
                </c:pt>
                <c:pt idx="3">
                  <c:v>Porsche 911 Carrera 4S (3.8L Boxer)</c:v>
                </c:pt>
                <c:pt idx="4">
                  <c:v>Audi S5 Sportback (3.0L TFSI V6)</c:v>
                </c:pt>
                <c:pt idx="5">
                  <c:v>Chevrolet Camaro SS (6.2L V8)</c:v>
                </c:pt>
                <c:pt idx="6">
                  <c:v>BMW 518d Touring</c:v>
                </c:pt>
                <c:pt idx="7">
                  <c:v>Audi A4 Avant 1.8 TFSI</c:v>
                </c:pt>
              </c:strCache>
            </c:strRef>
          </c:cat>
          <c:val>
            <c:numRef>
              <c:f>'Beschleunigung 0-100'!$B$3:$I$3</c:f>
              <c:numCache>
                <c:formatCode>0.0\ "sec"</c:formatCode>
                <c:ptCount val="8"/>
                <c:pt idx="0">
                  <c:v>4.4000000000000004</c:v>
                </c:pt>
                <c:pt idx="1">
                  <c:v>5.6</c:v>
                </c:pt>
                <c:pt idx="2">
                  <c:v>6.2</c:v>
                </c:pt>
                <c:pt idx="3">
                  <c:v>4.5</c:v>
                </c:pt>
                <c:pt idx="4">
                  <c:v>5.0999999999999996</c:v>
                </c:pt>
                <c:pt idx="5">
                  <c:v>5.4</c:v>
                </c:pt>
                <c:pt idx="6">
                  <c:v>10.1</c:v>
                </c:pt>
                <c:pt idx="7">
                  <c:v>10.8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axId val="236438272"/>
        <c:axId val="236439808"/>
      </c:barChart>
      <c:catAx>
        <c:axId val="236438272"/>
        <c:scaling>
          <c:orientation val="maxMin"/>
        </c:scaling>
        <c:delete val="0"/>
        <c:axPos val="l"/>
        <c:majorTickMark val="out"/>
        <c:minorTickMark val="none"/>
        <c:tickLblPos val="nextTo"/>
        <c:crossAx val="236439808"/>
        <c:crosses val="autoZero"/>
        <c:auto val="1"/>
        <c:lblAlgn val="ctr"/>
        <c:lblOffset val="100"/>
        <c:noMultiLvlLbl val="0"/>
      </c:catAx>
      <c:valAx>
        <c:axId val="236439808"/>
        <c:scaling>
          <c:orientation val="minMax"/>
        </c:scaling>
        <c:delete val="0"/>
        <c:axPos val="t"/>
        <c:majorGridlines/>
        <c:numFmt formatCode="0.0\ &quot;sec&quot;" sourceLinked="1"/>
        <c:majorTickMark val="out"/>
        <c:minorTickMark val="in"/>
        <c:tickLblPos val="nextTo"/>
        <c:crossAx val="236438272"/>
        <c:crosses val="autoZero"/>
        <c:crossBetween val="between"/>
        <c:majorUnit val="1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525339</xdr:colOff>
      <xdr:row>11</xdr:row>
      <xdr:rowOff>137014</xdr:rowOff>
    </xdr:from>
    <xdr:to>
      <xdr:col>4</xdr:col>
      <xdr:colOff>767861</xdr:colOff>
      <xdr:row>28</xdr:row>
      <xdr:rowOff>127488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525339</xdr:colOff>
      <xdr:row>10</xdr:row>
      <xdr:rowOff>137014</xdr:rowOff>
    </xdr:from>
    <xdr:to>
      <xdr:col>4</xdr:col>
      <xdr:colOff>767861</xdr:colOff>
      <xdr:row>27</xdr:row>
      <xdr:rowOff>127488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24254</xdr:colOff>
      <xdr:row>3</xdr:row>
      <xdr:rowOff>138789</xdr:rowOff>
    </xdr:from>
    <xdr:to>
      <xdr:col>24</xdr:col>
      <xdr:colOff>97523</xdr:colOff>
      <xdr:row>26</xdr:row>
      <xdr:rowOff>11790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285751</xdr:colOff>
      <xdr:row>10</xdr:row>
      <xdr:rowOff>85725</xdr:rowOff>
    </xdr:from>
    <xdr:to>
      <xdr:col>10</xdr:col>
      <xdr:colOff>638175</xdr:colOff>
      <xdr:row>32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804497</xdr:colOff>
      <xdr:row>20</xdr:row>
      <xdr:rowOff>140677</xdr:rowOff>
    </xdr:from>
    <xdr:to>
      <xdr:col>15</xdr:col>
      <xdr:colOff>813289</xdr:colOff>
      <xdr:row>37</xdr:row>
      <xdr:rowOff>131152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9524</xdr:colOff>
      <xdr:row>9</xdr:row>
      <xdr:rowOff>104776</xdr:rowOff>
    </xdr:from>
    <xdr:to>
      <xdr:col>17</xdr:col>
      <xdr:colOff>323849</xdr:colOff>
      <xdr:row>16</xdr:row>
      <xdr:rowOff>152399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1656503</xdr:colOff>
      <xdr:row>4</xdr:row>
      <xdr:rowOff>87086</xdr:rowOff>
    </xdr:from>
    <xdr:to>
      <xdr:col>6</xdr:col>
      <xdr:colOff>700064</xdr:colOff>
      <xdr:row>24</xdr:row>
      <xdr:rowOff>65313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4</xdr:row>
      <xdr:rowOff>133350</xdr:rowOff>
    </xdr:from>
    <xdr:to>
      <xdr:col>10</xdr:col>
      <xdr:colOff>85724</xdr:colOff>
      <xdr:row>28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8"/>
  <sheetViews>
    <sheetView zoomScale="130" zoomScaleNormal="130" zoomScalePageLayoutView="130" workbookViewId="0">
      <selection activeCell="A11" sqref="A11"/>
    </sheetView>
  </sheetViews>
  <sheetFormatPr baseColWidth="10" defaultRowHeight="12.75" x14ac:dyDescent="0.2"/>
  <cols>
    <col min="1" max="1" width="30.375" customWidth="1"/>
    <col min="2" max="2" width="15.375" customWidth="1"/>
    <col min="3" max="3" width="15.25" customWidth="1"/>
  </cols>
  <sheetData>
    <row r="1" spans="1:5" x14ac:dyDescent="0.2">
      <c r="B1" t="s">
        <v>40</v>
      </c>
      <c r="C1" t="s">
        <v>21</v>
      </c>
    </row>
    <row r="2" spans="1:5" x14ac:dyDescent="0.2">
      <c r="A2" t="s">
        <v>11</v>
      </c>
      <c r="B2" s="6">
        <v>45000</v>
      </c>
      <c r="C2" s="6">
        <v>72400</v>
      </c>
      <c r="D2">
        <v>8</v>
      </c>
      <c r="E2" t="s">
        <v>13</v>
      </c>
    </row>
    <row r="3" spans="1:5" x14ac:dyDescent="0.2">
      <c r="A3" t="s">
        <v>10</v>
      </c>
      <c r="B3" s="6">
        <f>0.04*B2</f>
        <v>1800</v>
      </c>
      <c r="C3" s="6">
        <v>0</v>
      </c>
      <c r="D3">
        <v>20000</v>
      </c>
      <c r="E3" t="s">
        <v>14</v>
      </c>
    </row>
    <row r="4" spans="1:5" x14ac:dyDescent="0.2">
      <c r="A4" t="s">
        <v>12</v>
      </c>
      <c r="B4" s="6">
        <f>D2*300</f>
        <v>2400</v>
      </c>
      <c r="C4" s="6">
        <v>0</v>
      </c>
      <c r="D4">
        <v>1.8</v>
      </c>
      <c r="E4" t="s">
        <v>15</v>
      </c>
    </row>
    <row r="5" spans="1:5" x14ac:dyDescent="0.2">
      <c r="A5" t="s">
        <v>19</v>
      </c>
      <c r="B5" s="6">
        <f>D2*D3/100*D5*D4</f>
        <v>20160</v>
      </c>
      <c r="C5" s="6">
        <f>D2*D3*D7/100*D8</f>
        <v>7360</v>
      </c>
      <c r="D5">
        <v>7</v>
      </c>
      <c r="E5" t="s">
        <v>16</v>
      </c>
    </row>
    <row r="6" spans="1:5" x14ac:dyDescent="0.2">
      <c r="A6" t="s">
        <v>24</v>
      </c>
      <c r="B6" s="6">
        <f>D2*2000</f>
        <v>16000</v>
      </c>
      <c r="C6" s="6">
        <f>D2*1500</f>
        <v>12000</v>
      </c>
    </row>
    <row r="7" spans="1:5" x14ac:dyDescent="0.2">
      <c r="A7" t="s">
        <v>20</v>
      </c>
      <c r="B7" s="6">
        <f>D2*1300</f>
        <v>10400</v>
      </c>
      <c r="C7" s="6">
        <f>D2*600</f>
        <v>4800</v>
      </c>
      <c r="D7">
        <v>0.2</v>
      </c>
      <c r="E7" t="s">
        <v>17</v>
      </c>
    </row>
    <row r="8" spans="1:5" x14ac:dyDescent="0.2">
      <c r="B8" s="6">
        <f>SUM(B2:B7)</f>
        <v>95760</v>
      </c>
      <c r="C8" s="6">
        <f>SUM(C2:C7)</f>
        <v>96560</v>
      </c>
      <c r="D8">
        <v>23</v>
      </c>
      <c r="E8" t="s">
        <v>18</v>
      </c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8"/>
  <sheetViews>
    <sheetView tabSelected="1" zoomScale="130" zoomScaleNormal="130" zoomScalePageLayoutView="130" workbookViewId="0">
      <selection activeCell="G20" sqref="G20"/>
    </sheetView>
  </sheetViews>
  <sheetFormatPr baseColWidth="10" defaultRowHeight="12.75" x14ac:dyDescent="0.2"/>
  <cols>
    <col min="1" max="1" width="30.375" customWidth="1"/>
    <col min="2" max="2" width="15.375" customWidth="1"/>
    <col min="3" max="3" width="15.25" customWidth="1"/>
  </cols>
  <sheetData>
    <row r="1" spans="1:5" x14ac:dyDescent="0.2">
      <c r="B1" s="16" t="s">
        <v>39</v>
      </c>
      <c r="C1" t="s">
        <v>21</v>
      </c>
    </row>
    <row r="2" spans="1:5" x14ac:dyDescent="0.2">
      <c r="A2" t="s">
        <v>11</v>
      </c>
      <c r="B2" s="15">
        <v>50000</v>
      </c>
      <c r="C2" s="15">
        <v>65300</v>
      </c>
      <c r="D2">
        <v>8</v>
      </c>
      <c r="E2" t="s">
        <v>13</v>
      </c>
    </row>
    <row r="3" spans="1:5" x14ac:dyDescent="0.2">
      <c r="A3" t="s">
        <v>12</v>
      </c>
      <c r="B3" s="15">
        <f>D2*270</f>
        <v>2160</v>
      </c>
      <c r="C3" s="15">
        <v>0</v>
      </c>
      <c r="D3">
        <v>30000</v>
      </c>
      <c r="E3" t="s">
        <v>14</v>
      </c>
    </row>
    <row r="4" spans="1:5" x14ac:dyDescent="0.2">
      <c r="A4" t="s">
        <v>19</v>
      </c>
      <c r="B4" s="15">
        <f>D2*D3/100*D5*D4</f>
        <v>21840</v>
      </c>
      <c r="C4" s="15">
        <f>D2*D3*D7/100*D8</f>
        <v>15456</v>
      </c>
      <c r="D4">
        <v>1.3</v>
      </c>
      <c r="E4" s="16" t="s">
        <v>37</v>
      </c>
    </row>
    <row r="5" spans="1:5" x14ac:dyDescent="0.2">
      <c r="A5" t="s">
        <v>24</v>
      </c>
      <c r="B5" s="15">
        <f>D2*2000</f>
        <v>16000</v>
      </c>
      <c r="C5" s="15">
        <f>D2*1500</f>
        <v>12000</v>
      </c>
      <c r="D5">
        <v>7</v>
      </c>
      <c r="E5" t="s">
        <v>16</v>
      </c>
    </row>
    <row r="6" spans="1:5" x14ac:dyDescent="0.2">
      <c r="A6" t="s">
        <v>20</v>
      </c>
      <c r="B6" s="15">
        <f>D2*900</f>
        <v>7200</v>
      </c>
      <c r="C6" s="15">
        <f>D2*600</f>
        <v>4800</v>
      </c>
    </row>
    <row r="7" spans="1:5" x14ac:dyDescent="0.2">
      <c r="B7" s="15">
        <f>SUM(B2:B6)</f>
        <v>97200</v>
      </c>
      <c r="C7" s="15">
        <f>SUM(C2:C6)</f>
        <v>97556</v>
      </c>
      <c r="D7">
        <v>0.28000000000000003</v>
      </c>
      <c r="E7" s="16" t="s">
        <v>38</v>
      </c>
    </row>
    <row r="8" spans="1:5" x14ac:dyDescent="0.2">
      <c r="D8">
        <v>23</v>
      </c>
      <c r="E8" t="s">
        <v>18</v>
      </c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7:AB24"/>
  <sheetViews>
    <sheetView zoomScale="145" zoomScaleNormal="145" zoomScalePageLayoutView="145" workbookViewId="0">
      <selection activeCell="B16" sqref="B16"/>
    </sheetView>
  </sheetViews>
  <sheetFormatPr baseColWidth="10" defaultColWidth="4.125" defaultRowHeight="12.75" x14ac:dyDescent="0.2"/>
  <cols>
    <col min="1" max="1" width="4.25" style="4" customWidth="1"/>
    <col min="2" max="2" width="18.75" style="4" bestFit="1" customWidth="1"/>
    <col min="3" max="3" width="5.625" style="4" bestFit="1" customWidth="1"/>
    <col min="4" max="4" width="14" style="4" bestFit="1" customWidth="1"/>
    <col min="5" max="28" width="3.75" style="4" customWidth="1"/>
    <col min="29" max="16384" width="4.125" style="1"/>
  </cols>
  <sheetData>
    <row r="17" spans="2:4" x14ac:dyDescent="0.2">
      <c r="D17" s="4">
        <f>75/4*60</f>
        <v>1125</v>
      </c>
    </row>
    <row r="19" spans="2:4" x14ac:dyDescent="0.2">
      <c r="D19" s="4" t="s">
        <v>5</v>
      </c>
    </row>
    <row r="20" spans="2:4" ht="23.25" x14ac:dyDescent="0.2">
      <c r="B20" s="14" t="s">
        <v>36</v>
      </c>
      <c r="C20" s="13" t="s">
        <v>34</v>
      </c>
      <c r="D20" s="5">
        <v>600</v>
      </c>
    </row>
    <row r="21" spans="2:4" ht="23.25" x14ac:dyDescent="0.2">
      <c r="B21" s="14" t="s">
        <v>33</v>
      </c>
      <c r="C21" s="13" t="s">
        <v>35</v>
      </c>
      <c r="D21" s="5">
        <v>380</v>
      </c>
    </row>
    <row r="22" spans="2:4" x14ac:dyDescent="0.2">
      <c r="B22" s="4" t="s">
        <v>4</v>
      </c>
      <c r="C22" s="4" t="s">
        <v>6</v>
      </c>
      <c r="D22" s="5">
        <v>120</v>
      </c>
    </row>
    <row r="23" spans="2:4" x14ac:dyDescent="0.2">
      <c r="B23" s="4" t="s">
        <v>9</v>
      </c>
      <c r="C23" s="4" t="s">
        <v>7</v>
      </c>
      <c r="D23" s="5">
        <v>60</v>
      </c>
    </row>
    <row r="24" spans="2:4" x14ac:dyDescent="0.2">
      <c r="B24" s="4" t="s">
        <v>3</v>
      </c>
      <c r="C24" s="4" t="s">
        <v>8</v>
      </c>
      <c r="D24" s="5">
        <v>12</v>
      </c>
    </row>
  </sheetData>
  <phoneticPr fontId="1" type="noConversion"/>
  <pageMargins left="0.75196850393700787" right="0.75196850393700787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B5:D13"/>
  <sheetViews>
    <sheetView topLeftCell="E7" zoomScale="130" zoomScaleNormal="130" zoomScalePageLayoutView="130" workbookViewId="0">
      <selection activeCell="F24" sqref="F24"/>
    </sheetView>
  </sheetViews>
  <sheetFormatPr baseColWidth="10" defaultRowHeight="12.75" x14ac:dyDescent="0.2"/>
  <sheetData>
    <row r="5" spans="2:4" x14ac:dyDescent="0.2">
      <c r="C5" t="s">
        <v>25</v>
      </c>
      <c r="D5" t="s">
        <v>21</v>
      </c>
    </row>
    <row r="6" spans="2:4" x14ac:dyDescent="0.2">
      <c r="B6" t="s">
        <v>32</v>
      </c>
      <c r="C6" s="12">
        <v>550</v>
      </c>
      <c r="D6" s="12">
        <v>450</v>
      </c>
    </row>
    <row r="7" spans="2:4" x14ac:dyDescent="0.2">
      <c r="C7" t="s">
        <v>25</v>
      </c>
      <c r="D7" t="s">
        <v>21</v>
      </c>
    </row>
    <row r="8" spans="2:4" x14ac:dyDescent="0.2">
      <c r="B8" t="s">
        <v>26</v>
      </c>
      <c r="C8" s="12">
        <f>C6*4.171</f>
        <v>2294.0500000000002</v>
      </c>
      <c r="D8" s="12">
        <f>D6*9.73</f>
        <v>4378.5</v>
      </c>
    </row>
    <row r="9" spans="2:4" x14ac:dyDescent="0.2">
      <c r="B9" t="s">
        <v>27</v>
      </c>
      <c r="C9" s="12">
        <f>C6*2.34</f>
        <v>1287</v>
      </c>
      <c r="D9" s="12"/>
    </row>
    <row r="10" spans="2:4" x14ac:dyDescent="0.2">
      <c r="B10" t="s">
        <v>28</v>
      </c>
      <c r="C10" s="12">
        <f>C6*1.521</f>
        <v>836.55</v>
      </c>
      <c r="D10" s="12"/>
    </row>
    <row r="11" spans="2:4" x14ac:dyDescent="0.2">
      <c r="B11" t="s">
        <v>29</v>
      </c>
      <c r="C11" s="12">
        <f>C6*1.143</f>
        <v>628.65</v>
      </c>
      <c r="D11" s="12"/>
    </row>
    <row r="12" spans="2:4" x14ac:dyDescent="0.2">
      <c r="B12" t="s">
        <v>30</v>
      </c>
      <c r="C12" s="12">
        <f>C6*0.867</f>
        <v>476.85</v>
      </c>
      <c r="D12" s="12"/>
    </row>
    <row r="13" spans="2:4" x14ac:dyDescent="0.2">
      <c r="B13" t="s">
        <v>31</v>
      </c>
      <c r="C13" s="12">
        <f>C6*0.691</f>
        <v>380.04999999999995</v>
      </c>
      <c r="D13" s="12"/>
    </row>
  </sheetData>
  <phoneticPr fontId="1" type="noConversion"/>
  <pageMargins left="0.7" right="0.7" top="0.78740157499999996" bottom="0.78740157499999996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20"/>
  <sheetViews>
    <sheetView zoomScale="160" zoomScaleNormal="160" zoomScalePageLayoutView="160" workbookViewId="0">
      <selection activeCell="A18" sqref="A18"/>
    </sheetView>
  </sheetViews>
  <sheetFormatPr baseColWidth="10" defaultRowHeight="21" customHeight="1" x14ac:dyDescent="0.2"/>
  <cols>
    <col min="4" max="4" width="7.25" style="7" customWidth="1"/>
    <col min="5" max="5" width="10.75" style="7"/>
  </cols>
  <sheetData>
    <row r="1" spans="1:6" ht="21" customHeight="1" x14ac:dyDescent="0.2">
      <c r="B1" s="8"/>
      <c r="C1" s="8"/>
      <c r="D1" s="9"/>
      <c r="E1" s="9"/>
      <c r="F1" s="8"/>
    </row>
    <row r="2" spans="1:6" ht="21" customHeight="1" x14ac:dyDescent="0.2">
      <c r="A2">
        <v>700</v>
      </c>
      <c r="B2" s="10">
        <f>A2/1.6</f>
        <v>437.5</v>
      </c>
      <c r="C2" s="20" t="s">
        <v>23</v>
      </c>
      <c r="D2" s="9">
        <v>440</v>
      </c>
      <c r="E2" s="11" t="s">
        <v>22</v>
      </c>
      <c r="F2" s="8"/>
    </row>
    <row r="3" spans="1:6" ht="21" customHeight="1" x14ac:dyDescent="0.2">
      <c r="A3">
        <v>650</v>
      </c>
      <c r="B3" s="10">
        <f t="shared" ref="B3:B16" si="0">A3/1.6</f>
        <v>406.25</v>
      </c>
      <c r="C3" s="20"/>
      <c r="D3" s="9">
        <v>405</v>
      </c>
      <c r="E3" s="11" t="s">
        <v>22</v>
      </c>
      <c r="F3" s="8"/>
    </row>
    <row r="4" spans="1:6" ht="21" customHeight="1" x14ac:dyDescent="0.2">
      <c r="A4">
        <v>600</v>
      </c>
      <c r="B4" s="10">
        <f t="shared" si="0"/>
        <v>375</v>
      </c>
      <c r="C4" s="20"/>
      <c r="D4" s="9">
        <v>375</v>
      </c>
      <c r="E4" s="11" t="s">
        <v>22</v>
      </c>
      <c r="F4" s="8"/>
    </row>
    <row r="5" spans="1:6" ht="21" customHeight="1" x14ac:dyDescent="0.2">
      <c r="A5">
        <v>550</v>
      </c>
      <c r="B5" s="10">
        <f t="shared" si="0"/>
        <v>343.75</v>
      </c>
      <c r="C5" s="20"/>
      <c r="D5" s="9">
        <v>345</v>
      </c>
      <c r="E5" s="11" t="s">
        <v>22</v>
      </c>
      <c r="F5" s="8"/>
    </row>
    <row r="6" spans="1:6" ht="21" customHeight="1" x14ac:dyDescent="0.2">
      <c r="A6">
        <v>500</v>
      </c>
      <c r="B6" s="10">
        <f t="shared" si="0"/>
        <v>312.5</v>
      </c>
      <c r="C6" s="20"/>
      <c r="D6" s="9">
        <v>310</v>
      </c>
      <c r="E6" s="11" t="s">
        <v>22</v>
      </c>
      <c r="F6" s="8"/>
    </row>
    <row r="7" spans="1:6" ht="21" customHeight="1" x14ac:dyDescent="0.2">
      <c r="A7">
        <v>450</v>
      </c>
      <c r="B7" s="10">
        <f t="shared" si="0"/>
        <v>281.25</v>
      </c>
      <c r="C7" s="20"/>
      <c r="D7" s="9">
        <v>280</v>
      </c>
      <c r="E7" s="11" t="s">
        <v>22</v>
      </c>
      <c r="F7" s="8"/>
    </row>
    <row r="8" spans="1:6" ht="21" customHeight="1" x14ac:dyDescent="0.2">
      <c r="A8">
        <v>400</v>
      </c>
      <c r="B8" s="10">
        <f t="shared" si="0"/>
        <v>250</v>
      </c>
      <c r="C8" s="20"/>
      <c r="D8" s="9">
        <v>250</v>
      </c>
      <c r="E8" s="11" t="s">
        <v>22</v>
      </c>
      <c r="F8" s="8"/>
    </row>
    <row r="9" spans="1:6" ht="21" customHeight="1" x14ac:dyDescent="0.2">
      <c r="A9">
        <v>350</v>
      </c>
      <c r="B9" s="10">
        <f t="shared" si="0"/>
        <v>218.75</v>
      </c>
      <c r="C9" s="20"/>
      <c r="D9" s="9">
        <v>220</v>
      </c>
      <c r="E9" s="11" t="s">
        <v>22</v>
      </c>
      <c r="F9" s="8"/>
    </row>
    <row r="10" spans="1:6" ht="21" customHeight="1" x14ac:dyDescent="0.2">
      <c r="A10">
        <v>300</v>
      </c>
      <c r="B10" s="10">
        <f t="shared" si="0"/>
        <v>187.5</v>
      </c>
      <c r="C10" s="20"/>
      <c r="D10" s="9">
        <v>190</v>
      </c>
      <c r="E10" s="11" t="s">
        <v>22</v>
      </c>
      <c r="F10" s="8"/>
    </row>
    <row r="11" spans="1:6" ht="21" customHeight="1" x14ac:dyDescent="0.2">
      <c r="A11">
        <v>250</v>
      </c>
      <c r="B11" s="10">
        <f t="shared" si="0"/>
        <v>156.25</v>
      </c>
      <c r="C11" s="20"/>
      <c r="D11" s="9">
        <v>160</v>
      </c>
      <c r="E11" s="11" t="s">
        <v>22</v>
      </c>
      <c r="F11" s="8"/>
    </row>
    <row r="12" spans="1:6" ht="21" customHeight="1" x14ac:dyDescent="0.2">
      <c r="A12">
        <v>200</v>
      </c>
      <c r="B12" s="10">
        <f t="shared" si="0"/>
        <v>125</v>
      </c>
      <c r="C12" s="20"/>
      <c r="D12" s="9">
        <v>125</v>
      </c>
      <c r="E12" s="11" t="s">
        <v>22</v>
      </c>
      <c r="F12" s="8"/>
    </row>
    <row r="13" spans="1:6" ht="21" customHeight="1" x14ac:dyDescent="0.2">
      <c r="A13">
        <v>150</v>
      </c>
      <c r="B13" s="10">
        <f t="shared" si="0"/>
        <v>93.75</v>
      </c>
      <c r="C13" s="20"/>
      <c r="D13" s="9">
        <v>100</v>
      </c>
      <c r="E13" s="11" t="s">
        <v>22</v>
      </c>
      <c r="F13" s="8"/>
    </row>
    <row r="14" spans="1:6" ht="21" customHeight="1" x14ac:dyDescent="0.2">
      <c r="A14">
        <v>100</v>
      </c>
      <c r="B14" s="10">
        <f t="shared" si="0"/>
        <v>62.5</v>
      </c>
      <c r="C14" s="20"/>
      <c r="D14" s="9">
        <v>65</v>
      </c>
      <c r="E14" s="11" t="s">
        <v>22</v>
      </c>
      <c r="F14" s="8"/>
    </row>
    <row r="15" spans="1:6" ht="21" customHeight="1" x14ac:dyDescent="0.2">
      <c r="A15">
        <v>50</v>
      </c>
      <c r="B15" s="10">
        <f t="shared" si="0"/>
        <v>31.25</v>
      </c>
      <c r="C15" s="20"/>
      <c r="D15" s="9">
        <v>30</v>
      </c>
      <c r="E15" s="11" t="s">
        <v>22</v>
      </c>
      <c r="F15" s="8"/>
    </row>
    <row r="16" spans="1:6" ht="21" customHeight="1" x14ac:dyDescent="0.2">
      <c r="A16">
        <v>0</v>
      </c>
      <c r="B16" s="10">
        <f t="shared" si="0"/>
        <v>0</v>
      </c>
      <c r="C16" s="20"/>
      <c r="D16" s="9">
        <v>0</v>
      </c>
      <c r="E16" s="11" t="s">
        <v>22</v>
      </c>
      <c r="F16" s="8"/>
    </row>
    <row r="17" spans="2:6" ht="21" customHeight="1" x14ac:dyDescent="0.2">
      <c r="B17" s="8"/>
      <c r="C17" s="8"/>
      <c r="D17" s="9"/>
      <c r="E17" s="9"/>
      <c r="F17" s="8"/>
    </row>
    <row r="18" spans="2:6" ht="21" customHeight="1" x14ac:dyDescent="0.2">
      <c r="B18" s="8"/>
      <c r="C18" s="8"/>
      <c r="D18" s="9"/>
      <c r="E18" s="9"/>
      <c r="F18" s="8"/>
    </row>
    <row r="19" spans="2:6" ht="21" customHeight="1" x14ac:dyDescent="0.2">
      <c r="B19" s="8"/>
      <c r="C19" s="8"/>
      <c r="D19" s="9"/>
      <c r="E19" s="9"/>
      <c r="F19" s="8"/>
    </row>
    <row r="20" spans="2:6" ht="21" customHeight="1" x14ac:dyDescent="0.2">
      <c r="B20" s="8"/>
      <c r="C20" s="8"/>
      <c r="D20" s="9"/>
      <c r="E20" s="9"/>
      <c r="F20" s="8"/>
    </row>
  </sheetData>
  <mergeCells count="1">
    <mergeCell ref="C2:C16"/>
  </mergeCells>
  <phoneticPr fontId="1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B7"/>
  <sheetViews>
    <sheetView workbookViewId="0">
      <selection activeCell="E12" sqref="E12"/>
    </sheetView>
  </sheetViews>
  <sheetFormatPr baseColWidth="10" defaultColWidth="3.625" defaultRowHeight="12.75" x14ac:dyDescent="0.2"/>
  <sheetData>
    <row r="1" spans="1:28" s="1" customForma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1" customFormat="1" x14ac:dyDescent="0.2">
      <c r="A2" s="2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/>
    </row>
    <row r="3" spans="1:28" s="1" customFormat="1" ht="5.0999999999999996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1" customFormat="1" x14ac:dyDescent="0.2">
      <c r="A4" s="2" t="s">
        <v>1</v>
      </c>
      <c r="B4" s="2">
        <v>0</v>
      </c>
      <c r="C4" s="2">
        <v>5</v>
      </c>
      <c r="D4" s="2">
        <v>10</v>
      </c>
      <c r="E4" s="2">
        <v>15</v>
      </c>
      <c r="F4" s="2">
        <v>20</v>
      </c>
      <c r="G4" s="2">
        <v>25</v>
      </c>
      <c r="H4" s="2">
        <v>30</v>
      </c>
      <c r="I4" s="2">
        <v>35</v>
      </c>
      <c r="J4" s="2">
        <v>40</v>
      </c>
      <c r="K4" s="2">
        <v>45</v>
      </c>
      <c r="L4" s="2">
        <v>50</v>
      </c>
      <c r="M4" s="2">
        <v>55</v>
      </c>
      <c r="N4" s="2">
        <v>60</v>
      </c>
      <c r="O4" s="2">
        <v>65</v>
      </c>
      <c r="P4" s="2">
        <v>70</v>
      </c>
      <c r="Q4" s="2">
        <v>75</v>
      </c>
      <c r="R4" s="2">
        <v>80</v>
      </c>
      <c r="S4" s="2">
        <v>85</v>
      </c>
      <c r="T4" s="2">
        <v>90</v>
      </c>
      <c r="U4" s="2">
        <v>95</v>
      </c>
      <c r="V4" s="2">
        <v>100</v>
      </c>
      <c r="W4" s="2">
        <v>105</v>
      </c>
      <c r="X4" s="2">
        <v>110</v>
      </c>
      <c r="Y4" s="2">
        <v>115</v>
      </c>
      <c r="Z4" s="2">
        <v>120</v>
      </c>
      <c r="AA4" s="2">
        <v>125</v>
      </c>
      <c r="AB4" s="2"/>
    </row>
    <row r="5" spans="1:28" s="1" customFormat="1" x14ac:dyDescent="0.2">
      <c r="A5" s="2" t="s">
        <v>2</v>
      </c>
      <c r="B5" s="3">
        <f t="shared" ref="B5:AA5" si="0">B4*1.60934</f>
        <v>0</v>
      </c>
      <c r="C5" s="3">
        <f t="shared" si="0"/>
        <v>8.0466999999999995</v>
      </c>
      <c r="D5" s="3">
        <f t="shared" si="0"/>
        <v>16.093399999999999</v>
      </c>
      <c r="E5" s="3">
        <f t="shared" si="0"/>
        <v>24.1401</v>
      </c>
      <c r="F5" s="3">
        <f t="shared" si="0"/>
        <v>32.186799999999998</v>
      </c>
      <c r="G5" s="3">
        <f t="shared" si="0"/>
        <v>40.233499999999999</v>
      </c>
      <c r="H5" s="3">
        <f t="shared" si="0"/>
        <v>48.280200000000001</v>
      </c>
      <c r="I5" s="3">
        <f t="shared" si="0"/>
        <v>56.326900000000002</v>
      </c>
      <c r="J5" s="3">
        <f t="shared" si="0"/>
        <v>64.373599999999996</v>
      </c>
      <c r="K5" s="3">
        <f t="shared" si="0"/>
        <v>72.420299999999997</v>
      </c>
      <c r="L5" s="3">
        <f t="shared" si="0"/>
        <v>80.466999999999999</v>
      </c>
      <c r="M5" s="3">
        <f t="shared" si="0"/>
        <v>88.5137</v>
      </c>
      <c r="N5" s="3">
        <f t="shared" si="0"/>
        <v>96.560400000000001</v>
      </c>
      <c r="O5" s="3">
        <f t="shared" si="0"/>
        <v>104.6071</v>
      </c>
      <c r="P5" s="3">
        <f t="shared" si="0"/>
        <v>112.6538</v>
      </c>
      <c r="Q5" s="3">
        <f t="shared" si="0"/>
        <v>120.70050000000001</v>
      </c>
      <c r="R5" s="3">
        <f t="shared" si="0"/>
        <v>128.74719999999999</v>
      </c>
      <c r="S5" s="3">
        <f t="shared" si="0"/>
        <v>136.79390000000001</v>
      </c>
      <c r="T5" s="3">
        <f t="shared" si="0"/>
        <v>144.84059999999999</v>
      </c>
      <c r="U5" s="3">
        <f t="shared" si="0"/>
        <v>152.88730000000001</v>
      </c>
      <c r="V5" s="3">
        <f t="shared" si="0"/>
        <v>160.934</v>
      </c>
      <c r="W5" s="3">
        <f t="shared" si="0"/>
        <v>168.98070000000001</v>
      </c>
      <c r="X5" s="3">
        <f t="shared" si="0"/>
        <v>177.0274</v>
      </c>
      <c r="Y5" s="3">
        <f t="shared" si="0"/>
        <v>185.07409999999999</v>
      </c>
      <c r="Z5" s="3">
        <f t="shared" si="0"/>
        <v>193.1208</v>
      </c>
      <c r="AA5" s="3">
        <f t="shared" si="0"/>
        <v>201.16749999999999</v>
      </c>
      <c r="AB5" s="3"/>
    </row>
    <row r="6" spans="1:28" s="1" customForma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1" customForma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E6"/>
  <sheetViews>
    <sheetView zoomScale="175" zoomScaleNormal="175" workbookViewId="0">
      <selection activeCell="A13" sqref="A13"/>
    </sheetView>
  </sheetViews>
  <sheetFormatPr baseColWidth="10" defaultRowHeight="12.75" x14ac:dyDescent="0.2"/>
  <cols>
    <col min="1" max="1" width="34.625" customWidth="1"/>
    <col min="2" max="2" width="16" customWidth="1"/>
    <col min="3" max="3" width="16.125" customWidth="1"/>
    <col min="4" max="4" width="16.625" customWidth="1"/>
  </cols>
  <sheetData>
    <row r="2" spans="1:5" x14ac:dyDescent="0.2">
      <c r="B2" t="s">
        <v>21</v>
      </c>
      <c r="C2" t="s">
        <v>43</v>
      </c>
      <c r="D2" s="18" t="s">
        <v>46</v>
      </c>
      <c r="E2" t="s">
        <v>41</v>
      </c>
    </row>
    <row r="3" spans="1:5" x14ac:dyDescent="0.2">
      <c r="A3" t="s">
        <v>42</v>
      </c>
      <c r="B3" s="17">
        <v>744.7</v>
      </c>
      <c r="C3" s="17">
        <v>565</v>
      </c>
      <c r="D3" s="17">
        <v>560</v>
      </c>
      <c r="E3" s="17">
        <v>485</v>
      </c>
    </row>
    <row r="4" spans="1:5" x14ac:dyDescent="0.2">
      <c r="A4" s="18" t="s">
        <v>45</v>
      </c>
      <c r="B4" s="17">
        <f>B6-B3</f>
        <v>900.5</v>
      </c>
      <c r="C4" s="17">
        <f>C6-C3</f>
        <v>1115</v>
      </c>
      <c r="D4" s="17">
        <f>D6-D3</f>
        <v>1110</v>
      </c>
      <c r="E4" s="17">
        <f>E6-E3</f>
        <v>1156</v>
      </c>
    </row>
    <row r="5" spans="1:5" x14ac:dyDescent="0.2">
      <c r="A5" t="s">
        <v>44</v>
      </c>
      <c r="B5" s="17">
        <v>150.1</v>
      </c>
      <c r="C5" s="17">
        <v>0</v>
      </c>
      <c r="D5" s="17">
        <v>0</v>
      </c>
      <c r="E5" s="17">
        <v>0</v>
      </c>
    </row>
    <row r="6" spans="1:5" x14ac:dyDescent="0.2">
      <c r="B6" s="17">
        <v>1645.2</v>
      </c>
      <c r="C6" s="17">
        <v>1680</v>
      </c>
      <c r="D6" s="17">
        <v>1670</v>
      </c>
      <c r="E6" s="17">
        <v>1641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I3"/>
  <sheetViews>
    <sheetView workbookViewId="0">
      <selection activeCell="E35" sqref="E35"/>
    </sheetView>
  </sheetViews>
  <sheetFormatPr baseColWidth="10" defaultRowHeight="12.75" x14ac:dyDescent="0.2"/>
  <cols>
    <col min="5" max="5" width="22.375" customWidth="1"/>
    <col min="6" max="6" width="7.125" bestFit="1" customWidth="1"/>
    <col min="7" max="7" width="28" customWidth="1"/>
    <col min="9" max="9" width="16.75" customWidth="1"/>
  </cols>
  <sheetData>
    <row r="2" spans="1:9" x14ac:dyDescent="0.2">
      <c r="B2" t="s">
        <v>51</v>
      </c>
      <c r="C2" t="s">
        <v>52</v>
      </c>
      <c r="D2" t="s">
        <v>53</v>
      </c>
      <c r="E2" t="s">
        <v>55</v>
      </c>
      <c r="F2" t="s">
        <v>54</v>
      </c>
      <c r="G2" t="s">
        <v>48</v>
      </c>
      <c r="H2" t="s">
        <v>50</v>
      </c>
      <c r="I2" t="s">
        <v>49</v>
      </c>
    </row>
    <row r="3" spans="1:9" x14ac:dyDescent="0.2">
      <c r="A3" t="s">
        <v>47</v>
      </c>
      <c r="B3" s="19">
        <v>4.4000000000000004</v>
      </c>
      <c r="C3" s="19">
        <v>5.6</v>
      </c>
      <c r="D3" s="19">
        <v>6.2</v>
      </c>
      <c r="E3" s="19">
        <v>4.5</v>
      </c>
      <c r="F3" s="19">
        <v>5.0999999999999996</v>
      </c>
      <c r="G3" s="19">
        <v>5.4</v>
      </c>
      <c r="H3" s="19">
        <v>10.1</v>
      </c>
      <c r="I3" s="19">
        <v>10.8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Kosten CHF</vt:lpstr>
      <vt:lpstr>Kosten EUR</vt:lpstr>
      <vt:lpstr>Ladedauer 100km</vt:lpstr>
      <vt:lpstr>Drehmoment nach Getriebe</vt:lpstr>
      <vt:lpstr>Skalen m vs. km</vt:lpstr>
      <vt:lpstr>Skala mph_kph</vt:lpstr>
      <vt:lpstr>Kofferraumvolumen</vt:lpstr>
      <vt:lpstr>Beschleunigung 0-100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Schlegel</dc:creator>
  <cp:lastModifiedBy>Roman</cp:lastModifiedBy>
  <cp:lastPrinted>2014-07-28T20:08:33Z</cp:lastPrinted>
  <dcterms:created xsi:type="dcterms:W3CDTF">2014-07-28T20:03:18Z</dcterms:created>
  <dcterms:modified xsi:type="dcterms:W3CDTF">2014-08-05T16:31:13Z</dcterms:modified>
</cp:coreProperties>
</file>