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oeringe\Documents\BrainAge\PET_MRI_age\"/>
    </mc:Choice>
  </mc:AlternateContent>
  <bookViews>
    <workbookView xWindow="0" yWindow="0" windowWidth="9560" windowHeight="7030"/>
  </bookViews>
  <sheets>
    <sheet name="Tabelle1" sheetId="1" r:id="rId1"/>
  </sheets>
  <definedNames>
    <definedName name="_xlnm._FilterDatabase" localSheetId="0" hidden="1">Tabelle1!$A$1:$U$112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16" i="1" l="1"/>
  <c r="Q75" i="1"/>
  <c r="R75" i="1"/>
  <c r="O114" i="1"/>
  <c r="O115" i="1"/>
  <c r="I128" i="1" l="1"/>
  <c r="I127" i="1"/>
  <c r="I126" i="1"/>
  <c r="I125" i="1"/>
  <c r="I124" i="1"/>
  <c r="I121" i="1" l="1"/>
  <c r="I116" i="1"/>
  <c r="I115" i="1"/>
  <c r="I120" i="1"/>
  <c r="I119" i="1"/>
  <c r="I118" i="1"/>
  <c r="I117" i="1"/>
  <c r="G116" i="1"/>
  <c r="G117" i="1"/>
  <c r="G118" i="1"/>
  <c r="G119" i="1"/>
  <c r="G120" i="1"/>
  <c r="G121" i="1"/>
  <c r="G122" i="1"/>
  <c r="G123" i="1"/>
  <c r="G124" i="1"/>
  <c r="G125" i="1"/>
  <c r="G115" i="1"/>
  <c r="Q47" i="1" l="1"/>
  <c r="R47" i="1" s="1"/>
  <c r="Q50" i="1"/>
  <c r="R50" i="1" s="1"/>
  <c r="Q51" i="1"/>
  <c r="R51" i="1" s="1"/>
  <c r="Q55" i="1"/>
  <c r="R55" i="1" s="1"/>
  <c r="Q56" i="1"/>
  <c r="R56" i="1" s="1"/>
  <c r="Q57" i="1"/>
  <c r="R57" i="1" s="1"/>
  <c r="Q59" i="1"/>
  <c r="R59" i="1" s="1"/>
  <c r="Q60" i="1"/>
  <c r="R60" i="1" s="1"/>
  <c r="Q61" i="1"/>
  <c r="R61" i="1" s="1"/>
  <c r="Q62" i="1"/>
  <c r="R62" i="1" s="1"/>
  <c r="Q63" i="1"/>
  <c r="R63" i="1" s="1"/>
  <c r="T64" i="1"/>
  <c r="Q71" i="1"/>
  <c r="R71" i="1" s="1"/>
  <c r="Q72" i="1"/>
  <c r="R72" i="1" s="1"/>
  <c r="Q74" i="1"/>
  <c r="R74" i="1" s="1"/>
  <c r="Q77" i="1"/>
  <c r="R77" i="1" s="1"/>
  <c r="Q78" i="1"/>
  <c r="R78" i="1" s="1"/>
  <c r="Q82" i="1"/>
  <c r="R82" i="1" s="1"/>
  <c r="Q83" i="1"/>
  <c r="R83" i="1" s="1"/>
  <c r="Q81" i="1"/>
  <c r="R81" i="1" s="1"/>
  <c r="Q73" i="1"/>
  <c r="R73" i="1" s="1"/>
  <c r="Q88" i="1"/>
  <c r="R88" i="1" s="1"/>
  <c r="Q90" i="1"/>
  <c r="R90" i="1" s="1"/>
  <c r="Q91" i="1"/>
  <c r="R91" i="1" s="1"/>
  <c r="Q93" i="1"/>
  <c r="R93" i="1" s="1"/>
  <c r="Q95" i="1"/>
  <c r="R95" i="1" s="1"/>
  <c r="Q100" i="1"/>
  <c r="R100" i="1" s="1"/>
  <c r="Q101" i="1"/>
  <c r="R101" i="1" s="1"/>
  <c r="Q104" i="1"/>
  <c r="R104" i="1" s="1"/>
  <c r="Q45" i="1"/>
  <c r="R45" i="1" s="1"/>
  <c r="M80" i="1"/>
  <c r="Q80" i="1" s="1"/>
  <c r="R80" i="1" s="1"/>
  <c r="M79" i="1"/>
  <c r="Q79" i="1" s="1"/>
  <c r="R79" i="1" s="1"/>
  <c r="M76" i="1"/>
  <c r="Q76" i="1" s="1"/>
  <c r="R76" i="1" s="1"/>
  <c r="M75" i="1"/>
  <c r="M74" i="1"/>
  <c r="M72" i="1"/>
  <c r="M70" i="1"/>
  <c r="Q70" i="1" s="1"/>
  <c r="R70" i="1" s="1"/>
  <c r="M58" i="1"/>
  <c r="Q58" i="1" s="1"/>
  <c r="R58" i="1" s="1"/>
  <c r="M66" i="1"/>
  <c r="M65" i="1"/>
  <c r="Q65" i="1" s="1"/>
  <c r="R65" i="1" s="1"/>
  <c r="M52" i="1"/>
  <c r="Q52" i="1" s="1"/>
  <c r="R52" i="1" s="1"/>
  <c r="M84" i="1"/>
  <c r="Q84" i="1" s="1"/>
  <c r="R84" i="1" s="1"/>
  <c r="M87" i="1"/>
  <c r="Q87" i="1" s="1"/>
  <c r="R87" i="1" s="1"/>
  <c r="M89" i="1"/>
  <c r="Q89" i="1" s="1"/>
  <c r="R89" i="1" s="1"/>
  <c r="M92" i="1"/>
  <c r="Q92" i="1" s="1"/>
  <c r="R92" i="1" s="1"/>
  <c r="M94" i="1"/>
  <c r="Q94" i="1" s="1"/>
  <c r="R94" i="1" s="1"/>
  <c r="M96" i="1"/>
  <c r="M97" i="1"/>
  <c r="Q97" i="1" s="1"/>
  <c r="R97" i="1" s="1"/>
  <c r="M98" i="1"/>
  <c r="Q98" i="1" s="1"/>
  <c r="R98" i="1" s="1"/>
  <c r="M99" i="1"/>
  <c r="Q99" i="1" s="1"/>
  <c r="R99" i="1" s="1"/>
  <c r="M102" i="1"/>
  <c r="Q102" i="1" s="1"/>
  <c r="R102" i="1" s="1"/>
  <c r="M103" i="1"/>
  <c r="Q103" i="1" s="1"/>
  <c r="R103" i="1" s="1"/>
  <c r="M106" i="1"/>
  <c r="Q106" i="1" s="1"/>
  <c r="R106" i="1" s="1"/>
  <c r="M107" i="1"/>
  <c r="Q107" i="1" s="1"/>
  <c r="R107" i="1" s="1"/>
  <c r="M108" i="1"/>
  <c r="Q108" i="1" s="1"/>
  <c r="R108" i="1" s="1"/>
  <c r="M109" i="1"/>
  <c r="Q109" i="1" s="1"/>
  <c r="R109" i="1" s="1"/>
  <c r="M85" i="1"/>
  <c r="N64" i="1"/>
  <c r="N83" i="1"/>
  <c r="N87" i="1"/>
</calcChain>
</file>

<file path=xl/sharedStrings.xml><?xml version="1.0" encoding="utf-8"?>
<sst xmlns="http://schemas.openxmlformats.org/spreadsheetml/2006/main" count="1177" uniqueCount="567">
  <si>
    <t>Main</t>
  </si>
  <si>
    <t>Inclusion</t>
  </si>
  <si>
    <t>Species</t>
  </si>
  <si>
    <t>Title</t>
  </si>
  <si>
    <t>Journal</t>
  </si>
  <si>
    <t>Year</t>
  </si>
  <si>
    <t>Method</t>
  </si>
  <si>
    <t>Modality</t>
  </si>
  <si>
    <t>Input</t>
  </si>
  <si>
    <t>Dataset</t>
  </si>
  <si>
    <t>Age Range</t>
  </si>
  <si>
    <t>Size Train</t>
  </si>
  <si>
    <t>Result</t>
  </si>
  <si>
    <t>MAE</t>
  </si>
  <si>
    <t>R/R2</t>
  </si>
  <si>
    <t>Access</t>
  </si>
  <si>
    <t>Interesting Sentences</t>
  </si>
  <si>
    <t>Shabab</t>
  </si>
  <si>
    <t>Brain structure, cognition, and brain age in schizophrenia, bipolar disorder, and healthy controls</t>
  </si>
  <si>
    <t>Neuropsychopharmacology</t>
  </si>
  <si>
    <t>RF</t>
  </si>
  <si>
    <t>MRI</t>
  </si>
  <si>
    <t>own</t>
  </si>
  <si>
    <t>18 - 83</t>
  </si>
  <si>
    <t>averaged cortical thickness and fractional anisotropy and cognitive performance</t>
  </si>
  <si>
    <t>yes</t>
  </si>
  <si>
    <t>Corps</t>
  </si>
  <si>
    <t>human</t>
  </si>
  <si>
    <t>Morphological Brain Age Prediction using Multi-View Brain Networks Derived from Cortical Morphology in Healthy and Disordered Participants</t>
  </si>
  <si>
    <t>Sci Rep</t>
  </si>
  <si>
    <t>Connectome-Based Predictive Modelling</t>
  </si>
  <si>
    <t>T1</t>
  </si>
  <si>
    <t>ABIDE</t>
  </si>
  <si>
    <t>?</t>
  </si>
  <si>
    <t>most discriminative morphological connectional features for NC LH connected the Insula Cortex (IC) (Region 35) and the Temporal Pole (TP) (Region 33), IC and Frontal Pole (FP) (Region 32), IC and Unmeasured Corpus Callosum (UCC) (Region 4), TP and Rostral Anterior Cingulate Cortex (RACC) (Region 26), and IC and Bank of the Superior Temporal Sulcus (BSTS) (Region 1). Interestingly for the RH, the rankings of the top 5 discriminative features were the same as with the LH on the NC subjects.</t>
  </si>
  <si>
    <t>Cole</t>
  </si>
  <si>
    <t>Predicting brain age with deep learning from raw imaging data results in a reliable and heritable biomarker</t>
  </si>
  <si>
    <t>Neuroimage</t>
  </si>
  <si>
    <t>CNN</t>
  </si>
  <si>
    <t>GM &amp; WM &amp; raw</t>
  </si>
  <si>
    <t>GM &amp; raw worked well</t>
  </si>
  <si>
    <t>4.16 &amp; 4.65</t>
  </si>
  <si>
    <t>0.96 &amp; 0.94</t>
  </si>
  <si>
    <t>no</t>
  </si>
  <si>
    <t>Feng</t>
  </si>
  <si>
    <t>Estimating brain age based on a uniform healthy population with deep learning and structural magnetic resonance imaging</t>
  </si>
  <si>
    <t>Neurobiol Aging</t>
  </si>
  <si>
    <t>0.97 ®</t>
  </si>
  <si>
    <t>T1 columes</t>
  </si>
  <si>
    <t>several</t>
  </si>
  <si>
    <t>18-97</t>
  </si>
  <si>
    <t>Jonsson</t>
  </si>
  <si>
    <t>Brain age prediction using deep learning uncovers associated sequence variants</t>
  </si>
  <si>
    <t>Nat Commun</t>
  </si>
  <si>
    <t>T1 &amp; Jacobinian &amp; GM &amp; WM</t>
  </si>
  <si>
    <t xml:space="preserve">Icelandic, UK Biobank, IXI </t>
  </si>
  <si>
    <t>18 - 75</t>
  </si>
  <si>
    <t xml:space="preserve">T1 </t>
  </si>
  <si>
    <t>Brain age and other bodily 'ages': implications for neuropsychiatry</t>
  </si>
  <si>
    <t>Mol Psychiatry</t>
  </si>
  <si>
    <t>no - review</t>
  </si>
  <si>
    <t xml:space="preserve">Brain-predicted age is reliable (intra-class correlation coefficient = 0.97 within scanner, 0.92 between scanner) [19], making it suitable for use in longitudinal studies predicting individual trajectories of brain health over time. Given suitable development, brain-predicted age may in future provide insights into overall biological ageing across the population.  Efforts such as the Dementias Platform UK (https://www.dementiasplatform.uk/) and BRAINS Imagebank (http://www.brainsimagebank.ac.uk/) are underway to collate data from diverse sources [130]. </t>
  </si>
  <si>
    <t>Zhao</t>
  </si>
  <si>
    <t>Brain age prediction: Cortical and subcortical shape covariation in the developing human brain</t>
  </si>
  <si>
    <t>Ridge Regression</t>
  </si>
  <si>
    <t>cortical mean curvature, white matter volume, cortical thickness, surface area, gray matter volume, and travel depth</t>
  </si>
  <si>
    <t>Healthy Brain Network</t>
  </si>
  <si>
    <t>5.0-17</t>
  </si>
  <si>
    <t>Cortical thickness predicted age best</t>
  </si>
  <si>
    <t>0.18 (R2 adj)</t>
  </si>
  <si>
    <t>Sone</t>
  </si>
  <si>
    <t>Neuroimaging-based brain-age prediction in diverse forms of epilepsy: a signature of psychosis and beyond</t>
  </si>
  <si>
    <t>SVM</t>
  </si>
  <si>
    <t>GM &amp; WM</t>
  </si>
  <si>
    <t>20 - 89</t>
  </si>
  <si>
    <t>patients with disease have higher brain estimated age</t>
  </si>
  <si>
    <t>Beheshti</t>
  </si>
  <si>
    <t>T1-weighted MRI-driven Brain Age Estimation in Alzheimer's Disease and Parkinson's Disease</t>
  </si>
  <si>
    <t>Aging Dis</t>
  </si>
  <si>
    <t>IXI &amp; OASIS &amp; ADNI</t>
  </si>
  <si>
    <t>Higher brain estimated age difference in AD as compared to PD</t>
  </si>
  <si>
    <t>5.46 &amp; 6.06</t>
  </si>
  <si>
    <t>No Correlation between chronological age and brain estimated age difference</t>
  </si>
  <si>
    <t>Rokicki</t>
  </si>
  <si>
    <t>Multimodal imaging improves brain age prediction and reveals distinct abnormalities in patients with psychiatric and neurological disorders</t>
  </si>
  <si>
    <t>Hum Brain Mapp</t>
  </si>
  <si>
    <t>cortical area, thickness, sub-cortical columes, cortical and subcortical T1/T2-weighted ratios and cerebral blood flow</t>
  </si>
  <si>
    <t>TOP, NorCog, STROKEMRI</t>
  </si>
  <si>
    <t>18 - 85.8</t>
  </si>
  <si>
    <t>highest age prediction accuracy when integrating all modalities</t>
  </si>
  <si>
    <t>0.77 ®</t>
  </si>
  <si>
    <t>Brain age of each individual was calculated by using randomForest package in R (Breiman, 2001), which was chosen for both its resilience to overfitting, few hyperparameters to tune, and its robustness to noise. […] Cortical thickness, T1w/T2w ratio and CBF features were residualized for sex using linear models, whereas subcortical volumes and cortical areas were residualized for both sex and intracortical volume (ICV). To account for a well‐known bias in brain age prediction, we residualized brain age with respect to age using linear models</t>
  </si>
  <si>
    <t>Multimodality neuroimaging brain-age in UK biobank: relationship to biomedical, lifestyle, and cognitive factors</t>
  </si>
  <si>
    <t>LASSO regression</t>
  </si>
  <si>
    <t>T1, T2-FLAIR, R2, DTI, fMRI, rs-fMRI</t>
  </si>
  <si>
    <t>When applied to new individuals from UK Biobank (n = 14,701), significant associations with multimodality brain-predicted age difference (brain-PAD) were found for stroke history, diabetes diagnosis, smoking, alcohol intake and some, but not all, cognitive measures (corrected p &lt; 0.05).</t>
  </si>
  <si>
    <t>³.55</t>
  </si>
  <si>
    <t>0.78 ®</t>
  </si>
  <si>
    <t>Tonnesen</t>
  </si>
  <si>
    <t>Brain Age Prediction Reveals Aberrant Brain White Matter in Schizophrenia and Bipolar Disorder: A Multisample Diffusion Tensor Imaging Study</t>
  </si>
  <si>
    <t>Biol Psychiatry Cogn Neurosci Neuroimaging</t>
  </si>
  <si>
    <t>Extreme Gradient Boost</t>
  </si>
  <si>
    <t>DTI(mean skeleton, FA, MD, RD, and AD)</t>
  </si>
  <si>
    <t>18-94</t>
  </si>
  <si>
    <t>BAP works best with all features</t>
  </si>
  <si>
    <t>0.81 ®</t>
  </si>
  <si>
    <t>Egorova</t>
  </si>
  <si>
    <t>Predicted Brain Age After Stroke</t>
  </si>
  <si>
    <t>Front Aging Neurosci</t>
  </si>
  <si>
    <t>Support Vector Regression</t>
  </si>
  <si>
    <t>20-80</t>
  </si>
  <si>
    <t>Jiang</t>
  </si>
  <si>
    <t>Predicting Brain Age of Healthy Adults Based on Structural MRI Parcellation Using Convolutional Neural Networks</t>
  </si>
  <si>
    <t>Front Neurol</t>
  </si>
  <si>
    <t>structural network images</t>
  </si>
  <si>
    <t>18-90</t>
  </si>
  <si>
    <t>CNN better than Gaussian process regression and relevance vector regression, best performance on frontoparietal network, dorsal attention network, default mode network</t>
  </si>
  <si>
    <t>0.87 ®</t>
  </si>
  <si>
    <t>n this study, we chose the reference organization maps of the cerebral cortex from CorticalParcellation_Yeo2011 (https://surfer.nmr.mgh.harvard.edu/fswiki/CorticalParcellation_Yeo2011) (32) as the structural network templates.</t>
  </si>
  <si>
    <t>no - atlas creation</t>
  </si>
  <si>
    <t>Unbiased age-specific structural brain atlases for Chinese pediatric population</t>
  </si>
  <si>
    <t>Sarubbo</t>
  </si>
  <si>
    <t>no - unrelated review</t>
  </si>
  <si>
    <t>Effects of Resveratrol and Other Polyphenols on the Most Common Brain Age-Related Diseases</t>
  </si>
  <si>
    <t>Curr Med Chem</t>
  </si>
  <si>
    <t>Maillet</t>
  </si>
  <si>
    <t>no - not about brain age</t>
  </si>
  <si>
    <t>Aging and the wandering brain: Age-related differences in the neural correlates of stimulus-independent thoughts</t>
  </si>
  <si>
    <t>PLoS One</t>
  </si>
  <si>
    <t>Mohajer</t>
  </si>
  <si>
    <t>Gray matter volume and estimated brain age gap are not linked with sleep-disordered breathing</t>
  </si>
  <si>
    <t>GM volume</t>
  </si>
  <si>
    <t>Support Vector Regression Ensemble</t>
  </si>
  <si>
    <t>55-85</t>
  </si>
  <si>
    <t>Ly</t>
  </si>
  <si>
    <t>no - multimodal</t>
  </si>
  <si>
    <t>Improving brain age prediction models: incorporation of amyloid status in Alzheimer's disease</t>
  </si>
  <si>
    <t>Neurbiol Aging</t>
  </si>
  <si>
    <t>GM density voxel-wise</t>
  </si>
  <si>
    <t>Mareckova</t>
  </si>
  <si>
    <t>Maternal Depressive Symptoms During Pregnancy and Brain Age in Young Adult Offsprung: Findings from a Prenatal Birth Cohort</t>
  </si>
  <si>
    <t>Cereb Cortex</t>
  </si>
  <si>
    <t>cortical thickness</t>
  </si>
  <si>
    <t>Relevance vector regression (NAPR)</t>
  </si>
  <si>
    <t>no - usage of external model</t>
  </si>
  <si>
    <t>Pardoe</t>
  </si>
  <si>
    <t>NAPR: a Cloud-Based Framework for Neuroanatomical Age Prediction</t>
  </si>
  <si>
    <t>Neuroinformatics</t>
  </si>
  <si>
    <t>Relevance vector regression (NAPR) &amp; Gaussian processes (NAPR)</t>
  </si>
  <si>
    <t>Kolbeinsson</t>
  </si>
  <si>
    <t>Accelerated MRI-predicted brain ageing and ist associations with cardiometabolic and brain disorders</t>
  </si>
  <si>
    <t>Cerebellum and white matter most indicative of brain aging</t>
  </si>
  <si>
    <t xml:space="preserve">However, the neural network showed a linear bias for age; individuals older/younger than the cohort average were predicted to be younger/older than they are. Similar bias has been reported and investigated in previous studies12. After linearly adjusting the model output for chronological age using data from the training set, the model showed no significant bias on the validation set (N = 3,926). We used a permutation importance approach19,54,55 to analyse the importance of different brain regions by quantifying their contribution to model predictions. </t>
  </si>
  <si>
    <t>40-69</t>
  </si>
  <si>
    <t>UK Biobank</t>
  </si>
  <si>
    <t>Habes</t>
  </si>
  <si>
    <t>The Brain Chart of Aging: Machine-learning analytics reveals links between brain aging, white matter disease, amyloid burden and cognition in the iSTAGING consortium of 10,216 harmonized MR scans</t>
  </si>
  <si>
    <t>Alzheimer's Dement</t>
  </si>
  <si>
    <t>sMRI</t>
  </si>
  <si>
    <t>iSTAGING</t>
  </si>
  <si>
    <t>22-90</t>
  </si>
  <si>
    <t>-</t>
  </si>
  <si>
    <t>We identified “advanced brain aging” versus “resilient to brain aging” subjects as those with SPARE‐BA scores 5 years higher than their actual age and those with SPARE‐BA scores 5 years lower than their actual age, respectively.</t>
  </si>
  <si>
    <t>Hong</t>
  </si>
  <si>
    <t>Brain Age Prediciton of Children Using Routine Brain MR Images via Deep Learning</t>
  </si>
  <si>
    <t>0-5</t>
  </si>
  <si>
    <t>0.99 ®, 9.97 (R2)</t>
  </si>
  <si>
    <t>no - infants</t>
  </si>
  <si>
    <t>Azor</t>
  </si>
  <si>
    <t>Increased brain age in adults with Prader-Willi syndrome</t>
  </si>
  <si>
    <t>Neuroimage Clin</t>
  </si>
  <si>
    <t>Gaussian Process Regression</t>
  </si>
  <si>
    <t>GM, WM, CSF</t>
  </si>
  <si>
    <t>Predicted age difference higher in individuals with Prader-Willi Syndrome</t>
  </si>
  <si>
    <t>0.88 (R2)</t>
  </si>
  <si>
    <t>Bashyam</t>
  </si>
  <si>
    <t>MRI signatures of brain age and disease over the lifespan based on a deep brain network and 14468 individuals worldwide</t>
  </si>
  <si>
    <t>Brain</t>
  </si>
  <si>
    <t>CNN - Transfer Learning</t>
  </si>
  <si>
    <t>T1-weighted image</t>
  </si>
  <si>
    <t>3.0-95.0</t>
  </si>
  <si>
    <t>we found that using DeepBrainNet as a foundation for further deriving disease-specific networks via transfer learning resulted in better accuracy and convergence across all tested diseases, especially for relatively smaller sample sizes, when compared to deep learning models without prior training with brain MRIs.</t>
  </si>
  <si>
    <t>0.978 ®</t>
  </si>
  <si>
    <t>We further investigated gender differences by training separate male and female models with 5-fold cross validation on the LifespanCN dataset. Brain age obtained by mixed-gender and gender-specific models were highly correlated (98% and 97% for males and females respectively), suggesting that the gender bias does not significantly affect the results of the age prediction models</t>
  </si>
  <si>
    <t>Transfer learning on T1-weighted images for brain age estimation</t>
  </si>
  <si>
    <t>Math Biosci Eng</t>
  </si>
  <si>
    <t>ADNI</t>
  </si>
  <si>
    <t>2D architecture</t>
  </si>
  <si>
    <t>DenseNet with 2D GM images works best</t>
  </si>
  <si>
    <t>Sun</t>
  </si>
  <si>
    <t>Brain age from the electroencephalogram of sleep</t>
  </si>
  <si>
    <t>EEG</t>
  </si>
  <si>
    <t>time and frequency domains, macro and micro structure features</t>
  </si>
  <si>
    <t>MGH sleep lab data set, SHHS</t>
  </si>
  <si>
    <t>micro structure features work better</t>
  </si>
  <si>
    <t>0.82 ®</t>
  </si>
  <si>
    <t>Alongside these biomarkers, EEG-based brain age is a complement with several potential advantages: (1) EEG-based brain age could reflect functional changes rather than structural changes; (2) EEG is more participant friendly, has less costs and contraindications, and in principle could be measured by home-based devices; (3) EEG-based brain age could facilitate repeated within-participant measures to assess the effectiveness of interventions, such as medications</t>
  </si>
  <si>
    <t>Hogestol</t>
  </si>
  <si>
    <t>Cross-Sectional and Longitudinal MRI Brain Scans Reveal Accelerated Brain Aging in Multiple Sclerosis</t>
  </si>
  <si>
    <t>tickness, area, volume</t>
  </si>
  <si>
    <t>12 - 95.0</t>
  </si>
  <si>
    <t>full brain worked best</t>
  </si>
  <si>
    <t>0.63 ®</t>
  </si>
  <si>
    <t>Brain age predicts mortality</t>
  </si>
  <si>
    <t>GM, WM</t>
  </si>
  <si>
    <t>Having a brain-predicted age indicative of an older-appearing brain was associated with: weaker grip strength, poorer lung function, slower walking speed, lower fluid intelligence, higher allostatic load and increased mortality risk.</t>
  </si>
  <si>
    <t>0.94 ®, 0.88 (R2)</t>
  </si>
  <si>
    <t>Ye</t>
  </si>
  <si>
    <t>Association of Sleep Electroencephalography-Based Brain Age Index With Dementia</t>
  </si>
  <si>
    <t>JAMA Netw Open</t>
  </si>
  <si>
    <t>GLM</t>
  </si>
  <si>
    <t>spectral powers and measures of signal complexity</t>
  </si>
  <si>
    <t>43 - 65</t>
  </si>
  <si>
    <t>There was a monotonic increase in mean (SE) BAI from the nondementia group to the dementia group</t>
  </si>
  <si>
    <t>Longitudinal Assessement of Multiple Sclerosis with the Brain-Age Paradigm</t>
  </si>
  <si>
    <t>Ann Neurol</t>
  </si>
  <si>
    <t>Hwang</t>
  </si>
  <si>
    <t>Brain aging in temporal lobe epilepsy: Chronological, structural, and functional</t>
  </si>
  <si>
    <t>thicknesses, surface areas, volumes and also subcortical and global volumes, connectivity</t>
  </si>
  <si>
    <t>18-60</t>
  </si>
  <si>
    <t>Linear correction to correct for bias</t>
  </si>
  <si>
    <t>0.83 (R2)</t>
  </si>
  <si>
    <t>Functional model performed significantly better than structural model</t>
  </si>
  <si>
    <t>Beck</t>
  </si>
  <si>
    <t>White matter microstructure across the adult lifespan: A mixed longitudinal and cross-sectional study using advanced diffusion models and brain-age prediction</t>
  </si>
  <si>
    <t>advanced diffusion models: DTI, kurtosis imaging, neurite orientation dispersion and density imaging, restriction spectrum imaging, spherical mean technique multi-compartment and white matter tract integrity</t>
  </si>
  <si>
    <t>multimodal model performs best</t>
  </si>
  <si>
    <t>0.85 ®</t>
  </si>
  <si>
    <t>Lancaster</t>
  </si>
  <si>
    <t>Bayesian Optimization for Neuroimaging Pre-processing in Brain Age Classification and Prediction</t>
  </si>
  <si>
    <t>16-90</t>
  </si>
  <si>
    <t>Our study outlines the proof-of-principle that neuroimaging models for brain-age prediction can use Bayesian optimization to derive case-specific pre-processing parameters</t>
  </si>
  <si>
    <t>validation error higher than train error</t>
  </si>
  <si>
    <t>Kassani</t>
  </si>
  <si>
    <t>no - conference paper/no access</t>
  </si>
  <si>
    <t>Multimodal Sparse Classifier for Adolescent Brain Age Prediction</t>
  </si>
  <si>
    <t>IEEE J Biomed Health Inform</t>
  </si>
  <si>
    <t>Neural Network (SLFN)</t>
  </si>
  <si>
    <t>Steffener</t>
  </si>
  <si>
    <t>Differences between chronological and brain age are related to education and self-reported physical activity</t>
  </si>
  <si>
    <t>GM volumes</t>
  </si>
  <si>
    <t>Linear Regression of SSMPCA</t>
  </si>
  <si>
    <t>19-79</t>
  </si>
  <si>
    <t>no - no train/test split</t>
  </si>
  <si>
    <t>Scheller</t>
  </si>
  <si>
    <t>Brain Aging and APOE epsilon4 Interact to Reveal Potential Neuronal Compensation in Healthy Older Adults</t>
  </si>
  <si>
    <t>Relevance Vector Regression (BrainAge)</t>
  </si>
  <si>
    <t>IXI</t>
  </si>
  <si>
    <t>PCA was only performed on the training sample and the estimated transformation parameters were subsequently applied to the test sample.</t>
  </si>
  <si>
    <t>Goyal</t>
  </si>
  <si>
    <t>Persistent metabolic youth in the aging female brain</t>
  </si>
  <si>
    <t>Proc Natl Acad Sci U S A</t>
  </si>
  <si>
    <t>PET</t>
  </si>
  <si>
    <t>regional total glucose use, oxygen consumption, cerebral blood flow</t>
  </si>
  <si>
    <t>20-82</t>
  </si>
  <si>
    <t>We find that in terms of brain metabolism, the adult female brain is on average a few years younger than the male brain.</t>
  </si>
  <si>
    <t>? (median = 5.4)</t>
  </si>
  <si>
    <t>0.89 ®</t>
  </si>
  <si>
    <t>awful paper</t>
  </si>
  <si>
    <t>Han</t>
  </si>
  <si>
    <t>Brain aging in major depressive disorder: results from the ENIGMA major depressive disorder working group</t>
  </si>
  <si>
    <t>952 + 1236 (split by gender)</t>
  </si>
  <si>
    <t>18-80</t>
  </si>
  <si>
    <t>volumes of subcortical regions, thickness and surface area of cortical regions</t>
  </si>
  <si>
    <t>6.5 (males) + 6.84 (females)</t>
  </si>
  <si>
    <t>0.85 (R, both)</t>
  </si>
  <si>
    <t>Patch-wise brain age longitudinal reliability</t>
  </si>
  <si>
    <t>MindBoggle</t>
  </si>
  <si>
    <t>19-61</t>
  </si>
  <si>
    <t>19-61 (mostly below 40)</t>
  </si>
  <si>
    <t>0.96 (R2)</t>
  </si>
  <si>
    <t>Abram</t>
  </si>
  <si>
    <t>Reward processing electrophysiology in schizophrenia: Effects of age and illness phase</t>
  </si>
  <si>
    <t>Henneghan</t>
  </si>
  <si>
    <t>Cortical Brain Age from Pre-treatment to Post-chemotherapy in Patients with Breast Cancer</t>
  </si>
  <si>
    <t>Neurotox Res</t>
  </si>
  <si>
    <t>cortical thickness, cortical surface area, subcortical volumes</t>
  </si>
  <si>
    <t>The association between "Brain-Age Score" (BAS) and traditional neuropsychological screening tools in Alzheimer's disease</t>
  </si>
  <si>
    <t>Brain Behav</t>
  </si>
  <si>
    <t>IXI &amp; OASIS</t>
  </si>
  <si>
    <t>Prediction of brain age suggests accelerated atrophy after traumatic brain injury</t>
  </si>
  <si>
    <t>WM works better than GM although almost identical</t>
  </si>
  <si>
    <t>0.92 ®, 0.85 (R2)</t>
  </si>
  <si>
    <t>Richard</t>
  </si>
  <si>
    <t>Assessing distinct patterns of cognitive aging using tissue-specific brain age prediction based on diffusion tensor imaging and brain morphometry</t>
  </si>
  <si>
    <t>PeerJ</t>
  </si>
  <si>
    <t>T1: intracranial volume, total surface area, whole-cortex mean thickness, mean thickness, total surface area and volume of each cortical ROI; DTI: fractional anisotropy, mean diffusivity, radial diffusivity, axial diffusivity</t>
  </si>
  <si>
    <t>Cam-CAN; StrokeMRI</t>
  </si>
  <si>
    <t>18-87</t>
  </si>
  <si>
    <t>Combined DTI and T1 feature models works best</t>
  </si>
  <si>
    <t>0.86 ®</t>
  </si>
  <si>
    <t>Ghosh</t>
  </si>
  <si>
    <t>Spermidine, an autophagy inducer, as a therapeutic strategy in neurological disorders</t>
  </si>
  <si>
    <t>Neuropeptides</t>
  </si>
  <si>
    <t>Palma</t>
  </si>
  <si>
    <t>Quantifying uncertainty in brain-predicted age using scalar-on-image quantile regression</t>
  </si>
  <si>
    <t>Tensor-based morphometry</t>
  </si>
  <si>
    <t>Unlike the machine learning approaches available in the literature of brain age prediction, which provide only point predictions, the outcome of our model is a prediction interval for each subject.</t>
  </si>
  <si>
    <t>? (median = 3.49)</t>
  </si>
  <si>
    <t>®</t>
  </si>
  <si>
    <t>CODE AVAILABLE; trained on healthy AND sick individuals</t>
  </si>
  <si>
    <t>Zoubi</t>
  </si>
  <si>
    <t>Predicting Age from Brain EEG Signals - A Machine Learing Approach</t>
  </si>
  <si>
    <t>Elastic Net (Linear Regression), Support Vector Regression, Random Forest, extreme gradient boosting tree, Gaussian Process</t>
  </si>
  <si>
    <t>alpha, beta, delta</t>
  </si>
  <si>
    <t>Tulsa-1000</t>
  </si>
  <si>
    <t>stack ensemble &amp; SVR with radial kernel worked well</t>
  </si>
  <si>
    <t>Kwak</t>
  </si>
  <si>
    <t>Feeling How Old I Am: Subjective Age Is Associated With Estimated Brain Age</t>
  </si>
  <si>
    <t>cortical thickness, GM density</t>
  </si>
  <si>
    <t>40-94</t>
  </si>
  <si>
    <t>0.73 (R2)</t>
  </si>
  <si>
    <t>Increased brain-predicted aging in treated HIV disease</t>
  </si>
  <si>
    <t>Neurology</t>
  </si>
  <si>
    <t>GM + WM</t>
  </si>
  <si>
    <t>Accelerated brain aging after HIV</t>
  </si>
  <si>
    <t>0.93 ®</t>
  </si>
  <si>
    <t>children &amp; adolescents</t>
  </si>
  <si>
    <t>Seidel</t>
  </si>
  <si>
    <t>Accelerated brain ageing in sepsis survivors with long-term impairment</t>
  </si>
  <si>
    <t>Eur J Neurosci</t>
  </si>
  <si>
    <t>Chen</t>
  </si>
  <si>
    <t>Generalization of diffusion magnetic resonance imaging-based brain age prediction model through transfer learning</t>
  </si>
  <si>
    <t>Neural Network (cascade) - Transfer learning</t>
  </si>
  <si>
    <t>DTI (white matter tract integrity)</t>
  </si>
  <si>
    <t>CamCAN</t>
  </si>
  <si>
    <t>18-92</t>
  </si>
  <si>
    <t>Transfer learning is frequently used in medical image analysis to overcome large data requirements typically needed for machine learning when linking trained models between different imaging modalities and domains. Traditional machine learning assumes that training and test data have the same data distribution. When the distributions of the training data and test data are different, the performance of a predictive learner declines</t>
  </si>
  <si>
    <t>Dinsdale</t>
  </si>
  <si>
    <t>Learning patterns of the ageing brain in MRI using deep convolutional networks</t>
  </si>
  <si>
    <t>45-80</t>
  </si>
  <si>
    <t>6579 + 6223 (split by gender)</t>
  </si>
  <si>
    <t>Prediction errors correlate significantly with clinical measurements</t>
  </si>
  <si>
    <t>The T1-weighted modality is the most commonly used because it is the most informative about the basic structure of the brain, especially the depiction of the main anatomical structures and tissues (i.e. grey matter (GM) and white matter (WM)) (Miller et al., 2016). [...] Since sex-specific effects have been demonstrated in both the ageing process and in previous prediction models, the 12,802 subjects were separated by sex (6,579 women and 6,223 men) and considered separately at each stage of the experiments</t>
  </si>
  <si>
    <t>Benischek</t>
  </si>
  <si>
    <t xml:space="preserve">Pre-reading language abilities and the brain's </t>
  </si>
  <si>
    <t>Rogenmoser</t>
  </si>
  <si>
    <t>no - approach not well documented for healthy controls</t>
  </si>
  <si>
    <t>Keeping brains young with making music</t>
  </si>
  <si>
    <t>Brain Struct Funct</t>
  </si>
  <si>
    <t>Relevance Vector Regression (BrainAGE)</t>
  </si>
  <si>
    <t>GM</t>
  </si>
  <si>
    <t>Musicians have lower BrainAGE scores</t>
  </si>
  <si>
    <t>Aychem</t>
  </si>
  <si>
    <t>Biological Brain Age Prediction Using Cortical Thickness Data: A Large Cohort Study</t>
  </si>
  <si>
    <t>45-91</t>
  </si>
  <si>
    <t>Gaussian Process Regression is slightly superior to Relevance Vector Regression and Neural Networks, after outlier removal NN works better</t>
  </si>
  <si>
    <t>Lin</t>
  </si>
  <si>
    <t>Predicting healthy older adult's brain age based on structural connectivity networks using artificial neural networks</t>
  </si>
  <si>
    <t>Comput Methods Programs Biomded</t>
  </si>
  <si>
    <t>Neural Network</t>
  </si>
  <si>
    <t>Connectivity</t>
  </si>
  <si>
    <t>50-91</t>
  </si>
  <si>
    <t>0.8 ®</t>
  </si>
  <si>
    <t>Liang</t>
  </si>
  <si>
    <t>Investigating systematic bias in brain age estimation with application to post-traumatic stress disorders</t>
  </si>
  <si>
    <t>several: penalized ridge regression, SVR, Gaussian process regression, Neural Network</t>
  </si>
  <si>
    <t>Freesurfer Surfaces</t>
  </si>
  <si>
    <t>6.0-89</t>
  </si>
  <si>
    <t>The universal, non-model specific bias can be corrected for by means of GLM (chronological age, intercept, sex), DNN has smallest bias</t>
  </si>
  <si>
    <t>0.56 (R2)</t>
  </si>
  <si>
    <t>Yet one long-standing problem is that the predicted brain age is overestimated in younger subjects and underestimated in older. […] We present an alternative account that offers a statistical explanation for the bias and describe a simple, yet efficient, method using general linear model to adjust the bias.</t>
  </si>
  <si>
    <t>Kuo</t>
  </si>
  <si>
    <t>Large-Scale Structural Covariance Networks Predict Age in Middle-to-Late Adulthood: A Novel Brain Aging Biomarker</t>
  </si>
  <si>
    <t>Lasso Regression</t>
  </si>
  <si>
    <t>50-98</t>
  </si>
  <si>
    <t>0.66 (R2)</t>
  </si>
  <si>
    <t>Rzezak</t>
  </si>
  <si>
    <t>Relationship between Brain Age-Related Reduction in Gray Matter and Educational Attainment</t>
  </si>
  <si>
    <t>Bermudey</t>
  </si>
  <si>
    <t>Anatomical context improves deep learning on the brain age estimation task</t>
  </si>
  <si>
    <t>Magn Reson Imaging</t>
  </si>
  <si>
    <t>Structural and volumetric</t>
  </si>
  <si>
    <t>Structural + volumetric information yields best results</t>
  </si>
  <si>
    <t>4.08 (MRI), 9.99 (CT)</t>
  </si>
  <si>
    <t>MRI &amp; CT</t>
  </si>
  <si>
    <t>Besteher</t>
  </si>
  <si>
    <t>Machine-learning based brain age estimation in major depression showing no evidence of accelerated aging</t>
  </si>
  <si>
    <t>Psychiatry Res Neuroimaging</t>
  </si>
  <si>
    <t>21-73</t>
  </si>
  <si>
    <t>Depression not linked to accelerated brain aging</t>
  </si>
  <si>
    <t>Chung</t>
  </si>
  <si>
    <t>Cortical abnormalities in youth at clinical high-risk for psychosis: Findings from the NAPLS2 cohort</t>
  </si>
  <si>
    <t>Kuhn</t>
  </si>
  <si>
    <t>An augmented aging process in brain white matter in HIV</t>
  </si>
  <si>
    <t>DTI</t>
  </si>
  <si>
    <t>HIV infection is associated with augmented white matter aging, and greater brain aging is associated with worse cognitive performance in multiple domains</t>
  </si>
  <si>
    <t>Le</t>
  </si>
  <si>
    <t>Effect of Ibuprofen on BrainAGE: A Randomized Placebo-Controlled, Dose-Response Exploratory Study</t>
  </si>
  <si>
    <t>structural</t>
  </si>
  <si>
    <t>18-67</t>
  </si>
  <si>
    <t>0.57 (R2)</t>
  </si>
  <si>
    <t>Ibuprofen temporarily reduces BrainAGE by approximately 1 year, which is likely due to its acute anti-inflammatory effects.</t>
  </si>
  <si>
    <t>Engemann</t>
  </si>
  <si>
    <t>Combining magnetoencephalography with magnetic resonance imaging enhances learning of surrogate-biomarkers</t>
  </si>
  <si>
    <t>Elife</t>
  </si>
  <si>
    <t>Linear Regresion &amp; Random Forest</t>
  </si>
  <si>
    <t>MRI, fMRI &amp; MEG</t>
  </si>
  <si>
    <t>CAM-Can</t>
  </si>
  <si>
    <t>Guggenmos</t>
  </si>
  <si>
    <t>Quantitative neurobiological evidence for accelerated brain aging in alcohol dependence</t>
  </si>
  <si>
    <t>Transl Psychiatry</t>
  </si>
  <si>
    <t>Luders</t>
  </si>
  <si>
    <t>Potential Brain Age Reversal after Pregnany: Younger Brains at 4-6 Weeks Postpartum</t>
  </si>
  <si>
    <t>Neuroscience</t>
  </si>
  <si>
    <t>19-86</t>
  </si>
  <si>
    <t>&gt;650</t>
  </si>
  <si>
    <t>Considerably younger brains during late compared to early phase of postpartum</t>
  </si>
  <si>
    <t>Sörös</t>
  </si>
  <si>
    <t>no - no access</t>
  </si>
  <si>
    <t>Chronic noncancer pain is not associated with accelerated brain aging as assessed by structural magnetic resonance imaging in patients treated in specialized outpatient clinica</t>
  </si>
  <si>
    <t>Pain</t>
  </si>
  <si>
    <t>Bagarinao</t>
  </si>
  <si>
    <t>Premature white matter aging in patients with right mesial temporal lobe epilepsy: A machine learning approach based on diffusion MRI data</t>
  </si>
  <si>
    <t>DTI - 3D connectograms</t>
  </si>
  <si>
    <t>NTUH</t>
  </si>
  <si>
    <t>0.96 ®</t>
  </si>
  <si>
    <t>A Nonlinear Simulation Framework Supports adjusting for Age When Analyzing BrainAge</t>
  </si>
  <si>
    <t>0.59 (R2)</t>
  </si>
  <si>
    <t>Schnack</t>
  </si>
  <si>
    <t>Am J Psychiatry</t>
  </si>
  <si>
    <t>GM density</t>
  </si>
  <si>
    <t>0.79 (R2)</t>
  </si>
  <si>
    <t>xx</t>
  </si>
  <si>
    <t>A novel patch-based procedure for estimating brain age across adulthood</t>
  </si>
  <si>
    <t>Years between Min and Max</t>
  </si>
  <si>
    <t>MAE prop</t>
  </si>
  <si>
    <t>Accelerated Brain Aging in Schizophrenia: A Longitudinal Pattern Recognition Study</t>
  </si>
  <si>
    <t>Fujimoto</t>
  </si>
  <si>
    <t>Brain age estimation from T1-weighted images using effective local features</t>
  </si>
  <si>
    <t>Annu Int Conf IEEE Eng Med Biol Soc</t>
  </si>
  <si>
    <t>Everwijn</t>
  </si>
  <si>
    <t>Cortical development in fetuses with congenital heart defects using an automated brain-age prediction algorithm</t>
  </si>
  <si>
    <t>Acta Obstet Gynecol Scand</t>
  </si>
  <si>
    <t>no - not about adults</t>
  </si>
  <si>
    <t>fetus</t>
  </si>
  <si>
    <t>Couvy-Duchesne</t>
  </si>
  <si>
    <t>Ensemble Learning of Convolutional Neural Network, Support Vector Machine, and Best Linear Unbiased Predictor for Brain Age Prediction: ARAMIS Contribution to the Predictive Analysis Competition 2019 Challenge</t>
  </si>
  <si>
    <t>Front Psyhiatry</t>
  </si>
  <si>
    <t>Ensemble Learning</t>
  </si>
  <si>
    <t>GM and/or WM or vertex-wise measurements</t>
  </si>
  <si>
    <t>PAC Competition</t>
  </si>
  <si>
    <t>17-90</t>
  </si>
  <si>
    <t>We constructed several age predictors, either based on the 3D maps of gray and/or white matter (deep learning models: six-layer CNN, ResNet, and Inception V1) or based on vertex-wise measurements from the surface-based processing (models BLUP and SVM). All algorithms used can derive predictions from a complex image (e.g., high-resolution 3D) or a large number of image-derived measurements (e.g., more features than participants), though only the deep learning approaches leverage the spatial proximity between vertices.</t>
  </si>
  <si>
    <t>Structural brain changes in medically refractory focal epilepsy resemble premature brain aging</t>
  </si>
  <si>
    <t>Epilepsy Res</t>
  </si>
  <si>
    <t>0.94 ®, 0.88 ®</t>
  </si>
  <si>
    <t>Dean</t>
  </si>
  <si>
    <t>Estimating the age of healthy infants from quantitative myelin water fraction maps</t>
  </si>
  <si>
    <t>Gialluisi</t>
  </si>
  <si>
    <t>Machine Learning Approaches for the Estimation of Biological Aging: The Road Ahead for Population Studies</t>
  </si>
  <si>
    <t>Front Med (Lausanne)</t>
  </si>
  <si>
    <t>Wang</t>
  </si>
  <si>
    <t>Gray Matter Structural Alterations in Anxiety Disorder: A Coxel-Based Meta-Analysis</t>
  </si>
  <si>
    <t>Jurgens</t>
  </si>
  <si>
    <t>Dysregulated neuronal-microglial cross-talk during aging, stress and inflammation</t>
  </si>
  <si>
    <t>Exp Neurol</t>
  </si>
  <si>
    <t>Ronan</t>
  </si>
  <si>
    <t>Obesity associated with increased brain age from midlife</t>
  </si>
  <si>
    <t>spline mixed-effects models</t>
  </si>
  <si>
    <t>Cam-CAN</t>
  </si>
  <si>
    <t>20-87</t>
  </si>
  <si>
    <t>In line with previous studies, subjects showed a nonlinear change in white-matter volume with age, increasing to a maximum in middle-age, and decreasing thereafter</t>
  </si>
  <si>
    <t>WM, cortical surface, cortical thickness</t>
  </si>
  <si>
    <t>Lawrenz</t>
  </si>
  <si>
    <t>Microscopic diffusion anisotropy in the human brain: Age-related changes</t>
  </si>
  <si>
    <t>Himmelmeier</t>
  </si>
  <si>
    <t>Study Protocol: Does an Acute Intervention of High-Intensity Physical Exercise Followed by a Brain Training Video Game Have Immediate Effects on Brain Activity of Older People During Stroop Task in fMRI? - A Randomized Controlled Study Trial With Crossover Design</t>
  </si>
  <si>
    <t>Franke</t>
  </si>
  <si>
    <t>Brain maturation: predicting individual BrainAGE in children and adolescents using structural MRI</t>
  </si>
  <si>
    <t>NIH MRI Study of Normal Brain Development</t>
  </si>
  <si>
    <t>5.0 - 18</t>
  </si>
  <si>
    <t>Use of Machine Learning to Determine Deviance in Neuroanatomical Maturity Associated with Future Psychosis in Youths at Clinically High Risk</t>
  </si>
  <si>
    <t>JAMA Psychiatry</t>
  </si>
  <si>
    <t>PING</t>
  </si>
  <si>
    <t>3.0 - 21</t>
  </si>
  <si>
    <t>0.84 (R2)</t>
  </si>
  <si>
    <t>Sex, age, and cognitive correlates of asymmetries in thickness of the cortical mantle across the life span</t>
  </si>
  <si>
    <t>Plessen</t>
  </si>
  <si>
    <t>Li</t>
  </si>
  <si>
    <t>Limbic grey matter changes in early Parkinson's disease</t>
  </si>
  <si>
    <t>J Neurosci</t>
  </si>
  <si>
    <t>Irima</t>
  </si>
  <si>
    <t>Statistical estimation of physiological brain age as a descirptor of senescence rate during adulthood</t>
  </si>
  <si>
    <t>Brain Imaging Behav</t>
  </si>
  <si>
    <t>connectivity density and fractional anisotropy</t>
  </si>
  <si>
    <t>Multivariate Regression</t>
  </si>
  <si>
    <t>Panagiotou</t>
  </si>
  <si>
    <t>How Old Is Your Brain? Slow-Wave Activity in Non-rapid-eye-movement Sleep as a Marker of Brain Rejuvenation After Long-Term Exercise in Mice</t>
  </si>
  <si>
    <t>no - non-human</t>
  </si>
  <si>
    <t>mice</t>
  </si>
  <si>
    <t>Bonifazi</t>
  </si>
  <si>
    <t>Structure-function multi-scale connectomics reveal a major role of the fronto-striato-thalamic circuit in brain aging</t>
  </si>
  <si>
    <t>DTI &amp; fMRI</t>
  </si>
  <si>
    <t>For the connectivity analysis, regions located within the volume defined by the biggest ventricle size across all the participants have been ignored to correct for trivial age‐effects in the results of age estimation (i.e., to correct for the effect that older people have bigger ventricle volume).</t>
  </si>
  <si>
    <t>Maximum Likelihood Estimation</t>
  </si>
  <si>
    <t>10.0-80</t>
  </si>
  <si>
    <t>Yu</t>
  </si>
  <si>
    <t>Accelerated brain aging in chronic low back pain</t>
  </si>
  <si>
    <t>Brain Res</t>
  </si>
  <si>
    <t>Murphy</t>
  </si>
  <si>
    <t>Abnormal functional activation and maturation of fronto-striato-temporal and cerebellar regions during sustained attention in autism spectrum disorder</t>
  </si>
  <si>
    <t>MRI-based age prediction using hidden Markov models</t>
  </si>
  <si>
    <t>J Neurosci Methods</t>
  </si>
  <si>
    <t>Hidden Markov models</t>
  </si>
  <si>
    <t>Although the HDMA approach has been widely applied, it has several technical challenges, including the need for large training data and effective feature selection. In order to overcome the limitation of the HDMA, and to detect subtle structural changes of the brain for identifying accelerated ageing, we propose to build a structural brain model for each subject by using the framework of hidden Markov models (HMMs)</t>
  </si>
  <si>
    <t>50-86</t>
  </si>
  <si>
    <t>Changes of individual BrainAGE during the course of the menstrual cycle</t>
  </si>
  <si>
    <t>20-86</t>
  </si>
  <si>
    <t>no - insufficient documentation of results</t>
  </si>
  <si>
    <t>Xifra-Porxas</t>
  </si>
  <si>
    <t>Estimating brain age from structural MRI and MEG data: Insights from dimensionality reduction techniques</t>
  </si>
  <si>
    <t>MRI &amp; MEG</t>
  </si>
  <si>
    <t>Furthermore, we found that PCA resulted in inferior performance, whereas CCA in conjunction with Gaussian process regression models yielded the best prediction performance.  We found that MRI features from subcortical structures were more reliable age predictors than cortical features, and that spectral MEG measures were more reliable than connectivity metrics.</t>
  </si>
  <si>
    <t>GM, WM, CSF, frequency bands</t>
  </si>
  <si>
    <t>18-88</t>
  </si>
  <si>
    <t>Nenadic</t>
  </si>
  <si>
    <t>BrainAGE score indicates accelerated brain aging in schizophrenia but not bipolar disorder</t>
  </si>
  <si>
    <t>21.7-57.8</t>
  </si>
  <si>
    <t>Koutsouleris</t>
  </si>
  <si>
    <t>Accelerated brain aging in schizophrenia and beyond: a neuroanatomical marker of psychiatric disorders</t>
  </si>
  <si>
    <t>Schizophr Bull</t>
  </si>
  <si>
    <t>18-65</t>
  </si>
  <si>
    <t>Adluru</t>
  </si>
  <si>
    <t>no - case study</t>
  </si>
  <si>
    <t>BrainAGE and regional volumetric analysis of a Buddhist monk: a longitudinal MRI case study</t>
  </si>
  <si>
    <t>Nouchi</t>
  </si>
  <si>
    <t>Brain training game boosts executive functions, working memory and processing speed in young adults: a randomized controlled trial</t>
  </si>
  <si>
    <t>De Felice</t>
  </si>
  <si>
    <t>Intra-Individual Variability Across Fluid Cognition Can Reveal Qualitatively Different Cognitive Styles of the Aging Brain</t>
  </si>
  <si>
    <t>Front Psychol</t>
  </si>
  <si>
    <t>Savjani</t>
  </si>
  <si>
    <t>Accelerated Changes in Cortical Thickness Measurements with Age in Military Service Members with Traumatic Brain Injury</t>
  </si>
  <si>
    <t>J Neurotrauma</t>
  </si>
  <si>
    <t>Brain training and Sulforaphane Intake Interventions Separately Improve Cognitive Performance in Healthy Older Adults, Whereas a Combination of These Interventions Does Not Have More Beneficial Effects: Evidence from A Randomized Controlled Trial</t>
  </si>
  <si>
    <t>Nutrients</t>
  </si>
  <si>
    <t>Erramuzoe</t>
  </si>
  <si>
    <t>A Comparison of Quantitative R1 and Cortical Thickness in Identifying Age, Lifespan Dynamics, and Disease States of the Human Cortex</t>
  </si>
  <si>
    <t>Multiple Linear Regression</t>
  </si>
  <si>
    <t>R1, cortical thickness</t>
  </si>
  <si>
    <t>6-25/26-81</t>
  </si>
  <si>
    <t>19/55</t>
  </si>
  <si>
    <t>65/54</t>
  </si>
  <si>
    <t>3.4/9.62</t>
  </si>
  <si>
    <t>0.39/0.34 (R2)</t>
  </si>
  <si>
    <t>We reduced the number of features (i.e., cortical regions) from 104 to the number of principal components (PC) which explain 95% of the variance of the data; in the adult population, R1 predicted age better</t>
  </si>
  <si>
    <t>Dunlop</t>
  </si>
  <si>
    <t>Accelerated brain aging predicts impulsivity and symptom severity in depression</t>
  </si>
  <si>
    <t>McWhinney</t>
  </si>
  <si>
    <t>Using Cforest to Analyse Diffusion Tensor Imaging Data: A Study of White Matter Integrity in Healthy Aging</t>
  </si>
  <si>
    <t>Brain Connect</t>
  </si>
  <si>
    <t>Lombardi</t>
  </si>
  <si>
    <t>Brain Age Prediction with Morphological Features Using Deep Neural Networks: Results From Predictive Analytic Competition 2019</t>
  </si>
  <si>
    <t>Front Psychiatry</t>
  </si>
  <si>
    <t>morphological descriptors</t>
  </si>
  <si>
    <t>This competition consisted of two sub challenges: (i) to achieve the lowest mean absolute error for brain age prediction; (ii) to achieve the lowest MAE while keep the Spearman correlation between the brain-age delta and the chronological age under 0.1.; COMPARED SVR, RF, Lasso and Neural Network</t>
  </si>
  <si>
    <t>0.91 ®</t>
  </si>
  <si>
    <t>An unbiased data-driven age-related structural brain parcellation for the identification of intrinsic brain volume changes over the adult lifespan</t>
  </si>
  <si>
    <t>Gaussian Process</t>
  </si>
  <si>
    <t>Random Forest</t>
  </si>
  <si>
    <t>Relevance Vector Regression</t>
  </si>
  <si>
    <t>Quantile Regression</t>
  </si>
  <si>
    <t>MEG</t>
  </si>
  <si>
    <t>CT</t>
  </si>
  <si>
    <t>GP</t>
  </si>
  <si>
    <t>NN</t>
  </si>
  <si>
    <t>RVM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</si>
</sst>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2" fillId="0" borderId="0" xfId="0" applyFont="1"/>
    <xf numFmtId="0" fontId="0" fillId="0" borderId="0" xfId="0" applyFont="1" applyAlignment="1">
      <alignment vertical="center"/>
    </xf>
    <xf numFmtId="0" fontId="3" fillId="0" borderId="0" xfId="1"/>
    <xf numFmtId="17" fontId="0" fillId="0" borderId="0" xfId="0" applyNumberFormat="1"/>
    <xf numFmtId="0" fontId="0" fillId="2" borderId="0" xfId="0" applyFill="1"/>
    <xf numFmtId="0" fontId="0" fillId="0" borderId="0" xfId="0" applyFill="1"/>
    <xf numFmtId="0" fontId="2" fillId="0" borderId="0" xfId="0" applyFont="1" applyFill="1"/>
    <xf numFmtId="3" fontId="0" fillId="0" borderId="0" xfId="0" applyNumberFormat="1"/>
    <xf numFmtId="0" fontId="1" fillId="0" borderId="0" xfId="0" applyFont="1"/>
    <xf numFmtId="0" fontId="0" fillId="3" borderId="0" xfId="0" applyFill="1"/>
    <xf numFmtId="0" fontId="0" fillId="4" borderId="0" xfId="0" applyFill="1"/>
    <xf numFmtId="17" fontId="0" fillId="4" borderId="0" xfId="0" applyNumberFormat="1" applyFill="1"/>
    <xf numFmtId="2" fontId="0" fillId="0" borderId="0" xfId="0" applyNumberFormat="1"/>
    <xf numFmtId="0" fontId="0" fillId="0" borderId="0" xfId="0" applyNumberFormat="1"/>
    <xf numFmtId="0" fontId="0" fillId="4" borderId="0" xfId="0" applyNumberFormat="1" applyFill="1"/>
    <xf numFmtId="0" fontId="0" fillId="5" borderId="0" xfId="0" applyFill="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Works presenting a brain age algorithm since 2011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Tabelle1!$F$115:$F$125</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Tabelle1!$G$115:$G$125</c:f>
              <c:numCache>
                <c:formatCode>General</c:formatCode>
                <c:ptCount val="11"/>
                <c:pt idx="0">
                  <c:v>1</c:v>
                </c:pt>
                <c:pt idx="1">
                  <c:v>1</c:v>
                </c:pt>
                <c:pt idx="2">
                  <c:v>0</c:v>
                </c:pt>
                <c:pt idx="3">
                  <c:v>1</c:v>
                </c:pt>
                <c:pt idx="4">
                  <c:v>2</c:v>
                </c:pt>
                <c:pt idx="5">
                  <c:v>3</c:v>
                </c:pt>
                <c:pt idx="6">
                  <c:v>5</c:v>
                </c:pt>
                <c:pt idx="7">
                  <c:v>15</c:v>
                </c:pt>
                <c:pt idx="8">
                  <c:v>17</c:v>
                </c:pt>
                <c:pt idx="9">
                  <c:v>19</c:v>
                </c:pt>
                <c:pt idx="10">
                  <c:v>7</c:v>
                </c:pt>
              </c:numCache>
            </c:numRef>
          </c:val>
          <c:extLst>
            <c:ext xmlns:c16="http://schemas.microsoft.com/office/drawing/2014/chart" uri="{C3380CC4-5D6E-409C-BE32-E72D297353CC}">
              <c16:uniqueId val="{00000000-EC4C-4627-9F37-4354B9CEEAA9}"/>
            </c:ext>
          </c:extLst>
        </c:ser>
        <c:dLbls>
          <c:showLegendKey val="0"/>
          <c:showVal val="0"/>
          <c:showCatName val="0"/>
          <c:showSerName val="0"/>
          <c:showPercent val="0"/>
          <c:showBubbleSize val="0"/>
        </c:dLbls>
        <c:gapWidth val="219"/>
        <c:overlap val="-27"/>
        <c:axId val="498368208"/>
        <c:axId val="498368536"/>
      </c:barChart>
      <c:catAx>
        <c:axId val="49836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68536"/>
        <c:crosses val="autoZero"/>
        <c:auto val="1"/>
        <c:lblAlgn val="ctr"/>
        <c:lblOffset val="100"/>
        <c:noMultiLvlLbl val="0"/>
      </c:catAx>
      <c:valAx>
        <c:axId val="49836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68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Tabelle1!$H$115:$H$120</c:f>
              <c:strCache>
                <c:ptCount val="6"/>
                <c:pt idx="0">
                  <c:v>Neural Network</c:v>
                </c:pt>
                <c:pt idx="1">
                  <c:v>Extreme Gradient Boost</c:v>
                </c:pt>
                <c:pt idx="2">
                  <c:v>Support Vector Regression</c:v>
                </c:pt>
                <c:pt idx="3">
                  <c:v>Relevance Vector Regression</c:v>
                </c:pt>
                <c:pt idx="4">
                  <c:v>Gaussian Process</c:v>
                </c:pt>
                <c:pt idx="5">
                  <c:v>Random Forest</c:v>
                </c:pt>
              </c:strCache>
            </c:strRef>
          </c:cat>
          <c:val>
            <c:numRef>
              <c:f>Tabelle1!$I$115:$I$120</c:f>
              <c:numCache>
                <c:formatCode>General</c:formatCode>
                <c:ptCount val="6"/>
                <c:pt idx="0">
                  <c:v>14</c:v>
                </c:pt>
                <c:pt idx="1">
                  <c:v>5</c:v>
                </c:pt>
                <c:pt idx="2">
                  <c:v>15</c:v>
                </c:pt>
                <c:pt idx="3">
                  <c:v>7</c:v>
                </c:pt>
                <c:pt idx="4">
                  <c:v>13</c:v>
                </c:pt>
                <c:pt idx="5">
                  <c:v>5</c:v>
                </c:pt>
              </c:numCache>
            </c:numRef>
          </c:val>
          <c:extLst>
            <c:ext xmlns:c16="http://schemas.microsoft.com/office/drawing/2014/chart" uri="{C3380CC4-5D6E-409C-BE32-E72D297353CC}">
              <c16:uniqueId val="{00000000-17C4-4CBB-89A1-50F775085EBF}"/>
            </c:ext>
          </c:extLst>
        </c:ser>
        <c:dLbls>
          <c:showLegendKey val="0"/>
          <c:showVal val="0"/>
          <c:showCatName val="0"/>
          <c:showSerName val="0"/>
          <c:showPercent val="0"/>
          <c:showBubbleSize val="0"/>
        </c:dLbls>
        <c:gapWidth val="182"/>
        <c:axId val="570865104"/>
        <c:axId val="570869040"/>
      </c:barChart>
      <c:catAx>
        <c:axId val="57086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69040"/>
        <c:crosses val="autoZero"/>
        <c:auto val="1"/>
        <c:lblAlgn val="ctr"/>
        <c:lblOffset val="100"/>
        <c:noMultiLvlLbl val="0"/>
      </c:catAx>
      <c:valAx>
        <c:axId val="570869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65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Tabelle1!$H$124:$H$128</c:f>
              <c:strCache>
                <c:ptCount val="5"/>
                <c:pt idx="0">
                  <c:v>MRI</c:v>
                </c:pt>
                <c:pt idx="1">
                  <c:v>EEG</c:v>
                </c:pt>
                <c:pt idx="2">
                  <c:v>MEG</c:v>
                </c:pt>
                <c:pt idx="3">
                  <c:v>CT</c:v>
                </c:pt>
                <c:pt idx="4">
                  <c:v>PET</c:v>
                </c:pt>
              </c:strCache>
            </c:strRef>
          </c:cat>
          <c:val>
            <c:numRef>
              <c:f>Tabelle1!$I$124:$I$128</c:f>
              <c:numCache>
                <c:formatCode>General</c:formatCode>
                <c:ptCount val="5"/>
                <c:pt idx="0">
                  <c:v>67</c:v>
                </c:pt>
                <c:pt idx="1">
                  <c:v>3</c:v>
                </c:pt>
                <c:pt idx="2">
                  <c:v>2</c:v>
                </c:pt>
                <c:pt idx="3">
                  <c:v>1</c:v>
                </c:pt>
                <c:pt idx="4">
                  <c:v>1</c:v>
                </c:pt>
              </c:numCache>
            </c:numRef>
          </c:val>
          <c:extLst>
            <c:ext xmlns:c16="http://schemas.microsoft.com/office/drawing/2014/chart" uri="{C3380CC4-5D6E-409C-BE32-E72D297353CC}">
              <c16:uniqueId val="{00000000-07B3-4E8A-9D6D-F6045E228025}"/>
            </c:ext>
          </c:extLst>
        </c:ser>
        <c:dLbls>
          <c:showLegendKey val="0"/>
          <c:showVal val="0"/>
          <c:showCatName val="0"/>
          <c:showSerName val="0"/>
          <c:showPercent val="0"/>
          <c:showBubbleSize val="0"/>
        </c:dLbls>
        <c:gapWidth val="182"/>
        <c:axId val="223915136"/>
        <c:axId val="223918088"/>
      </c:barChart>
      <c:catAx>
        <c:axId val="223915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18088"/>
        <c:crosses val="autoZero"/>
        <c:auto val="1"/>
        <c:lblAlgn val="ctr"/>
        <c:lblOffset val="100"/>
        <c:noMultiLvlLbl val="0"/>
      </c:catAx>
      <c:valAx>
        <c:axId val="223918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1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444500</xdr:colOff>
      <xdr:row>28</xdr:row>
      <xdr:rowOff>76200</xdr:rowOff>
    </xdr:from>
    <xdr:to>
      <xdr:col>0</xdr:col>
      <xdr:colOff>450850</xdr:colOff>
      <xdr:row>31</xdr:row>
      <xdr:rowOff>88900</xdr:rowOff>
    </xdr:to>
    <xdr:cxnSp macro="">
      <xdr:nvCxnSpPr>
        <xdr:cNvPr id="4" name="Gerader Verbinder 3"/>
        <xdr:cNvCxnSpPr/>
      </xdr:nvCxnSpPr>
      <xdr:spPr>
        <a:xfrm>
          <a:off x="444500" y="5416550"/>
          <a:ext cx="6350" cy="565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508000</xdr:colOff>
      <xdr:row>30</xdr:row>
      <xdr:rowOff>57150</xdr:rowOff>
    </xdr:from>
    <xdr:to>
      <xdr:col>0</xdr:col>
      <xdr:colOff>508000</xdr:colOff>
      <xdr:row>32</xdr:row>
      <xdr:rowOff>101600</xdr:rowOff>
    </xdr:to>
    <xdr:cxnSp macro="">
      <xdr:nvCxnSpPr>
        <xdr:cNvPr id="5" name="Gerader Verbinder 4"/>
        <xdr:cNvCxnSpPr/>
      </xdr:nvCxnSpPr>
      <xdr:spPr>
        <a:xfrm>
          <a:off x="508000" y="5765800"/>
          <a:ext cx="0" cy="412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396874</xdr:colOff>
      <xdr:row>118</xdr:row>
      <xdr:rowOff>62441</xdr:rowOff>
    </xdr:from>
    <xdr:to>
      <xdr:col>21</xdr:col>
      <xdr:colOff>396874</xdr:colOff>
      <xdr:row>133</xdr:row>
      <xdr:rowOff>106891</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555624</xdr:colOff>
      <xdr:row>113</xdr:row>
      <xdr:rowOff>83609</xdr:rowOff>
    </xdr:from>
    <xdr:to>
      <xdr:col>24</xdr:col>
      <xdr:colOff>555624</xdr:colOff>
      <xdr:row>128</xdr:row>
      <xdr:rowOff>128059</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545041</xdr:colOff>
      <xdr:row>129</xdr:row>
      <xdr:rowOff>83609</xdr:rowOff>
    </xdr:from>
    <xdr:to>
      <xdr:col>24</xdr:col>
      <xdr:colOff>545041</xdr:colOff>
      <xdr:row>144</xdr:row>
      <xdr:rowOff>128059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nature.com/articles/s41380-018-009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8"/>
  <sheetViews>
    <sheetView tabSelected="1" topLeftCell="A42" zoomScale="60" zoomScaleNormal="60" workbookViewId="0">
      <selection activeCell="J61" sqref="J61"/>
    </sheetView>
  </sheetViews>
  <sheetFormatPr baseColWidth="10" defaultRowHeight="14.5" x14ac:dyDescent="0.35"/>
  <cols>
    <col min="5" max="5" width="20.36328125" customWidth="1"/>
    <col min="16" max="16" width="10.90625" style="6"/>
  </cols>
  <sheetData>
    <row r="1" spans="1:21" x14ac:dyDescent="0.35">
      <c r="B1" t="s">
        <v>0</v>
      </c>
      <c r="C1" t="s">
        <v>1</v>
      </c>
      <c r="D1" t="s">
        <v>2</v>
      </c>
      <c r="E1" t="s">
        <v>3</v>
      </c>
      <c r="F1" t="s">
        <v>4</v>
      </c>
      <c r="G1" t="s">
        <v>5</v>
      </c>
      <c r="H1" t="s">
        <v>6</v>
      </c>
      <c r="I1" t="s">
        <v>7</v>
      </c>
      <c r="J1" t="s">
        <v>8</v>
      </c>
      <c r="K1" t="s">
        <v>9</v>
      </c>
      <c r="L1" t="s">
        <v>10</v>
      </c>
      <c r="M1" t="s">
        <v>425</v>
      </c>
      <c r="N1" t="s">
        <v>11</v>
      </c>
      <c r="O1" t="s">
        <v>12</v>
      </c>
      <c r="P1" s="6" t="s">
        <v>13</v>
      </c>
      <c r="Q1" t="s">
        <v>426</v>
      </c>
      <c r="S1" t="s">
        <v>14</v>
      </c>
      <c r="T1" t="s">
        <v>15</v>
      </c>
      <c r="U1" t="s">
        <v>16</v>
      </c>
    </row>
    <row r="2" spans="1:21" x14ac:dyDescent="0.35">
      <c r="A2">
        <v>55</v>
      </c>
      <c r="B2" t="s">
        <v>336</v>
      </c>
      <c r="C2" t="s">
        <v>337</v>
      </c>
      <c r="D2" t="s">
        <v>27</v>
      </c>
      <c r="E2" t="s">
        <v>338</v>
      </c>
      <c r="F2" t="s">
        <v>339</v>
      </c>
      <c r="G2">
        <v>2018</v>
      </c>
      <c r="H2" t="s">
        <v>340</v>
      </c>
      <c r="I2" t="s">
        <v>21</v>
      </c>
      <c r="J2" t="s">
        <v>341</v>
      </c>
      <c r="K2" t="s">
        <v>279</v>
      </c>
      <c r="L2" t="s">
        <v>33</v>
      </c>
      <c r="N2">
        <v>631</v>
      </c>
      <c r="O2" t="s">
        <v>342</v>
      </c>
      <c r="P2" s="6" t="s">
        <v>33</v>
      </c>
      <c r="S2" t="s">
        <v>33</v>
      </c>
      <c r="T2" t="s">
        <v>25</v>
      </c>
    </row>
    <row r="3" spans="1:21" x14ac:dyDescent="0.35">
      <c r="A3">
        <v>15</v>
      </c>
      <c r="B3" t="s">
        <v>62</v>
      </c>
      <c r="C3" t="s">
        <v>119</v>
      </c>
      <c r="D3" t="s">
        <v>27</v>
      </c>
      <c r="E3" t="s">
        <v>120</v>
      </c>
      <c r="F3" t="s">
        <v>37</v>
      </c>
      <c r="G3">
        <v>2019</v>
      </c>
    </row>
    <row r="4" spans="1:21" x14ac:dyDescent="0.35">
      <c r="A4">
        <v>100</v>
      </c>
      <c r="B4" t="s">
        <v>523</v>
      </c>
      <c r="C4" t="s">
        <v>524</v>
      </c>
      <c r="D4" t="s">
        <v>27</v>
      </c>
      <c r="E4" t="s">
        <v>525</v>
      </c>
      <c r="G4">
        <v>2020</v>
      </c>
    </row>
    <row r="5" spans="1:21" x14ac:dyDescent="0.35">
      <c r="A5">
        <v>35</v>
      </c>
      <c r="B5" t="s">
        <v>233</v>
      </c>
      <c r="C5" t="s">
        <v>234</v>
      </c>
      <c r="D5" t="s">
        <v>27</v>
      </c>
      <c r="E5" t="s">
        <v>235</v>
      </c>
      <c r="F5" t="s">
        <v>236</v>
      </c>
      <c r="G5">
        <v>2020</v>
      </c>
      <c r="H5" t="s">
        <v>237</v>
      </c>
    </row>
    <row r="6" spans="1:21" x14ac:dyDescent="0.35">
      <c r="A6">
        <v>23</v>
      </c>
      <c r="B6" t="s">
        <v>163</v>
      </c>
      <c r="C6" t="s">
        <v>167</v>
      </c>
      <c r="D6" t="s">
        <v>27</v>
      </c>
      <c r="E6" t="s">
        <v>164</v>
      </c>
      <c r="F6" t="s">
        <v>113</v>
      </c>
      <c r="G6">
        <v>2020</v>
      </c>
      <c r="H6" t="s">
        <v>38</v>
      </c>
      <c r="I6" t="s">
        <v>21</v>
      </c>
      <c r="J6" t="s">
        <v>31</v>
      </c>
      <c r="K6" t="s">
        <v>22</v>
      </c>
      <c r="L6" t="s">
        <v>165</v>
      </c>
      <c r="N6">
        <v>176</v>
      </c>
      <c r="P6" s="6">
        <v>0.3</v>
      </c>
      <c r="S6" t="s">
        <v>166</v>
      </c>
      <c r="T6" t="s">
        <v>25</v>
      </c>
    </row>
    <row r="7" spans="1:21" x14ac:dyDescent="0.35">
      <c r="A7">
        <v>95</v>
      </c>
      <c r="B7" t="s">
        <v>468</v>
      </c>
      <c r="C7" t="s">
        <v>509</v>
      </c>
      <c r="D7" t="s">
        <v>27</v>
      </c>
      <c r="E7" t="s">
        <v>507</v>
      </c>
      <c r="G7">
        <v>2015</v>
      </c>
      <c r="H7" t="s">
        <v>246</v>
      </c>
      <c r="I7" t="s">
        <v>21</v>
      </c>
      <c r="J7" t="s">
        <v>31</v>
      </c>
      <c r="K7" t="s">
        <v>247</v>
      </c>
      <c r="L7" t="s">
        <v>508</v>
      </c>
      <c r="M7">
        <v>66</v>
      </c>
      <c r="N7">
        <v>561</v>
      </c>
      <c r="O7" t="s">
        <v>33</v>
      </c>
      <c r="P7" s="6" t="s">
        <v>33</v>
      </c>
      <c r="Q7" t="s">
        <v>25</v>
      </c>
    </row>
    <row r="8" spans="1:21" x14ac:dyDescent="0.35">
      <c r="A8">
        <v>106</v>
      </c>
      <c r="B8" t="s">
        <v>548</v>
      </c>
      <c r="C8" t="s">
        <v>509</v>
      </c>
      <c r="D8" t="s">
        <v>27</v>
      </c>
      <c r="E8" t="s">
        <v>549</v>
      </c>
      <c r="F8" t="s">
        <v>550</v>
      </c>
      <c r="G8">
        <v>2016</v>
      </c>
    </row>
    <row r="9" spans="1:21" x14ac:dyDescent="0.35">
      <c r="A9">
        <v>19</v>
      </c>
      <c r="B9" t="s">
        <v>134</v>
      </c>
      <c r="C9" t="s">
        <v>135</v>
      </c>
      <c r="D9" t="s">
        <v>27</v>
      </c>
      <c r="E9" t="s">
        <v>136</v>
      </c>
      <c r="F9" t="s">
        <v>137</v>
      </c>
      <c r="G9">
        <v>2020</v>
      </c>
      <c r="I9" t="s">
        <v>21</v>
      </c>
      <c r="J9" t="s">
        <v>138</v>
      </c>
      <c r="T9" t="s">
        <v>43</v>
      </c>
    </row>
    <row r="10" spans="1:21" x14ac:dyDescent="0.35">
      <c r="A10">
        <v>74</v>
      </c>
      <c r="B10" t="s">
        <v>428</v>
      </c>
      <c r="C10" t="s">
        <v>409</v>
      </c>
      <c r="D10" t="s">
        <v>27</v>
      </c>
      <c r="E10" t="s">
        <v>429</v>
      </c>
      <c r="F10" t="s">
        <v>430</v>
      </c>
      <c r="G10">
        <v>2017</v>
      </c>
    </row>
    <row r="11" spans="1:21" s="6" customFormat="1" x14ac:dyDescent="0.35">
      <c r="A11">
        <v>69</v>
      </c>
      <c r="B11" t="s">
        <v>408</v>
      </c>
      <c r="C11" t="s">
        <v>409</v>
      </c>
      <c r="D11" t="s">
        <v>27</v>
      </c>
      <c r="E11" t="s">
        <v>410</v>
      </c>
      <c r="F11" t="s">
        <v>411</v>
      </c>
      <c r="G11">
        <v>2020</v>
      </c>
      <c r="H11" t="s">
        <v>33</v>
      </c>
      <c r="I11" t="s">
        <v>21</v>
      </c>
      <c r="J11" t="s">
        <v>341</v>
      </c>
      <c r="K11"/>
      <c r="L11"/>
      <c r="M11"/>
      <c r="N11">
        <v>2001</v>
      </c>
      <c r="O11" t="s">
        <v>33</v>
      </c>
      <c r="Q11"/>
      <c r="R11"/>
      <c r="S11"/>
      <c r="T11"/>
      <c r="U11"/>
    </row>
    <row r="12" spans="1:21" x14ac:dyDescent="0.35">
      <c r="A12">
        <v>92</v>
      </c>
      <c r="B12" t="s">
        <v>497</v>
      </c>
      <c r="C12" t="s">
        <v>409</v>
      </c>
      <c r="D12" t="s">
        <v>27</v>
      </c>
      <c r="E12" t="s">
        <v>498</v>
      </c>
      <c r="F12" t="s">
        <v>499</v>
      </c>
      <c r="G12">
        <v>2021</v>
      </c>
    </row>
    <row r="13" spans="1:21" x14ac:dyDescent="0.35">
      <c r="A13">
        <v>105</v>
      </c>
      <c r="B13" t="s">
        <v>546</v>
      </c>
      <c r="C13" t="s">
        <v>409</v>
      </c>
      <c r="D13" t="s">
        <v>27</v>
      </c>
      <c r="E13" t="s">
        <v>547</v>
      </c>
      <c r="F13" t="s">
        <v>19</v>
      </c>
      <c r="G13">
        <v>2021</v>
      </c>
    </row>
    <row r="14" spans="1:21" x14ac:dyDescent="0.35">
      <c r="A14">
        <v>36</v>
      </c>
      <c r="B14" t="s">
        <v>238</v>
      </c>
      <c r="C14" t="s">
        <v>243</v>
      </c>
      <c r="D14" t="s">
        <v>27</v>
      </c>
      <c r="E14" t="s">
        <v>239</v>
      </c>
      <c r="F14" t="s">
        <v>46</v>
      </c>
      <c r="G14">
        <v>2016</v>
      </c>
      <c r="H14" t="s">
        <v>241</v>
      </c>
      <c r="I14" t="s">
        <v>21</v>
      </c>
      <c r="J14" t="s">
        <v>240</v>
      </c>
      <c r="K14" t="s">
        <v>22</v>
      </c>
      <c r="L14" t="s">
        <v>242</v>
      </c>
      <c r="N14">
        <v>331</v>
      </c>
    </row>
    <row r="15" spans="1:21" s="5" customFormat="1" x14ac:dyDescent="0.35">
      <c r="A15">
        <v>67</v>
      </c>
      <c r="B15" t="s">
        <v>399</v>
      </c>
      <c r="C15" t="s">
        <v>243</v>
      </c>
      <c r="D15" t="s">
        <v>27</v>
      </c>
      <c r="E15" t="s">
        <v>400</v>
      </c>
      <c r="F15" t="s">
        <v>401</v>
      </c>
      <c r="G15">
        <v>2017</v>
      </c>
      <c r="H15" t="s">
        <v>64</v>
      </c>
      <c r="I15" t="s">
        <v>21</v>
      </c>
      <c r="J15" t="s">
        <v>341</v>
      </c>
      <c r="K15" t="s">
        <v>22</v>
      </c>
      <c r="L15"/>
      <c r="M15"/>
      <c r="N15"/>
      <c r="O15"/>
      <c r="P15" s="6"/>
      <c r="Q15"/>
      <c r="R15"/>
      <c r="S15"/>
      <c r="T15"/>
      <c r="U15"/>
    </row>
    <row r="16" spans="1:21" x14ac:dyDescent="0.35">
      <c r="A16">
        <v>90</v>
      </c>
      <c r="B16" t="s">
        <v>487</v>
      </c>
      <c r="C16" t="s">
        <v>489</v>
      </c>
      <c r="D16" t="s">
        <v>490</v>
      </c>
      <c r="E16" t="s">
        <v>488</v>
      </c>
      <c r="F16" t="s">
        <v>108</v>
      </c>
      <c r="G16">
        <v>2018</v>
      </c>
      <c r="I16" t="s">
        <v>191</v>
      </c>
    </row>
    <row r="17" spans="1:20" x14ac:dyDescent="0.35">
      <c r="A17">
        <v>75</v>
      </c>
      <c r="B17" t="s">
        <v>431</v>
      </c>
      <c r="C17" t="s">
        <v>434</v>
      </c>
      <c r="D17" t="s">
        <v>435</v>
      </c>
      <c r="E17" t="s">
        <v>432</v>
      </c>
      <c r="F17" t="s">
        <v>433</v>
      </c>
      <c r="G17">
        <v>2019</v>
      </c>
    </row>
    <row r="18" spans="1:20" x14ac:dyDescent="0.35">
      <c r="A18">
        <v>78</v>
      </c>
      <c r="B18" t="s">
        <v>447</v>
      </c>
      <c r="C18" t="s">
        <v>434</v>
      </c>
      <c r="D18" t="s">
        <v>27</v>
      </c>
      <c r="E18" t="s">
        <v>448</v>
      </c>
      <c r="F18" t="s">
        <v>85</v>
      </c>
    </row>
    <row r="19" spans="1:20" x14ac:dyDescent="0.35">
      <c r="A19">
        <v>81</v>
      </c>
      <c r="B19" t="s">
        <v>454</v>
      </c>
      <c r="C19" t="s">
        <v>126</v>
      </c>
      <c r="D19" t="s">
        <v>27</v>
      </c>
      <c r="E19" t="s">
        <v>455</v>
      </c>
      <c r="F19" t="s">
        <v>456</v>
      </c>
      <c r="G19">
        <v>2012</v>
      </c>
    </row>
    <row r="20" spans="1:20" x14ac:dyDescent="0.35">
      <c r="A20">
        <v>99</v>
      </c>
      <c r="B20" t="s">
        <v>526</v>
      </c>
      <c r="C20" t="s">
        <v>126</v>
      </c>
      <c r="D20" t="s">
        <v>27</v>
      </c>
      <c r="E20" t="s">
        <v>527</v>
      </c>
      <c r="F20" t="s">
        <v>128</v>
      </c>
      <c r="G20">
        <v>2013</v>
      </c>
    </row>
    <row r="21" spans="1:20" x14ac:dyDescent="0.35">
      <c r="A21">
        <v>87</v>
      </c>
      <c r="B21" t="s">
        <v>478</v>
      </c>
      <c r="C21" t="s">
        <v>126</v>
      </c>
      <c r="D21" t="s">
        <v>27</v>
      </c>
      <c r="E21" t="s">
        <v>477</v>
      </c>
      <c r="F21" t="s">
        <v>481</v>
      </c>
      <c r="G21">
        <v>2014</v>
      </c>
    </row>
    <row r="22" spans="1:20" x14ac:dyDescent="0.35">
      <c r="A22">
        <v>93</v>
      </c>
      <c r="B22" t="s">
        <v>500</v>
      </c>
      <c r="C22" t="s">
        <v>126</v>
      </c>
      <c r="E22" t="s">
        <v>501</v>
      </c>
      <c r="F22" t="s">
        <v>420</v>
      </c>
      <c r="G22">
        <v>2014</v>
      </c>
    </row>
    <row r="23" spans="1:20" x14ac:dyDescent="0.35">
      <c r="A23">
        <v>60</v>
      </c>
      <c r="B23" t="s">
        <v>367</v>
      </c>
      <c r="C23" t="s">
        <v>126</v>
      </c>
      <c r="D23" t="s">
        <v>27</v>
      </c>
      <c r="E23" t="s">
        <v>368</v>
      </c>
      <c r="F23" t="s">
        <v>128</v>
      </c>
      <c r="G23">
        <v>2015</v>
      </c>
    </row>
    <row r="24" spans="1:20" x14ac:dyDescent="0.35">
      <c r="A24">
        <v>83</v>
      </c>
      <c r="B24" t="s">
        <v>464</v>
      </c>
      <c r="C24" t="s">
        <v>126</v>
      </c>
      <c r="D24" t="s">
        <v>27</v>
      </c>
      <c r="E24" t="s">
        <v>465</v>
      </c>
      <c r="F24" t="s">
        <v>37</v>
      </c>
      <c r="G24">
        <v>2016</v>
      </c>
    </row>
    <row r="25" spans="1:20" x14ac:dyDescent="0.35">
      <c r="A25">
        <v>88</v>
      </c>
      <c r="B25" t="s">
        <v>479</v>
      </c>
      <c r="C25" t="s">
        <v>126</v>
      </c>
      <c r="D25" t="s">
        <v>27</v>
      </c>
      <c r="E25" t="s">
        <v>480</v>
      </c>
      <c r="F25" t="s">
        <v>85</v>
      </c>
      <c r="G25">
        <v>2017</v>
      </c>
    </row>
    <row r="26" spans="1:20" x14ac:dyDescent="0.35">
      <c r="A26">
        <v>102</v>
      </c>
      <c r="B26" t="s">
        <v>531</v>
      </c>
      <c r="C26" t="s">
        <v>126</v>
      </c>
      <c r="D26" t="s">
        <v>27</v>
      </c>
      <c r="E26" t="s">
        <v>532</v>
      </c>
      <c r="F26" t="s">
        <v>533</v>
      </c>
      <c r="G26">
        <v>2017</v>
      </c>
    </row>
    <row r="27" spans="1:20" x14ac:dyDescent="0.35">
      <c r="A27">
        <v>70</v>
      </c>
      <c r="B27" t="s">
        <v>412</v>
      </c>
      <c r="C27" t="s">
        <v>126</v>
      </c>
      <c r="D27" t="s">
        <v>27</v>
      </c>
      <c r="E27" t="s">
        <v>557</v>
      </c>
      <c r="F27" t="s">
        <v>37</v>
      </c>
      <c r="G27">
        <v>2018</v>
      </c>
    </row>
    <row r="28" spans="1:20" x14ac:dyDescent="0.35">
      <c r="A28">
        <v>80</v>
      </c>
      <c r="B28" t="s">
        <v>452</v>
      </c>
      <c r="C28" t="s">
        <v>126</v>
      </c>
      <c r="D28" t="s">
        <v>27</v>
      </c>
      <c r="E28" t="s">
        <v>453</v>
      </c>
      <c r="F28" t="s">
        <v>438</v>
      </c>
      <c r="G28">
        <v>2018</v>
      </c>
    </row>
    <row r="29" spans="1:20" x14ac:dyDescent="0.35">
      <c r="A29">
        <v>101</v>
      </c>
      <c r="B29" t="s">
        <v>528</v>
      </c>
      <c r="C29" t="s">
        <v>126</v>
      </c>
      <c r="D29" t="s">
        <v>27</v>
      </c>
      <c r="E29" t="s">
        <v>529</v>
      </c>
      <c r="F29" t="s">
        <v>530</v>
      </c>
      <c r="G29">
        <v>2018</v>
      </c>
    </row>
    <row r="30" spans="1:20" x14ac:dyDescent="0.35">
      <c r="A30">
        <v>17</v>
      </c>
      <c r="B30" t="s">
        <v>125</v>
      </c>
      <c r="C30" t="s">
        <v>126</v>
      </c>
      <c r="D30" t="s">
        <v>27</v>
      </c>
      <c r="E30" t="s">
        <v>127</v>
      </c>
      <c r="F30" t="s">
        <v>128</v>
      </c>
      <c r="G30">
        <v>2019</v>
      </c>
    </row>
    <row r="31" spans="1:20" x14ac:dyDescent="0.35">
      <c r="A31">
        <v>63</v>
      </c>
      <c r="B31" t="s">
        <v>381</v>
      </c>
      <c r="C31" t="s">
        <v>126</v>
      </c>
      <c r="D31" t="s">
        <v>27</v>
      </c>
      <c r="E31" t="s">
        <v>382</v>
      </c>
      <c r="F31" t="s">
        <v>170</v>
      </c>
      <c r="G31">
        <v>2019</v>
      </c>
      <c r="T31" t="s">
        <v>25</v>
      </c>
    </row>
    <row r="32" spans="1:20" x14ac:dyDescent="0.35">
      <c r="A32">
        <v>84</v>
      </c>
      <c r="B32" t="s">
        <v>466</v>
      </c>
      <c r="C32" t="s">
        <v>126</v>
      </c>
      <c r="D32" t="s">
        <v>27</v>
      </c>
      <c r="E32" t="s">
        <v>467</v>
      </c>
      <c r="F32" t="s">
        <v>108</v>
      </c>
      <c r="G32">
        <v>2019</v>
      </c>
    </row>
    <row r="33" spans="1:21" x14ac:dyDescent="0.35">
      <c r="A33">
        <v>41</v>
      </c>
      <c r="B33" t="s">
        <v>271</v>
      </c>
      <c r="C33" t="s">
        <v>126</v>
      </c>
      <c r="D33" t="s">
        <v>27</v>
      </c>
      <c r="E33" t="s">
        <v>272</v>
      </c>
      <c r="F33" t="s">
        <v>170</v>
      </c>
      <c r="G33">
        <v>2020</v>
      </c>
      <c r="I33" t="s">
        <v>191</v>
      </c>
    </row>
    <row r="34" spans="1:21" x14ac:dyDescent="0.35">
      <c r="A34">
        <v>46</v>
      </c>
      <c r="B34" t="s">
        <v>291</v>
      </c>
      <c r="C34" t="s">
        <v>126</v>
      </c>
      <c r="D34" t="s">
        <v>27</v>
      </c>
      <c r="E34" t="s">
        <v>292</v>
      </c>
      <c r="F34" t="s">
        <v>293</v>
      </c>
      <c r="G34">
        <v>2020</v>
      </c>
    </row>
    <row r="35" spans="1:21" x14ac:dyDescent="0.35">
      <c r="A35">
        <v>54</v>
      </c>
      <c r="B35" t="s">
        <v>334</v>
      </c>
      <c r="C35" t="s">
        <v>126</v>
      </c>
      <c r="D35" t="s">
        <v>27</v>
      </c>
      <c r="E35" t="s">
        <v>335</v>
      </c>
      <c r="F35" t="s">
        <v>37</v>
      </c>
      <c r="G35">
        <v>2020</v>
      </c>
    </row>
    <row r="36" spans="1:21" x14ac:dyDescent="0.35">
      <c r="A36">
        <v>103</v>
      </c>
      <c r="B36" t="s">
        <v>526</v>
      </c>
      <c r="C36" t="s">
        <v>126</v>
      </c>
      <c r="D36" t="s">
        <v>27</v>
      </c>
      <c r="E36" t="s">
        <v>534</v>
      </c>
      <c r="F36" t="s">
        <v>535</v>
      </c>
      <c r="G36">
        <v>2021</v>
      </c>
    </row>
    <row r="37" spans="1:21" x14ac:dyDescent="0.35">
      <c r="A37">
        <v>6</v>
      </c>
      <c r="B37" s="1" t="s">
        <v>35</v>
      </c>
      <c r="C37" t="s">
        <v>60</v>
      </c>
      <c r="D37" t="s">
        <v>27</v>
      </c>
      <c r="E37" t="s">
        <v>58</v>
      </c>
      <c r="F37" t="s">
        <v>59</v>
      </c>
      <c r="G37">
        <v>2019</v>
      </c>
      <c r="U37" s="3" t="s">
        <v>61</v>
      </c>
    </row>
    <row r="38" spans="1:21" x14ac:dyDescent="0.35">
      <c r="A38">
        <v>79</v>
      </c>
      <c r="B38" t="s">
        <v>449</v>
      </c>
      <c r="C38" t="s">
        <v>60</v>
      </c>
      <c r="D38" t="s">
        <v>27</v>
      </c>
      <c r="E38" t="s">
        <v>450</v>
      </c>
      <c r="F38" t="s">
        <v>451</v>
      </c>
      <c r="G38">
        <v>2019</v>
      </c>
    </row>
    <row r="39" spans="1:21" x14ac:dyDescent="0.35">
      <c r="A39">
        <v>16</v>
      </c>
      <c r="B39" t="s">
        <v>121</v>
      </c>
      <c r="C39" t="s">
        <v>122</v>
      </c>
      <c r="D39" t="s">
        <v>27</v>
      </c>
      <c r="E39" t="s">
        <v>123</v>
      </c>
      <c r="F39" t="s">
        <v>124</v>
      </c>
      <c r="G39">
        <v>2017</v>
      </c>
    </row>
    <row r="40" spans="1:21" x14ac:dyDescent="0.35">
      <c r="A40">
        <v>20</v>
      </c>
      <c r="B40" t="s">
        <v>139</v>
      </c>
      <c r="C40" t="s">
        <v>144</v>
      </c>
      <c r="D40" t="s">
        <v>27</v>
      </c>
      <c r="E40" t="s">
        <v>140</v>
      </c>
      <c r="F40" t="s">
        <v>141</v>
      </c>
      <c r="G40">
        <v>2020</v>
      </c>
      <c r="H40" t="s">
        <v>143</v>
      </c>
      <c r="I40" t="s">
        <v>21</v>
      </c>
      <c r="J40" t="s">
        <v>142</v>
      </c>
    </row>
    <row r="41" spans="1:21" s="10" customFormat="1" x14ac:dyDescent="0.35">
      <c r="A41">
        <v>42</v>
      </c>
      <c r="B41" t="s">
        <v>273</v>
      </c>
      <c r="C41" t="s">
        <v>144</v>
      </c>
      <c r="D41" t="s">
        <v>27</v>
      </c>
      <c r="E41" t="s">
        <v>274</v>
      </c>
      <c r="F41" t="s">
        <v>275</v>
      </c>
      <c r="G41">
        <v>2020</v>
      </c>
      <c r="H41" s="9" t="s">
        <v>109</v>
      </c>
      <c r="I41" t="s">
        <v>21</v>
      </c>
      <c r="J41" t="s">
        <v>276</v>
      </c>
      <c r="K41"/>
      <c r="L41"/>
      <c r="M41"/>
      <c r="N41"/>
      <c r="O41"/>
      <c r="P41" s="6"/>
      <c r="Q41"/>
      <c r="R41"/>
      <c r="S41"/>
      <c r="T41"/>
      <c r="U41"/>
    </row>
    <row r="42" spans="1:21" x14ac:dyDescent="0.35">
      <c r="A42" s="10">
        <v>94</v>
      </c>
      <c r="B42" s="10" t="s">
        <v>452</v>
      </c>
      <c r="C42" s="10" t="s">
        <v>25</v>
      </c>
      <c r="D42" s="10" t="s">
        <v>27</v>
      </c>
      <c r="E42" s="10" t="s">
        <v>502</v>
      </c>
      <c r="F42" s="10" t="s">
        <v>503</v>
      </c>
      <c r="G42" s="10">
        <v>2011</v>
      </c>
      <c r="H42" s="10" t="s">
        <v>504</v>
      </c>
      <c r="I42" s="10" t="s">
        <v>21</v>
      </c>
      <c r="J42" s="10" t="s">
        <v>172</v>
      </c>
      <c r="K42" s="10"/>
      <c r="L42" s="10" t="s">
        <v>506</v>
      </c>
      <c r="M42" s="10">
        <v>36</v>
      </c>
      <c r="N42" s="10">
        <v>20</v>
      </c>
      <c r="O42" s="10">
        <v>2.41</v>
      </c>
      <c r="P42" s="6" t="s">
        <v>33</v>
      </c>
      <c r="Q42" s="10" t="s">
        <v>25</v>
      </c>
      <c r="R42" s="10" t="s">
        <v>505</v>
      </c>
      <c r="S42" s="10"/>
      <c r="T42" s="10"/>
      <c r="U42" s="10"/>
    </row>
    <row r="43" spans="1:21" x14ac:dyDescent="0.35">
      <c r="A43">
        <v>85</v>
      </c>
      <c r="B43" t="s">
        <v>468</v>
      </c>
      <c r="C43" t="s">
        <v>25</v>
      </c>
      <c r="D43" t="s">
        <v>27</v>
      </c>
      <c r="E43" t="s">
        <v>469</v>
      </c>
      <c r="F43" t="s">
        <v>37</v>
      </c>
      <c r="G43">
        <v>2012</v>
      </c>
      <c r="H43" t="s">
        <v>246</v>
      </c>
      <c r="I43" t="s">
        <v>21</v>
      </c>
      <c r="J43" t="s">
        <v>31</v>
      </c>
      <c r="K43" t="s">
        <v>470</v>
      </c>
      <c r="L43" s="4" t="s">
        <v>471</v>
      </c>
      <c r="M43">
        <v>13</v>
      </c>
      <c r="N43">
        <v>394</v>
      </c>
      <c r="P43" s="16">
        <v>1.2</v>
      </c>
      <c r="Q43" s="6" t="s">
        <v>316</v>
      </c>
      <c r="R43" t="s">
        <v>25</v>
      </c>
    </row>
    <row r="44" spans="1:21" x14ac:dyDescent="0.35">
      <c r="A44">
        <v>98</v>
      </c>
      <c r="B44" t="s">
        <v>519</v>
      </c>
      <c r="C44" t="s">
        <v>25</v>
      </c>
      <c r="D44" t="s">
        <v>27</v>
      </c>
      <c r="E44" t="s">
        <v>520</v>
      </c>
      <c r="F44" t="s">
        <v>521</v>
      </c>
      <c r="G44">
        <v>2014</v>
      </c>
      <c r="H44" t="s">
        <v>109</v>
      </c>
      <c r="I44" t="s">
        <v>21</v>
      </c>
      <c r="J44" t="s">
        <v>341</v>
      </c>
      <c r="K44" t="s">
        <v>49</v>
      </c>
      <c r="L44" t="s">
        <v>522</v>
      </c>
      <c r="N44">
        <v>800</v>
      </c>
      <c r="P44" s="6">
        <v>4.5999999999999996</v>
      </c>
      <c r="Q44" s="6" t="s">
        <v>221</v>
      </c>
      <c r="R44" t="s">
        <v>25</v>
      </c>
    </row>
    <row r="45" spans="1:21" x14ac:dyDescent="0.35">
      <c r="A45">
        <v>44</v>
      </c>
      <c r="B45" s="1" t="s">
        <v>35</v>
      </c>
      <c r="C45" t="s">
        <v>25</v>
      </c>
      <c r="D45" t="s">
        <v>27</v>
      </c>
      <c r="E45" t="s">
        <v>280</v>
      </c>
      <c r="F45" t="s">
        <v>215</v>
      </c>
      <c r="G45">
        <v>2015</v>
      </c>
      <c r="H45" t="s">
        <v>171</v>
      </c>
      <c r="I45" t="s">
        <v>21</v>
      </c>
      <c r="J45" t="s">
        <v>73</v>
      </c>
      <c r="K45" t="s">
        <v>49</v>
      </c>
      <c r="L45" t="s">
        <v>33</v>
      </c>
      <c r="N45">
        <v>1537</v>
      </c>
      <c r="O45" t="s">
        <v>281</v>
      </c>
      <c r="P45" s="6">
        <v>6.2</v>
      </c>
      <c r="Q45" t="e">
        <f>P45/M45</f>
        <v>#DIV/0!</v>
      </c>
      <c r="R45" t="str">
        <f>IF(ISNUMBER(Q45),Q45,"")</f>
        <v/>
      </c>
      <c r="S45" t="s">
        <v>282</v>
      </c>
      <c r="T45" t="s">
        <v>25</v>
      </c>
    </row>
    <row r="46" spans="1:21" x14ac:dyDescent="0.35">
      <c r="A46">
        <v>89</v>
      </c>
      <c r="B46" t="s">
        <v>482</v>
      </c>
      <c r="C46" t="s">
        <v>25</v>
      </c>
      <c r="D46" t="s">
        <v>27</v>
      </c>
      <c r="E46" t="s">
        <v>483</v>
      </c>
      <c r="F46" t="s">
        <v>484</v>
      </c>
      <c r="G46">
        <v>2015</v>
      </c>
      <c r="H46" t="s">
        <v>486</v>
      </c>
      <c r="I46" t="s">
        <v>21</v>
      </c>
      <c r="J46" t="s">
        <v>485</v>
      </c>
      <c r="K46" t="s">
        <v>22</v>
      </c>
      <c r="L46" t="s">
        <v>33</v>
      </c>
      <c r="M46" t="s">
        <v>33</v>
      </c>
      <c r="N46">
        <v>136</v>
      </c>
      <c r="O46" t="s">
        <v>33</v>
      </c>
      <c r="P46" s="6" t="s">
        <v>33</v>
      </c>
      <c r="Q46" t="s">
        <v>25</v>
      </c>
    </row>
    <row r="47" spans="1:21" x14ac:dyDescent="0.35">
      <c r="A47">
        <v>57</v>
      </c>
      <c r="B47" t="s">
        <v>347</v>
      </c>
      <c r="C47" t="s">
        <v>25</v>
      </c>
      <c r="D47" t="s">
        <v>27</v>
      </c>
      <c r="E47" t="s">
        <v>348</v>
      </c>
      <c r="F47" t="s">
        <v>349</v>
      </c>
      <c r="G47">
        <v>2016</v>
      </c>
      <c r="H47" t="s">
        <v>350</v>
      </c>
      <c r="I47" t="s">
        <v>21</v>
      </c>
      <c r="J47" t="s">
        <v>351</v>
      </c>
      <c r="L47" t="s">
        <v>352</v>
      </c>
      <c r="M47">
        <v>41</v>
      </c>
      <c r="P47" s="6">
        <v>4.29</v>
      </c>
      <c r="Q47">
        <f>P47/M47</f>
        <v>0.10463414634146341</v>
      </c>
      <c r="R47">
        <f>IF(ISNUMBER(Q47),Q47,"")</f>
        <v>0.10463414634146341</v>
      </c>
      <c r="S47" t="s">
        <v>353</v>
      </c>
      <c r="T47" t="s">
        <v>25</v>
      </c>
    </row>
    <row r="48" spans="1:21" s="5" customFormat="1" x14ac:dyDescent="0.35">
      <c r="A48">
        <v>73</v>
      </c>
      <c r="B48" t="s">
        <v>419</v>
      </c>
      <c r="C48" t="s">
        <v>25</v>
      </c>
      <c r="D48" t="s">
        <v>27</v>
      </c>
      <c r="E48" t="s">
        <v>427</v>
      </c>
      <c r="F48" t="s">
        <v>420</v>
      </c>
      <c r="G48">
        <v>2016</v>
      </c>
      <c r="H48" t="s">
        <v>109</v>
      </c>
      <c r="I48" t="s">
        <v>21</v>
      </c>
      <c r="J48" t="s">
        <v>421</v>
      </c>
      <c r="K48" t="s">
        <v>22</v>
      </c>
      <c r="L48" t="s">
        <v>33</v>
      </c>
      <c r="M48">
        <v>386</v>
      </c>
      <c r="N48"/>
      <c r="P48" s="6">
        <v>4.3099999999999996</v>
      </c>
      <c r="Q48" s="6" t="s">
        <v>422</v>
      </c>
      <c r="R48" t="s">
        <v>25</v>
      </c>
      <c r="S48"/>
      <c r="T48"/>
      <c r="U48"/>
    </row>
    <row r="49" spans="1:21" x14ac:dyDescent="0.35">
      <c r="A49">
        <v>82</v>
      </c>
      <c r="B49" t="s">
        <v>457</v>
      </c>
      <c r="C49" t="s">
        <v>25</v>
      </c>
      <c r="D49" t="s">
        <v>27</v>
      </c>
      <c r="E49" t="s">
        <v>458</v>
      </c>
      <c r="F49" t="s">
        <v>46</v>
      </c>
      <c r="G49">
        <v>2016</v>
      </c>
      <c r="H49" t="s">
        <v>459</v>
      </c>
      <c r="I49" t="s">
        <v>21</v>
      </c>
      <c r="J49" t="s">
        <v>463</v>
      </c>
      <c r="K49" t="s">
        <v>460</v>
      </c>
      <c r="L49" t="s">
        <v>461</v>
      </c>
      <c r="M49">
        <v>67</v>
      </c>
      <c r="N49">
        <v>537</v>
      </c>
      <c r="O49" t="s">
        <v>33</v>
      </c>
      <c r="P49" s="6" t="s">
        <v>33</v>
      </c>
      <c r="Q49" t="s">
        <v>25</v>
      </c>
      <c r="R49" t="s">
        <v>462</v>
      </c>
    </row>
    <row r="50" spans="1:21" x14ac:dyDescent="0.35">
      <c r="A50">
        <v>3</v>
      </c>
      <c r="B50" s="1" t="s">
        <v>35</v>
      </c>
      <c r="C50" t="s">
        <v>25</v>
      </c>
      <c r="D50" t="s">
        <v>27</v>
      </c>
      <c r="E50" s="2" t="s">
        <v>36</v>
      </c>
      <c r="F50" t="s">
        <v>37</v>
      </c>
      <c r="G50">
        <v>2017</v>
      </c>
      <c r="H50" t="s">
        <v>38</v>
      </c>
      <c r="I50" t="s">
        <v>21</v>
      </c>
      <c r="J50" t="s">
        <v>39</v>
      </c>
      <c r="K50" t="s">
        <v>33</v>
      </c>
      <c r="L50" t="s">
        <v>33</v>
      </c>
      <c r="N50">
        <v>2001</v>
      </c>
      <c r="O50" t="s">
        <v>40</v>
      </c>
      <c r="P50" s="6" t="s">
        <v>41</v>
      </c>
      <c r="Q50" t="e">
        <f>P50/M50</f>
        <v>#VALUE!</v>
      </c>
      <c r="R50" t="str">
        <f>IF(ISNUMBER(Q50),Q50,"")</f>
        <v/>
      </c>
      <c r="S50" t="s">
        <v>42</v>
      </c>
      <c r="T50" t="s">
        <v>43</v>
      </c>
    </row>
    <row r="51" spans="1:21" x14ac:dyDescent="0.35">
      <c r="A51">
        <v>20.100000000000001</v>
      </c>
      <c r="B51" t="s">
        <v>145</v>
      </c>
      <c r="C51" t="s">
        <v>25</v>
      </c>
      <c r="D51" t="s">
        <v>27</v>
      </c>
      <c r="E51" t="s">
        <v>146</v>
      </c>
      <c r="F51" t="s">
        <v>147</v>
      </c>
      <c r="G51">
        <v>2017</v>
      </c>
      <c r="H51" t="s">
        <v>148</v>
      </c>
      <c r="I51" t="s">
        <v>21</v>
      </c>
      <c r="L51" t="s">
        <v>33</v>
      </c>
      <c r="N51">
        <v>2167</v>
      </c>
      <c r="P51" s="6">
        <v>7.2</v>
      </c>
      <c r="Q51" t="e">
        <f>P51/M51</f>
        <v>#DIV/0!</v>
      </c>
      <c r="R51" t="str">
        <f>IF(ISNUMBER(Q51),Q51,"")</f>
        <v/>
      </c>
      <c r="S51" t="s">
        <v>33</v>
      </c>
      <c r="T51" t="s">
        <v>25</v>
      </c>
    </row>
    <row r="52" spans="1:21" x14ac:dyDescent="0.35">
      <c r="A52">
        <v>50</v>
      </c>
      <c r="B52" s="1" t="s">
        <v>35</v>
      </c>
      <c r="C52" t="s">
        <v>25</v>
      </c>
      <c r="D52" t="s">
        <v>27</v>
      </c>
      <c r="E52" t="s">
        <v>312</v>
      </c>
      <c r="F52" t="s">
        <v>313</v>
      </c>
      <c r="G52">
        <v>2017</v>
      </c>
      <c r="H52" t="s">
        <v>171</v>
      </c>
      <c r="I52" t="s">
        <v>21</v>
      </c>
      <c r="J52" t="s">
        <v>314</v>
      </c>
      <c r="K52" t="s">
        <v>49</v>
      </c>
      <c r="L52" t="s">
        <v>115</v>
      </c>
      <c r="M52">
        <f>90-18</f>
        <v>72</v>
      </c>
      <c r="N52">
        <v>2001</v>
      </c>
      <c r="O52" t="s">
        <v>315</v>
      </c>
      <c r="P52" s="6">
        <v>5.01</v>
      </c>
      <c r="Q52">
        <f>P52/M52</f>
        <v>6.958333333333333E-2</v>
      </c>
      <c r="R52">
        <f>IF(ISNUMBER(Q52),Q52,"")</f>
        <v>6.958333333333333E-2</v>
      </c>
      <c r="S52" t="s">
        <v>206</v>
      </c>
      <c r="T52" t="s">
        <v>25</v>
      </c>
    </row>
    <row r="53" spans="1:21" x14ac:dyDescent="0.35">
      <c r="A53">
        <v>77</v>
      </c>
      <c r="B53" s="9" t="s">
        <v>145</v>
      </c>
      <c r="C53" t="s">
        <v>25</v>
      </c>
      <c r="D53" t="s">
        <v>27</v>
      </c>
      <c r="E53" t="s">
        <v>444</v>
      </c>
      <c r="F53" t="s">
        <v>445</v>
      </c>
      <c r="G53">
        <v>2017</v>
      </c>
      <c r="H53" t="s">
        <v>171</v>
      </c>
      <c r="I53" t="s">
        <v>21</v>
      </c>
      <c r="J53" t="s">
        <v>73</v>
      </c>
      <c r="K53" t="s">
        <v>49</v>
      </c>
      <c r="L53" t="s">
        <v>115</v>
      </c>
      <c r="N53">
        <v>2001</v>
      </c>
      <c r="P53" s="6">
        <v>5.01</v>
      </c>
      <c r="Q53" t="s">
        <v>446</v>
      </c>
      <c r="R53" t="s">
        <v>25</v>
      </c>
    </row>
    <row r="54" spans="1:21" x14ac:dyDescent="0.35">
      <c r="A54">
        <v>97</v>
      </c>
      <c r="B54" t="s">
        <v>516</v>
      </c>
      <c r="C54" t="s">
        <v>25</v>
      </c>
      <c r="D54" t="s">
        <v>27</v>
      </c>
      <c r="E54" t="s">
        <v>517</v>
      </c>
      <c r="F54" t="s">
        <v>378</v>
      </c>
      <c r="G54">
        <v>2017</v>
      </c>
      <c r="H54" t="s">
        <v>340</v>
      </c>
      <c r="I54" t="s">
        <v>21</v>
      </c>
      <c r="J54" t="s">
        <v>341</v>
      </c>
      <c r="K54" t="s">
        <v>22</v>
      </c>
      <c r="L54" t="s">
        <v>518</v>
      </c>
      <c r="N54">
        <v>70</v>
      </c>
      <c r="O54" t="s">
        <v>33</v>
      </c>
      <c r="P54" s="6" t="s">
        <v>33</v>
      </c>
      <c r="Q54" t="s">
        <v>25</v>
      </c>
    </row>
    <row r="55" spans="1:21" x14ac:dyDescent="0.35">
      <c r="A55">
        <v>29</v>
      </c>
      <c r="B55" s="1" t="s">
        <v>35</v>
      </c>
      <c r="C55" t="s">
        <v>25</v>
      </c>
      <c r="D55" t="s">
        <v>27</v>
      </c>
      <c r="E55" t="s">
        <v>203</v>
      </c>
      <c r="F55" t="s">
        <v>59</v>
      </c>
      <c r="G55">
        <v>2018</v>
      </c>
      <c r="H55" t="s">
        <v>171</v>
      </c>
      <c r="I55" t="s">
        <v>21</v>
      </c>
      <c r="J55" t="s">
        <v>204</v>
      </c>
      <c r="K55" t="s">
        <v>49</v>
      </c>
      <c r="L55" t="s">
        <v>115</v>
      </c>
      <c r="M55">
        <v>72</v>
      </c>
      <c r="N55">
        <v>2001</v>
      </c>
      <c r="O55" t="s">
        <v>205</v>
      </c>
      <c r="P55" s="6">
        <v>5.0199999999999996</v>
      </c>
      <c r="Q55">
        <f t="shared" ref="Q55:Q65" si="0">P55/M55</f>
        <v>6.9722222222222213E-2</v>
      </c>
      <c r="R55">
        <f t="shared" ref="R55:R65" si="1">IF(ISNUMBER(Q55),Q55,"")</f>
        <v>6.9722222222222213E-2</v>
      </c>
      <c r="S55" t="s">
        <v>206</v>
      </c>
      <c r="T55" t="s">
        <v>25</v>
      </c>
    </row>
    <row r="56" spans="1:21" x14ac:dyDescent="0.35">
      <c r="A56">
        <v>34</v>
      </c>
      <c r="B56" t="s">
        <v>228</v>
      </c>
      <c r="C56" t="s">
        <v>25</v>
      </c>
      <c r="D56" t="s">
        <v>27</v>
      </c>
      <c r="E56" t="s">
        <v>229</v>
      </c>
      <c r="F56" t="s">
        <v>108</v>
      </c>
      <c r="G56">
        <v>2018</v>
      </c>
      <c r="H56" t="s">
        <v>72</v>
      </c>
      <c r="I56" t="s">
        <v>21</v>
      </c>
      <c r="J56" t="s">
        <v>31</v>
      </c>
      <c r="K56" t="s">
        <v>49</v>
      </c>
      <c r="L56" t="s">
        <v>230</v>
      </c>
      <c r="M56">
        <v>74</v>
      </c>
      <c r="N56">
        <v>2003</v>
      </c>
      <c r="O56" t="s">
        <v>231</v>
      </c>
      <c r="P56" s="6">
        <v>5.08</v>
      </c>
      <c r="Q56">
        <f t="shared" si="0"/>
        <v>6.8648648648648655E-2</v>
      </c>
      <c r="R56">
        <f t="shared" si="1"/>
        <v>6.8648648648648655E-2</v>
      </c>
      <c r="S56" t="s">
        <v>33</v>
      </c>
      <c r="T56" t="s">
        <v>25</v>
      </c>
      <c r="U56" t="s">
        <v>232</v>
      </c>
    </row>
    <row r="57" spans="1:21" x14ac:dyDescent="0.35">
      <c r="A57">
        <v>37</v>
      </c>
      <c r="B57" t="s">
        <v>244</v>
      </c>
      <c r="C57" t="s">
        <v>25</v>
      </c>
      <c r="D57" t="s">
        <v>27</v>
      </c>
      <c r="E57" t="s">
        <v>245</v>
      </c>
      <c r="F57" t="s">
        <v>108</v>
      </c>
      <c r="G57">
        <v>2018</v>
      </c>
      <c r="H57" t="s">
        <v>246</v>
      </c>
      <c r="I57" t="s">
        <v>21</v>
      </c>
      <c r="J57" t="s">
        <v>73</v>
      </c>
      <c r="K57" t="s">
        <v>247</v>
      </c>
      <c r="N57">
        <v>547</v>
      </c>
      <c r="P57" s="6" t="s">
        <v>33</v>
      </c>
      <c r="Q57" t="e">
        <f t="shared" si="0"/>
        <v>#VALUE!</v>
      </c>
      <c r="R57" t="str">
        <f t="shared" si="1"/>
        <v/>
      </c>
      <c r="S57" t="s">
        <v>33</v>
      </c>
      <c r="T57" t="s">
        <v>25</v>
      </c>
      <c r="U57" t="s">
        <v>248</v>
      </c>
    </row>
    <row r="58" spans="1:21" s="10" customFormat="1" x14ac:dyDescent="0.35">
      <c r="A58">
        <v>37</v>
      </c>
      <c r="B58" t="s">
        <v>387</v>
      </c>
      <c r="C58" t="s">
        <v>25</v>
      </c>
      <c r="D58" t="s">
        <v>27</v>
      </c>
      <c r="E58" t="s">
        <v>417</v>
      </c>
      <c r="F58" t="s">
        <v>108</v>
      </c>
      <c r="G58">
        <v>2018</v>
      </c>
      <c r="H58" t="s">
        <v>109</v>
      </c>
      <c r="I58" t="s">
        <v>21</v>
      </c>
      <c r="J58" t="s">
        <v>341</v>
      </c>
      <c r="K58"/>
      <c r="L58" t="s">
        <v>219</v>
      </c>
      <c r="M58">
        <f>60-18</f>
        <v>42</v>
      </c>
      <c r="N58">
        <v>475</v>
      </c>
      <c r="O58"/>
      <c r="P58" s="6">
        <v>5.0999999999999996</v>
      </c>
      <c r="Q58">
        <f t="shared" si="0"/>
        <v>0.12142857142857141</v>
      </c>
      <c r="R58">
        <f t="shared" si="1"/>
        <v>0.12142857142857141</v>
      </c>
      <c r="S58" t="s">
        <v>418</v>
      </c>
      <c r="T58" t="s">
        <v>25</v>
      </c>
      <c r="U58"/>
    </row>
    <row r="59" spans="1:21" x14ac:dyDescent="0.35">
      <c r="A59">
        <v>43</v>
      </c>
      <c r="B59" t="s">
        <v>76</v>
      </c>
      <c r="C59" t="s">
        <v>25</v>
      </c>
      <c r="D59" t="s">
        <v>27</v>
      </c>
      <c r="E59" t="s">
        <v>277</v>
      </c>
      <c r="F59" t="s">
        <v>278</v>
      </c>
      <c r="G59">
        <v>2018</v>
      </c>
      <c r="H59" t="s">
        <v>109</v>
      </c>
      <c r="I59" t="s">
        <v>21</v>
      </c>
      <c r="K59" t="s">
        <v>279</v>
      </c>
      <c r="L59" t="s">
        <v>33</v>
      </c>
      <c r="N59">
        <v>385</v>
      </c>
      <c r="P59" s="6">
        <v>4.0199999999999996</v>
      </c>
      <c r="Q59" t="e">
        <f t="shared" si="0"/>
        <v>#DIV/0!</v>
      </c>
      <c r="R59" t="str">
        <f t="shared" si="1"/>
        <v/>
      </c>
      <c r="S59" t="s">
        <v>33</v>
      </c>
      <c r="T59" t="s">
        <v>25</v>
      </c>
    </row>
    <row r="60" spans="1:21" s="11" customFormat="1" x14ac:dyDescent="0.35">
      <c r="A60">
        <v>45</v>
      </c>
      <c r="B60" t="s">
        <v>283</v>
      </c>
      <c r="C60" t="s">
        <v>25</v>
      </c>
      <c r="D60" t="s">
        <v>27</v>
      </c>
      <c r="E60" t="s">
        <v>284</v>
      </c>
      <c r="F60" t="s">
        <v>285</v>
      </c>
      <c r="G60">
        <v>2018</v>
      </c>
      <c r="H60" t="s">
        <v>101</v>
      </c>
      <c r="I60" t="s">
        <v>21</v>
      </c>
      <c r="J60" t="s">
        <v>286</v>
      </c>
      <c r="K60" t="s">
        <v>287</v>
      </c>
      <c r="L60" t="s">
        <v>288</v>
      </c>
      <c r="M60">
        <v>69</v>
      </c>
      <c r="N60">
        <v>612</v>
      </c>
      <c r="O60" t="s">
        <v>289</v>
      </c>
      <c r="P60" s="6">
        <v>6.14</v>
      </c>
      <c r="Q60">
        <f t="shared" si="0"/>
        <v>8.8985507246376813E-2</v>
      </c>
      <c r="R60">
        <f t="shared" si="1"/>
        <v>8.8985507246376813E-2</v>
      </c>
      <c r="S60" t="s">
        <v>290</v>
      </c>
      <c r="T60" t="s">
        <v>25</v>
      </c>
      <c r="U60"/>
    </row>
    <row r="61" spans="1:21" x14ac:dyDescent="0.35">
      <c r="A61">
        <v>48</v>
      </c>
      <c r="B61" t="s">
        <v>301</v>
      </c>
      <c r="C61" t="s">
        <v>25</v>
      </c>
      <c r="D61" t="s">
        <v>27</v>
      </c>
      <c r="E61" t="s">
        <v>302</v>
      </c>
      <c r="F61" t="s">
        <v>108</v>
      </c>
      <c r="G61">
        <v>2018</v>
      </c>
      <c r="H61" t="s">
        <v>303</v>
      </c>
      <c r="I61" t="s">
        <v>191</v>
      </c>
      <c r="J61" t="s">
        <v>304</v>
      </c>
      <c r="K61" t="s">
        <v>305</v>
      </c>
      <c r="N61">
        <v>468</v>
      </c>
      <c r="O61" t="s">
        <v>306</v>
      </c>
      <c r="P61" s="6">
        <v>6.87</v>
      </c>
      <c r="Q61" t="e">
        <f t="shared" si="0"/>
        <v>#DIV/0!</v>
      </c>
      <c r="R61" t="str">
        <f t="shared" si="1"/>
        <v/>
      </c>
      <c r="S61">
        <v>0.37</v>
      </c>
      <c r="T61" t="s">
        <v>25</v>
      </c>
    </row>
    <row r="62" spans="1:21" x14ac:dyDescent="0.35">
      <c r="A62">
        <v>49</v>
      </c>
      <c r="B62" t="s">
        <v>307</v>
      </c>
      <c r="C62" t="s">
        <v>25</v>
      </c>
      <c r="D62" t="s">
        <v>27</v>
      </c>
      <c r="E62" t="s">
        <v>308</v>
      </c>
      <c r="F62" t="s">
        <v>108</v>
      </c>
      <c r="G62">
        <v>2018</v>
      </c>
      <c r="H62" t="s">
        <v>33</v>
      </c>
      <c r="I62" t="s">
        <v>21</v>
      </c>
      <c r="J62" t="s">
        <v>309</v>
      </c>
      <c r="K62" t="s">
        <v>279</v>
      </c>
      <c r="L62" t="s">
        <v>310</v>
      </c>
      <c r="M62">
        <v>54</v>
      </c>
      <c r="N62">
        <v>598</v>
      </c>
      <c r="P62" s="6" t="s">
        <v>33</v>
      </c>
      <c r="Q62" t="e">
        <f t="shared" si="0"/>
        <v>#VALUE!</v>
      </c>
      <c r="R62" t="str">
        <f t="shared" si="1"/>
        <v/>
      </c>
      <c r="S62" t="s">
        <v>311</v>
      </c>
      <c r="T62" t="s">
        <v>25</v>
      </c>
    </row>
    <row r="63" spans="1:21" x14ac:dyDescent="0.35">
      <c r="A63" s="10">
        <v>56</v>
      </c>
      <c r="B63" s="10" t="s">
        <v>343</v>
      </c>
      <c r="C63" s="10" t="s">
        <v>25</v>
      </c>
      <c r="D63" s="10" t="s">
        <v>27</v>
      </c>
      <c r="E63" s="10" t="s">
        <v>344</v>
      </c>
      <c r="F63" s="10" t="s">
        <v>108</v>
      </c>
      <c r="G63" s="10">
        <v>2018</v>
      </c>
      <c r="H63" s="10" t="s">
        <v>171</v>
      </c>
      <c r="I63" s="10" t="s">
        <v>21</v>
      </c>
      <c r="J63" s="10" t="s">
        <v>142</v>
      </c>
      <c r="K63" s="10" t="s">
        <v>22</v>
      </c>
      <c r="L63" s="10" t="s">
        <v>345</v>
      </c>
      <c r="M63" s="10">
        <v>46</v>
      </c>
      <c r="N63" s="10">
        <v>1895</v>
      </c>
      <c r="O63" s="10" t="s">
        <v>346</v>
      </c>
      <c r="P63" s="6">
        <v>4.1509999999999998</v>
      </c>
      <c r="Q63">
        <f t="shared" si="0"/>
        <v>9.02391304347826E-2</v>
      </c>
      <c r="R63">
        <f t="shared" si="1"/>
        <v>9.02391304347826E-2</v>
      </c>
      <c r="S63" s="10" t="s">
        <v>33</v>
      </c>
      <c r="T63" s="10" t="s">
        <v>25</v>
      </c>
      <c r="U63" s="10"/>
    </row>
    <row r="64" spans="1:21" x14ac:dyDescent="0.35">
      <c r="A64">
        <v>64</v>
      </c>
      <c r="B64" t="s">
        <v>383</v>
      </c>
      <c r="C64" t="s">
        <v>25</v>
      </c>
      <c r="D64" t="s">
        <v>27</v>
      </c>
      <c r="E64" t="s">
        <v>384</v>
      </c>
      <c r="F64" t="s">
        <v>85</v>
      </c>
      <c r="G64">
        <v>2018</v>
      </c>
      <c r="H64" t="s">
        <v>109</v>
      </c>
      <c r="I64" t="s">
        <v>21</v>
      </c>
      <c r="J64" t="s">
        <v>385</v>
      </c>
      <c r="K64" t="s">
        <v>49</v>
      </c>
      <c r="L64" t="s">
        <v>33</v>
      </c>
      <c r="N64">
        <f>765+588+177</f>
        <v>1530</v>
      </c>
      <c r="R64" t="s">
        <v>386</v>
      </c>
      <c r="S64" s="6"/>
      <c r="T64" t="e">
        <f>S64/M64</f>
        <v>#DIV/0!</v>
      </c>
    </row>
    <row r="65" spans="1:21" x14ac:dyDescent="0.35">
      <c r="A65">
        <v>65</v>
      </c>
      <c r="B65" t="s">
        <v>387</v>
      </c>
      <c r="C65" t="s">
        <v>25</v>
      </c>
      <c r="D65" t="s">
        <v>27</v>
      </c>
      <c r="E65" t="s">
        <v>388</v>
      </c>
      <c r="F65" t="s">
        <v>100</v>
      </c>
      <c r="G65">
        <v>2018</v>
      </c>
      <c r="H65" t="s">
        <v>109</v>
      </c>
      <c r="I65" t="s">
        <v>21</v>
      </c>
      <c r="J65" t="s">
        <v>389</v>
      </c>
      <c r="K65" t="s">
        <v>22</v>
      </c>
      <c r="L65" t="s">
        <v>390</v>
      </c>
      <c r="M65">
        <f>67-18</f>
        <v>49</v>
      </c>
      <c r="N65">
        <v>480</v>
      </c>
      <c r="O65" t="s">
        <v>392</v>
      </c>
      <c r="P65" s="6">
        <v>5.34</v>
      </c>
      <c r="Q65">
        <f t="shared" si="0"/>
        <v>0.1089795918367347</v>
      </c>
      <c r="R65">
        <f t="shared" si="1"/>
        <v>0.1089795918367347</v>
      </c>
      <c r="S65" t="s">
        <v>391</v>
      </c>
      <c r="T65" t="s">
        <v>25</v>
      </c>
    </row>
    <row r="66" spans="1:21" x14ac:dyDescent="0.35">
      <c r="A66">
        <v>68</v>
      </c>
      <c r="B66" t="s">
        <v>402</v>
      </c>
      <c r="C66" t="s">
        <v>25</v>
      </c>
      <c r="D66" t="s">
        <v>27</v>
      </c>
      <c r="E66" t="s">
        <v>403</v>
      </c>
      <c r="F66" t="s">
        <v>404</v>
      </c>
      <c r="G66">
        <v>2018</v>
      </c>
      <c r="H66" t="s">
        <v>340</v>
      </c>
      <c r="I66" t="s">
        <v>21</v>
      </c>
      <c r="J66" t="s">
        <v>341</v>
      </c>
      <c r="L66" t="s">
        <v>405</v>
      </c>
      <c r="M66">
        <f>86-19</f>
        <v>67</v>
      </c>
      <c r="N66" t="s">
        <v>406</v>
      </c>
      <c r="O66" t="s">
        <v>407</v>
      </c>
      <c r="T66" t="s">
        <v>25</v>
      </c>
    </row>
    <row r="67" spans="1:21" x14ac:dyDescent="0.35">
      <c r="A67">
        <v>72</v>
      </c>
      <c r="B67" t="s">
        <v>387</v>
      </c>
      <c r="C67" t="s">
        <v>25</v>
      </c>
      <c r="D67" t="s">
        <v>27</v>
      </c>
      <c r="E67" t="s">
        <v>417</v>
      </c>
      <c r="F67" t="s">
        <v>108</v>
      </c>
      <c r="G67">
        <v>2018</v>
      </c>
      <c r="H67" t="s">
        <v>109</v>
      </c>
      <c r="I67" t="s">
        <v>21</v>
      </c>
      <c r="J67" t="s">
        <v>341</v>
      </c>
      <c r="L67" t="s">
        <v>219</v>
      </c>
      <c r="M67">
        <v>475</v>
      </c>
      <c r="P67" s="6">
        <v>5.0999999999999996</v>
      </c>
      <c r="Q67" s="6" t="s">
        <v>418</v>
      </c>
      <c r="R67" t="s">
        <v>25</v>
      </c>
    </row>
    <row r="68" spans="1:21" x14ac:dyDescent="0.35">
      <c r="A68">
        <v>86</v>
      </c>
      <c r="B68" t="s">
        <v>381</v>
      </c>
      <c r="C68" t="s">
        <v>25</v>
      </c>
      <c r="D68" t="s">
        <v>27</v>
      </c>
      <c r="E68" t="s">
        <v>472</v>
      </c>
      <c r="F68" t="s">
        <v>473</v>
      </c>
      <c r="G68">
        <v>2018</v>
      </c>
      <c r="H68" t="s">
        <v>210</v>
      </c>
      <c r="I68" t="s">
        <v>21</v>
      </c>
      <c r="J68" t="s">
        <v>33</v>
      </c>
      <c r="K68" t="s">
        <v>474</v>
      </c>
      <c r="L68" s="4" t="s">
        <v>475</v>
      </c>
      <c r="M68">
        <v>18</v>
      </c>
      <c r="N68">
        <v>953</v>
      </c>
      <c r="O68">
        <v>1.69</v>
      </c>
      <c r="P68" s="6" t="s">
        <v>476</v>
      </c>
    </row>
    <row r="69" spans="1:21" x14ac:dyDescent="0.35">
      <c r="A69">
        <v>91</v>
      </c>
      <c r="B69" t="s">
        <v>491</v>
      </c>
      <c r="C69" t="s">
        <v>25</v>
      </c>
      <c r="D69" t="s">
        <v>27</v>
      </c>
      <c r="E69" t="s">
        <v>492</v>
      </c>
      <c r="F69" t="s">
        <v>85</v>
      </c>
      <c r="G69">
        <v>2018</v>
      </c>
      <c r="H69" t="s">
        <v>495</v>
      </c>
      <c r="I69" t="s">
        <v>21</v>
      </c>
      <c r="J69" t="s">
        <v>493</v>
      </c>
      <c r="K69" t="s">
        <v>22</v>
      </c>
      <c r="L69" s="4" t="s">
        <v>496</v>
      </c>
      <c r="M69">
        <v>70</v>
      </c>
      <c r="N69">
        <v>155</v>
      </c>
      <c r="O69">
        <v>5.89</v>
      </c>
      <c r="P69" s="6" t="s">
        <v>33</v>
      </c>
      <c r="Q69" t="s">
        <v>25</v>
      </c>
      <c r="R69" t="s">
        <v>494</v>
      </c>
    </row>
    <row r="70" spans="1:21" x14ac:dyDescent="0.35">
      <c r="A70">
        <v>1</v>
      </c>
      <c r="B70" t="s">
        <v>17</v>
      </c>
      <c r="C70" t="s">
        <v>25</v>
      </c>
      <c r="D70" t="s">
        <v>27</v>
      </c>
      <c r="E70" t="s">
        <v>18</v>
      </c>
      <c r="F70" t="s">
        <v>19</v>
      </c>
      <c r="G70">
        <v>2019</v>
      </c>
      <c r="H70" t="s">
        <v>20</v>
      </c>
      <c r="I70" t="s">
        <v>21</v>
      </c>
      <c r="J70" t="s">
        <v>24</v>
      </c>
      <c r="K70" t="s">
        <v>22</v>
      </c>
      <c r="L70" t="s">
        <v>23</v>
      </c>
      <c r="M70">
        <f>83-18</f>
        <v>65</v>
      </c>
      <c r="N70">
        <v>50</v>
      </c>
      <c r="P70" s="6">
        <v>0.67</v>
      </c>
      <c r="Q70">
        <f t="shared" ref="Q70:Q75" si="2">P70/M70</f>
        <v>1.0307692307692308E-2</v>
      </c>
      <c r="R70">
        <f t="shared" ref="R70:R75" si="3">IF(ISNUMBER(Q70),Q70,"")</f>
        <v>1.0307692307692308E-2</v>
      </c>
      <c r="T70" t="s">
        <v>25</v>
      </c>
    </row>
    <row r="71" spans="1:21" x14ac:dyDescent="0.35">
      <c r="A71">
        <v>2</v>
      </c>
      <c r="B71" t="s">
        <v>26</v>
      </c>
      <c r="C71" t="s">
        <v>25</v>
      </c>
      <c r="D71" t="s">
        <v>27</v>
      </c>
      <c r="E71" t="s">
        <v>28</v>
      </c>
      <c r="F71" t="s">
        <v>29</v>
      </c>
      <c r="G71">
        <v>2019</v>
      </c>
      <c r="H71" t="s">
        <v>30</v>
      </c>
      <c r="I71" t="s">
        <v>21</v>
      </c>
      <c r="J71" t="s">
        <v>31</v>
      </c>
      <c r="K71" t="s">
        <v>32</v>
      </c>
      <c r="L71" t="s">
        <v>33</v>
      </c>
      <c r="N71">
        <v>341</v>
      </c>
      <c r="O71" t="s">
        <v>34</v>
      </c>
      <c r="P71" s="6">
        <v>2.92</v>
      </c>
      <c r="Q71" t="e">
        <f t="shared" si="2"/>
        <v>#DIV/0!</v>
      </c>
      <c r="R71" t="str">
        <f t="shared" si="3"/>
        <v/>
      </c>
      <c r="S71">
        <v>0.75</v>
      </c>
      <c r="T71" t="s">
        <v>25</v>
      </c>
    </row>
    <row r="72" spans="1:21" x14ac:dyDescent="0.35">
      <c r="A72">
        <v>5</v>
      </c>
      <c r="B72" t="s">
        <v>51</v>
      </c>
      <c r="C72" t="s">
        <v>25</v>
      </c>
      <c r="D72" t="s">
        <v>27</v>
      </c>
      <c r="E72" t="s">
        <v>52</v>
      </c>
      <c r="F72" t="s">
        <v>53</v>
      </c>
      <c r="G72">
        <v>2019</v>
      </c>
      <c r="H72" t="s">
        <v>38</v>
      </c>
      <c r="I72" t="s">
        <v>21</v>
      </c>
      <c r="J72" t="s">
        <v>54</v>
      </c>
      <c r="K72" t="s">
        <v>55</v>
      </c>
      <c r="L72" t="s">
        <v>56</v>
      </c>
      <c r="M72">
        <f>75-18</f>
        <v>57</v>
      </c>
      <c r="N72">
        <v>1264</v>
      </c>
      <c r="O72" t="s">
        <v>57</v>
      </c>
      <c r="P72" s="6">
        <v>4</v>
      </c>
      <c r="Q72">
        <f t="shared" si="2"/>
        <v>7.0175438596491224E-2</v>
      </c>
      <c r="R72">
        <f t="shared" si="3"/>
        <v>7.0175438596491224E-2</v>
      </c>
      <c r="S72">
        <v>0.81</v>
      </c>
      <c r="T72" t="s">
        <v>25</v>
      </c>
    </row>
    <row r="73" spans="1:21" x14ac:dyDescent="0.35">
      <c r="A73">
        <v>7</v>
      </c>
      <c r="B73" t="s">
        <v>62</v>
      </c>
      <c r="C73" t="s">
        <v>25</v>
      </c>
      <c r="D73" t="s">
        <v>27</v>
      </c>
      <c r="E73" t="s">
        <v>63</v>
      </c>
      <c r="F73" t="s">
        <v>37</v>
      </c>
      <c r="G73">
        <v>2019</v>
      </c>
      <c r="H73" t="s">
        <v>64</v>
      </c>
      <c r="I73" t="s">
        <v>21</v>
      </c>
      <c r="J73" t="s">
        <v>65</v>
      </c>
      <c r="K73" t="s">
        <v>66</v>
      </c>
      <c r="L73" s="4" t="s">
        <v>67</v>
      </c>
      <c r="M73" s="13">
        <v>16.5</v>
      </c>
      <c r="N73">
        <v>869</v>
      </c>
      <c r="O73" t="s">
        <v>68</v>
      </c>
      <c r="P73" s="6">
        <v>2.4300000000000002</v>
      </c>
      <c r="Q73">
        <f t="shared" si="2"/>
        <v>0.14727272727272728</v>
      </c>
      <c r="R73">
        <f t="shared" si="3"/>
        <v>0.14727272727272728</v>
      </c>
      <c r="S73" t="s">
        <v>69</v>
      </c>
      <c r="T73" t="s">
        <v>25</v>
      </c>
    </row>
    <row r="74" spans="1:21" x14ac:dyDescent="0.35">
      <c r="A74">
        <v>8</v>
      </c>
      <c r="B74" t="s">
        <v>70</v>
      </c>
      <c r="C74" t="s">
        <v>25</v>
      </c>
      <c r="D74" t="s">
        <v>27</v>
      </c>
      <c r="E74" t="s">
        <v>71</v>
      </c>
      <c r="F74" t="s">
        <v>59</v>
      </c>
      <c r="G74">
        <v>2019</v>
      </c>
      <c r="H74" t="s">
        <v>72</v>
      </c>
      <c r="I74" t="s">
        <v>21</v>
      </c>
      <c r="J74" t="s">
        <v>73</v>
      </c>
      <c r="K74" t="s">
        <v>22</v>
      </c>
      <c r="L74" t="s">
        <v>74</v>
      </c>
      <c r="M74">
        <f>89-20</f>
        <v>69</v>
      </c>
      <c r="N74">
        <v>1196</v>
      </c>
      <c r="O74" t="s">
        <v>75</v>
      </c>
      <c r="P74" s="6">
        <v>5.28</v>
      </c>
      <c r="Q74">
        <f t="shared" si="2"/>
        <v>7.6521739130434779E-2</v>
      </c>
      <c r="R74">
        <f t="shared" si="3"/>
        <v>7.6521739130434779E-2</v>
      </c>
      <c r="S74">
        <v>0.9</v>
      </c>
      <c r="T74" t="s">
        <v>25</v>
      </c>
    </row>
    <row r="75" spans="1:21" x14ac:dyDescent="0.35">
      <c r="A75">
        <v>13</v>
      </c>
      <c r="B75" t="s">
        <v>106</v>
      </c>
      <c r="C75" t="s">
        <v>25</v>
      </c>
      <c r="D75" t="s">
        <v>27</v>
      </c>
      <c r="E75" t="s">
        <v>107</v>
      </c>
      <c r="F75" t="s">
        <v>108</v>
      </c>
      <c r="G75">
        <v>2019</v>
      </c>
      <c r="H75" t="s">
        <v>109</v>
      </c>
      <c r="I75" t="s">
        <v>21</v>
      </c>
      <c r="L75" t="s">
        <v>110</v>
      </c>
      <c r="M75">
        <f>80-20</f>
        <v>60</v>
      </c>
      <c r="N75">
        <v>1166</v>
      </c>
      <c r="O75" t="s">
        <v>68</v>
      </c>
      <c r="P75" s="6">
        <v>5.9</v>
      </c>
      <c r="Q75">
        <f t="shared" si="2"/>
        <v>9.8333333333333342E-2</v>
      </c>
      <c r="R75">
        <f t="shared" si="3"/>
        <v>9.8333333333333342E-2</v>
      </c>
    </row>
    <row r="76" spans="1:21" x14ac:dyDescent="0.35">
      <c r="A76">
        <v>24</v>
      </c>
      <c r="B76" t="s">
        <v>168</v>
      </c>
      <c r="C76" t="s">
        <v>25</v>
      </c>
      <c r="D76" t="s">
        <v>27</v>
      </c>
      <c r="E76" t="s">
        <v>169</v>
      </c>
      <c r="F76" t="s">
        <v>170</v>
      </c>
      <c r="G76">
        <v>2019</v>
      </c>
      <c r="H76" t="s">
        <v>171</v>
      </c>
      <c r="I76" t="s">
        <v>21</v>
      </c>
      <c r="J76" t="s">
        <v>172</v>
      </c>
      <c r="L76" t="s">
        <v>115</v>
      </c>
      <c r="M76">
        <f>72</f>
        <v>72</v>
      </c>
      <c r="N76">
        <v>2001</v>
      </c>
      <c r="O76" t="s">
        <v>173</v>
      </c>
      <c r="P76" s="6">
        <v>5.01</v>
      </c>
      <c r="Q76">
        <f t="shared" ref="Q76:Q84" si="4">P76/M76</f>
        <v>6.958333333333333E-2</v>
      </c>
      <c r="R76">
        <f t="shared" ref="R76:R84" si="5">IF(ISNUMBER(Q76),Q76,"")</f>
        <v>6.958333333333333E-2</v>
      </c>
      <c r="S76" t="s">
        <v>174</v>
      </c>
      <c r="T76" t="s">
        <v>25</v>
      </c>
    </row>
    <row r="77" spans="1:21" x14ac:dyDescent="0.35">
      <c r="A77">
        <v>26</v>
      </c>
      <c r="B77" t="s">
        <v>111</v>
      </c>
      <c r="C77" t="s">
        <v>25</v>
      </c>
      <c r="D77" t="s">
        <v>27</v>
      </c>
      <c r="E77" t="s">
        <v>184</v>
      </c>
      <c r="F77" t="s">
        <v>185</v>
      </c>
      <c r="G77">
        <v>2019</v>
      </c>
      <c r="H77" t="s">
        <v>178</v>
      </c>
      <c r="I77" t="s">
        <v>21</v>
      </c>
      <c r="J77" t="s">
        <v>31</v>
      </c>
      <c r="K77" t="s">
        <v>186</v>
      </c>
      <c r="N77">
        <v>420</v>
      </c>
      <c r="O77" t="s">
        <v>188</v>
      </c>
      <c r="P77" s="6">
        <v>3.1</v>
      </c>
      <c r="Q77" t="e">
        <f t="shared" si="4"/>
        <v>#DIV/0!</v>
      </c>
      <c r="R77" t="str">
        <f t="shared" si="5"/>
        <v/>
      </c>
      <c r="S77" t="s">
        <v>33</v>
      </c>
      <c r="T77" t="s">
        <v>25</v>
      </c>
      <c r="U77" t="s">
        <v>187</v>
      </c>
    </row>
    <row r="78" spans="1:21" x14ac:dyDescent="0.35">
      <c r="A78">
        <v>27</v>
      </c>
      <c r="B78" t="s">
        <v>189</v>
      </c>
      <c r="C78" t="s">
        <v>25</v>
      </c>
      <c r="D78" t="s">
        <v>27</v>
      </c>
      <c r="E78" t="s">
        <v>190</v>
      </c>
      <c r="F78" t="s">
        <v>46</v>
      </c>
      <c r="G78">
        <v>2019</v>
      </c>
      <c r="H78" t="s">
        <v>210</v>
      </c>
      <c r="I78" t="s">
        <v>191</v>
      </c>
      <c r="J78" t="s">
        <v>192</v>
      </c>
      <c r="K78" t="s">
        <v>193</v>
      </c>
      <c r="N78" s="8">
        <v>2365</v>
      </c>
      <c r="O78" t="s">
        <v>194</v>
      </c>
      <c r="P78" s="6">
        <v>7.8</v>
      </c>
      <c r="Q78" t="e">
        <f t="shared" si="4"/>
        <v>#DIV/0!</v>
      </c>
      <c r="R78" t="str">
        <f t="shared" si="5"/>
        <v/>
      </c>
      <c r="S78" t="s">
        <v>195</v>
      </c>
      <c r="T78" t="s">
        <v>25</v>
      </c>
      <c r="U78" t="s">
        <v>196</v>
      </c>
    </row>
    <row r="79" spans="1:21" x14ac:dyDescent="0.35">
      <c r="A79">
        <v>28</v>
      </c>
      <c r="B79" t="s">
        <v>197</v>
      </c>
      <c r="C79" t="s">
        <v>25</v>
      </c>
      <c r="D79" t="s">
        <v>27</v>
      </c>
      <c r="E79" t="s">
        <v>198</v>
      </c>
      <c r="F79" t="s">
        <v>113</v>
      </c>
      <c r="G79">
        <v>2019</v>
      </c>
      <c r="H79" t="s">
        <v>101</v>
      </c>
      <c r="I79" t="s">
        <v>21</v>
      </c>
      <c r="J79" t="s">
        <v>199</v>
      </c>
      <c r="K79" t="s">
        <v>49</v>
      </c>
      <c r="L79" s="4" t="s">
        <v>200</v>
      </c>
      <c r="M79" s="14">
        <f>95-12</f>
        <v>83</v>
      </c>
      <c r="N79" s="8">
        <v>2308</v>
      </c>
      <c r="O79" t="s">
        <v>201</v>
      </c>
      <c r="P79" s="6" t="s">
        <v>33</v>
      </c>
      <c r="Q79" t="e">
        <f t="shared" si="4"/>
        <v>#VALUE!</v>
      </c>
      <c r="R79" t="str">
        <f t="shared" si="5"/>
        <v/>
      </c>
      <c r="S79" t="s">
        <v>202</v>
      </c>
      <c r="T79" t="s">
        <v>25</v>
      </c>
    </row>
    <row r="80" spans="1:21" x14ac:dyDescent="0.35">
      <c r="A80">
        <v>38</v>
      </c>
      <c r="B80" t="s">
        <v>249</v>
      </c>
      <c r="C80" t="s">
        <v>25</v>
      </c>
      <c r="D80" t="s">
        <v>27</v>
      </c>
      <c r="E80" t="s">
        <v>250</v>
      </c>
      <c r="F80" t="s">
        <v>251</v>
      </c>
      <c r="G80">
        <v>2019</v>
      </c>
      <c r="H80" t="s">
        <v>20</v>
      </c>
      <c r="I80" t="s">
        <v>252</v>
      </c>
      <c r="J80" t="s">
        <v>253</v>
      </c>
      <c r="K80" t="s">
        <v>49</v>
      </c>
      <c r="L80" t="s">
        <v>254</v>
      </c>
      <c r="M80" s="14">
        <f>82-20</f>
        <v>62</v>
      </c>
      <c r="N80">
        <v>184</v>
      </c>
      <c r="O80" t="s">
        <v>255</v>
      </c>
      <c r="P80" s="6" t="s">
        <v>256</v>
      </c>
      <c r="Q80" t="e">
        <f t="shared" si="4"/>
        <v>#VALUE!</v>
      </c>
      <c r="R80" t="str">
        <f t="shared" si="5"/>
        <v/>
      </c>
      <c r="S80" t="s">
        <v>257</v>
      </c>
      <c r="T80" t="s">
        <v>25</v>
      </c>
      <c r="U80" t="s">
        <v>258</v>
      </c>
    </row>
    <row r="81" spans="1:21" s="10" customFormat="1" x14ac:dyDescent="0.35">
      <c r="A81">
        <v>43</v>
      </c>
      <c r="B81" t="s">
        <v>321</v>
      </c>
      <c r="C81" t="s">
        <v>25</v>
      </c>
      <c r="D81" t="s">
        <v>27</v>
      </c>
      <c r="E81" t="s">
        <v>413</v>
      </c>
      <c r="F81" t="s">
        <v>170</v>
      </c>
      <c r="G81">
        <v>2019</v>
      </c>
      <c r="H81" t="s">
        <v>171</v>
      </c>
      <c r="I81" t="s">
        <v>21</v>
      </c>
      <c r="J81" t="s">
        <v>414</v>
      </c>
      <c r="K81" t="s">
        <v>415</v>
      </c>
      <c r="L81"/>
      <c r="M81"/>
      <c r="N81">
        <v>300</v>
      </c>
      <c r="O81"/>
      <c r="P81" s="6">
        <v>5.08</v>
      </c>
      <c r="Q81" t="e">
        <f t="shared" si="4"/>
        <v>#DIV/0!</v>
      </c>
      <c r="R81" t="str">
        <f t="shared" si="5"/>
        <v/>
      </c>
      <c r="S81" t="s">
        <v>416</v>
      </c>
      <c r="T81" t="s">
        <v>25</v>
      </c>
      <c r="U81"/>
    </row>
    <row r="82" spans="1:21" x14ac:dyDescent="0.35">
      <c r="A82" s="11">
        <v>58</v>
      </c>
      <c r="B82" s="11" t="s">
        <v>354</v>
      </c>
      <c r="C82" s="11" t="s">
        <v>25</v>
      </c>
      <c r="D82" t="s">
        <v>27</v>
      </c>
      <c r="E82" s="11" t="s">
        <v>355</v>
      </c>
      <c r="F82" s="11" t="s">
        <v>85</v>
      </c>
      <c r="G82" s="11">
        <v>2019</v>
      </c>
      <c r="H82" s="11" t="s">
        <v>356</v>
      </c>
      <c r="I82" s="11" t="s">
        <v>21</v>
      </c>
      <c r="J82" s="11" t="s">
        <v>357</v>
      </c>
      <c r="K82" s="11" t="s">
        <v>49</v>
      </c>
      <c r="L82" s="12" t="s">
        <v>358</v>
      </c>
      <c r="M82" s="15">
        <v>83</v>
      </c>
      <c r="N82" s="11">
        <v>2026</v>
      </c>
      <c r="O82" s="11" t="s">
        <v>359</v>
      </c>
      <c r="P82" s="6">
        <v>5.83</v>
      </c>
      <c r="Q82">
        <f t="shared" si="4"/>
        <v>7.0240963855421681E-2</v>
      </c>
      <c r="R82">
        <f t="shared" si="5"/>
        <v>7.0240963855421681E-2</v>
      </c>
      <c r="S82" s="11" t="s">
        <v>360</v>
      </c>
      <c r="T82" s="11" t="s">
        <v>25</v>
      </c>
      <c r="U82" s="11" t="s">
        <v>361</v>
      </c>
    </row>
    <row r="83" spans="1:21" x14ac:dyDescent="0.35">
      <c r="A83">
        <v>61</v>
      </c>
      <c r="B83" t="s">
        <v>369</v>
      </c>
      <c r="C83" t="s">
        <v>25</v>
      </c>
      <c r="D83" t="s">
        <v>27</v>
      </c>
      <c r="E83" t="s">
        <v>370</v>
      </c>
      <c r="F83" t="s">
        <v>371</v>
      </c>
      <c r="G83">
        <v>2019</v>
      </c>
      <c r="H83" t="s">
        <v>350</v>
      </c>
      <c r="I83" t="s">
        <v>375</v>
      </c>
      <c r="J83" t="s">
        <v>372</v>
      </c>
      <c r="K83" t="s">
        <v>49</v>
      </c>
      <c r="L83" t="s">
        <v>33</v>
      </c>
      <c r="N83">
        <f>ROUND(5048*0.8,0)</f>
        <v>4038</v>
      </c>
      <c r="O83" t="s">
        <v>373</v>
      </c>
      <c r="P83" s="6" t="s">
        <v>374</v>
      </c>
      <c r="Q83" t="e">
        <f t="shared" si="4"/>
        <v>#VALUE!</v>
      </c>
      <c r="R83" t="str">
        <f t="shared" si="5"/>
        <v/>
      </c>
      <c r="S83" t="s">
        <v>33</v>
      </c>
    </row>
    <row r="84" spans="1:21" x14ac:dyDescent="0.35">
      <c r="A84">
        <v>62</v>
      </c>
      <c r="B84" t="s">
        <v>376</v>
      </c>
      <c r="C84" t="s">
        <v>25</v>
      </c>
      <c r="D84" t="s">
        <v>27</v>
      </c>
      <c r="E84" t="s">
        <v>377</v>
      </c>
      <c r="F84" t="s">
        <v>378</v>
      </c>
      <c r="G84">
        <v>2019</v>
      </c>
      <c r="H84" t="s">
        <v>340</v>
      </c>
      <c r="I84" t="s">
        <v>21</v>
      </c>
      <c r="J84" t="s">
        <v>341</v>
      </c>
      <c r="K84" t="s">
        <v>279</v>
      </c>
      <c r="L84" t="s">
        <v>379</v>
      </c>
      <c r="M84">
        <f>73-21</f>
        <v>52</v>
      </c>
      <c r="N84">
        <v>743</v>
      </c>
      <c r="O84" t="s">
        <v>380</v>
      </c>
      <c r="P84" s="6" t="s">
        <v>33</v>
      </c>
      <c r="Q84" t="e">
        <f t="shared" si="4"/>
        <v>#VALUE!</v>
      </c>
      <c r="R84" t="str">
        <f t="shared" si="5"/>
        <v/>
      </c>
      <c r="S84" t="s">
        <v>33</v>
      </c>
      <c r="T84" t="s">
        <v>25</v>
      </c>
    </row>
    <row r="85" spans="1:21" x14ac:dyDescent="0.35">
      <c r="A85" t="s">
        <v>423</v>
      </c>
      <c r="B85" t="s">
        <v>76</v>
      </c>
      <c r="C85" t="s">
        <v>25</v>
      </c>
      <c r="D85" t="s">
        <v>27</v>
      </c>
      <c r="E85" t="s">
        <v>424</v>
      </c>
      <c r="F85" t="s">
        <v>37</v>
      </c>
      <c r="G85">
        <v>2019</v>
      </c>
      <c r="I85" t="s">
        <v>21</v>
      </c>
      <c r="J85" t="s">
        <v>31</v>
      </c>
      <c r="K85" t="s">
        <v>267</v>
      </c>
      <c r="L85" t="s">
        <v>268</v>
      </c>
      <c r="M85">
        <f>61-19</f>
        <v>42</v>
      </c>
      <c r="N85">
        <v>100</v>
      </c>
    </row>
    <row r="86" spans="1:21" x14ac:dyDescent="0.35">
      <c r="A86">
        <v>71</v>
      </c>
      <c r="B86" t="s">
        <v>321</v>
      </c>
      <c r="C86" t="s">
        <v>25</v>
      </c>
      <c r="D86" t="s">
        <v>27</v>
      </c>
      <c r="E86" t="s">
        <v>413</v>
      </c>
      <c r="F86" t="s">
        <v>170</v>
      </c>
      <c r="G86">
        <v>2019</v>
      </c>
      <c r="H86" t="s">
        <v>171</v>
      </c>
      <c r="I86" t="s">
        <v>21</v>
      </c>
      <c r="J86" t="s">
        <v>414</v>
      </c>
      <c r="K86" t="s">
        <v>415</v>
      </c>
      <c r="N86">
        <v>300</v>
      </c>
      <c r="P86" s="6">
        <v>5.08</v>
      </c>
      <c r="Q86" t="s">
        <v>416</v>
      </c>
      <c r="R86" t="s">
        <v>25</v>
      </c>
    </row>
    <row r="87" spans="1:21" x14ac:dyDescent="0.35">
      <c r="A87">
        <v>4</v>
      </c>
      <c r="B87" t="s">
        <v>44</v>
      </c>
      <c r="C87" t="s">
        <v>25</v>
      </c>
      <c r="D87" t="s">
        <v>27</v>
      </c>
      <c r="E87" t="s">
        <v>45</v>
      </c>
      <c r="F87" t="s">
        <v>46</v>
      </c>
      <c r="G87">
        <v>2020</v>
      </c>
      <c r="H87" t="s">
        <v>38</v>
      </c>
      <c r="I87" t="s">
        <v>21</v>
      </c>
      <c r="J87" t="s">
        <v>48</v>
      </c>
      <c r="K87" t="s">
        <v>49</v>
      </c>
      <c r="L87" t="s">
        <v>50</v>
      </c>
      <c r="M87">
        <f>97-18</f>
        <v>79</v>
      </c>
      <c r="N87">
        <f>ROUND(2852/10*8,0)</f>
        <v>2282</v>
      </c>
      <c r="P87" s="6">
        <v>4.0599999999999996</v>
      </c>
      <c r="Q87">
        <f t="shared" ref="Q87:Q95" si="6">P87/M87</f>
        <v>5.1392405063291131E-2</v>
      </c>
      <c r="R87">
        <f t="shared" ref="R87:R95" si="7">IF(ISNUMBER(Q87),Q87,"")</f>
        <v>5.1392405063291131E-2</v>
      </c>
      <c r="S87" t="s">
        <v>47</v>
      </c>
      <c r="T87" t="s">
        <v>25</v>
      </c>
    </row>
    <row r="88" spans="1:21" x14ac:dyDescent="0.35">
      <c r="A88">
        <v>9</v>
      </c>
      <c r="B88" t="s">
        <v>76</v>
      </c>
      <c r="C88" t="s">
        <v>25</v>
      </c>
      <c r="D88" t="s">
        <v>27</v>
      </c>
      <c r="E88" t="s">
        <v>77</v>
      </c>
      <c r="F88" t="s">
        <v>78</v>
      </c>
      <c r="G88">
        <v>2020</v>
      </c>
      <c r="H88" t="s">
        <v>72</v>
      </c>
      <c r="I88" t="s">
        <v>21</v>
      </c>
      <c r="J88" t="s">
        <v>73</v>
      </c>
      <c r="K88" t="s">
        <v>79</v>
      </c>
      <c r="N88">
        <v>839</v>
      </c>
      <c r="O88" t="s">
        <v>80</v>
      </c>
      <c r="P88" s="6" t="s">
        <v>81</v>
      </c>
      <c r="Q88" t="e">
        <f t="shared" si="6"/>
        <v>#VALUE!</v>
      </c>
      <c r="R88" t="str">
        <f t="shared" si="7"/>
        <v/>
      </c>
      <c r="S88" t="s">
        <v>33</v>
      </c>
      <c r="T88" t="s">
        <v>25</v>
      </c>
      <c r="U88" t="s">
        <v>82</v>
      </c>
    </row>
    <row r="89" spans="1:21" x14ac:dyDescent="0.35">
      <c r="A89" s="6">
        <v>10</v>
      </c>
      <c r="B89" s="6" t="s">
        <v>83</v>
      </c>
      <c r="C89" s="6" t="s">
        <v>25</v>
      </c>
      <c r="D89" s="6" t="s">
        <v>27</v>
      </c>
      <c r="E89" s="6" t="s">
        <v>84</v>
      </c>
      <c r="F89" s="6" t="s">
        <v>85</v>
      </c>
      <c r="G89" s="6">
        <v>2020</v>
      </c>
      <c r="H89" s="6" t="s">
        <v>20</v>
      </c>
      <c r="I89" s="6" t="s">
        <v>21</v>
      </c>
      <c r="J89" s="6" t="s">
        <v>86</v>
      </c>
      <c r="K89" s="6" t="s">
        <v>87</v>
      </c>
      <c r="L89" s="6" t="s">
        <v>88</v>
      </c>
      <c r="M89" s="6">
        <f>85.8-18</f>
        <v>67.8</v>
      </c>
      <c r="N89" s="6">
        <v>750</v>
      </c>
      <c r="O89" s="6" t="s">
        <v>89</v>
      </c>
      <c r="P89" s="6">
        <v>6.4</v>
      </c>
      <c r="Q89">
        <f t="shared" si="6"/>
        <v>9.4395280235988213E-2</v>
      </c>
      <c r="R89">
        <f t="shared" si="7"/>
        <v>9.4395280235988213E-2</v>
      </c>
      <c r="S89" s="6" t="s">
        <v>90</v>
      </c>
      <c r="T89" s="6" t="s">
        <v>25</v>
      </c>
      <c r="U89" s="6" t="s">
        <v>91</v>
      </c>
    </row>
    <row r="90" spans="1:21" x14ac:dyDescent="0.35">
      <c r="A90" s="6">
        <v>11</v>
      </c>
      <c r="B90" s="7" t="s">
        <v>35</v>
      </c>
      <c r="C90" s="6" t="s">
        <v>25</v>
      </c>
      <c r="D90" s="6" t="s">
        <v>27</v>
      </c>
      <c r="E90" s="6" t="s">
        <v>92</v>
      </c>
      <c r="F90" s="6" t="s">
        <v>46</v>
      </c>
      <c r="G90" s="6">
        <v>2020</v>
      </c>
      <c r="H90" s="6" t="s">
        <v>93</v>
      </c>
      <c r="I90" s="6" t="s">
        <v>21</v>
      </c>
      <c r="J90" s="6" t="s">
        <v>94</v>
      </c>
      <c r="K90" s="6" t="s">
        <v>154</v>
      </c>
      <c r="L90" s="6" t="s">
        <v>33</v>
      </c>
      <c r="M90" s="6"/>
      <c r="N90" s="6">
        <v>2205</v>
      </c>
      <c r="O90" t="s">
        <v>95</v>
      </c>
      <c r="P90" s="6" t="s">
        <v>96</v>
      </c>
      <c r="Q90" t="e">
        <f t="shared" si="6"/>
        <v>#VALUE!</v>
      </c>
      <c r="R90" t="str">
        <f t="shared" si="7"/>
        <v/>
      </c>
      <c r="S90" s="6" t="s">
        <v>97</v>
      </c>
      <c r="T90" s="6" t="s">
        <v>25</v>
      </c>
    </row>
    <row r="91" spans="1:21" x14ac:dyDescent="0.35">
      <c r="A91">
        <v>12</v>
      </c>
      <c r="B91" t="s">
        <v>98</v>
      </c>
      <c r="C91" t="s">
        <v>25</v>
      </c>
      <c r="D91" t="s">
        <v>27</v>
      </c>
      <c r="E91" t="s">
        <v>99</v>
      </c>
      <c r="F91" t="s">
        <v>100</v>
      </c>
      <c r="G91">
        <v>2020</v>
      </c>
      <c r="H91" t="s">
        <v>101</v>
      </c>
      <c r="I91" t="s">
        <v>21</v>
      </c>
      <c r="J91" t="s">
        <v>102</v>
      </c>
      <c r="K91" t="s">
        <v>33</v>
      </c>
      <c r="L91" t="s">
        <v>103</v>
      </c>
      <c r="M91">
        <v>76</v>
      </c>
      <c r="N91">
        <v>927</v>
      </c>
      <c r="O91" t="s">
        <v>104</v>
      </c>
      <c r="P91" s="6">
        <v>6.92</v>
      </c>
      <c r="Q91">
        <f t="shared" si="6"/>
        <v>9.1052631578947371E-2</v>
      </c>
      <c r="R91">
        <f t="shared" si="7"/>
        <v>9.1052631578947371E-2</v>
      </c>
      <c r="S91" t="s">
        <v>105</v>
      </c>
      <c r="T91" t="s">
        <v>25</v>
      </c>
    </row>
    <row r="92" spans="1:21" x14ac:dyDescent="0.35">
      <c r="A92" s="5">
        <v>14</v>
      </c>
      <c r="B92" s="5" t="s">
        <v>111</v>
      </c>
      <c r="C92" s="5" t="s">
        <v>25</v>
      </c>
      <c r="D92" t="s">
        <v>27</v>
      </c>
      <c r="E92" s="5" t="s">
        <v>112</v>
      </c>
      <c r="F92" s="5" t="s">
        <v>113</v>
      </c>
      <c r="G92" s="5">
        <v>2020</v>
      </c>
      <c r="H92" s="5" t="s">
        <v>38</v>
      </c>
      <c r="I92" s="5" t="s">
        <v>21</v>
      </c>
      <c r="J92" s="5" t="s">
        <v>114</v>
      </c>
      <c r="K92" s="5"/>
      <c r="L92" s="5" t="s">
        <v>115</v>
      </c>
      <c r="M92" s="5">
        <f>90-18</f>
        <v>72</v>
      </c>
      <c r="N92" s="5">
        <v>1303</v>
      </c>
      <c r="O92" s="5" t="s">
        <v>116</v>
      </c>
      <c r="P92" s="6">
        <v>5.55</v>
      </c>
      <c r="Q92">
        <f t="shared" si="6"/>
        <v>7.7083333333333337E-2</v>
      </c>
      <c r="R92">
        <f t="shared" si="7"/>
        <v>7.7083333333333337E-2</v>
      </c>
      <c r="S92" s="5" t="s">
        <v>117</v>
      </c>
      <c r="T92" s="5" t="s">
        <v>25</v>
      </c>
      <c r="U92" t="s">
        <v>118</v>
      </c>
    </row>
    <row r="93" spans="1:21" x14ac:dyDescent="0.35">
      <c r="A93">
        <v>18</v>
      </c>
      <c r="B93" t="s">
        <v>129</v>
      </c>
      <c r="C93" t="s">
        <v>25</v>
      </c>
      <c r="D93" t="s">
        <v>27</v>
      </c>
      <c r="E93" t="s">
        <v>130</v>
      </c>
      <c r="F93" t="s">
        <v>85</v>
      </c>
      <c r="G93">
        <v>2020</v>
      </c>
      <c r="H93" t="s">
        <v>132</v>
      </c>
      <c r="I93" t="s">
        <v>21</v>
      </c>
      <c r="J93" t="s">
        <v>131</v>
      </c>
      <c r="K93" t="s">
        <v>49</v>
      </c>
      <c r="L93" t="s">
        <v>133</v>
      </c>
      <c r="M93">
        <v>30</v>
      </c>
      <c r="N93">
        <v>2089</v>
      </c>
      <c r="P93" s="6">
        <v>3.59</v>
      </c>
      <c r="Q93">
        <f t="shared" si="6"/>
        <v>0.11966666666666666</v>
      </c>
      <c r="R93">
        <f t="shared" si="7"/>
        <v>0.11966666666666666</v>
      </c>
      <c r="S93" t="s">
        <v>33</v>
      </c>
      <c r="T93" t="s">
        <v>25</v>
      </c>
    </row>
    <row r="94" spans="1:21" x14ac:dyDescent="0.35">
      <c r="A94">
        <v>21</v>
      </c>
      <c r="B94" t="s">
        <v>149</v>
      </c>
      <c r="C94" t="s">
        <v>25</v>
      </c>
      <c r="D94" t="s">
        <v>27</v>
      </c>
      <c r="E94" t="s">
        <v>150</v>
      </c>
      <c r="F94" t="s">
        <v>29</v>
      </c>
      <c r="G94">
        <v>2020</v>
      </c>
      <c r="H94" t="s">
        <v>38</v>
      </c>
      <c r="I94" t="s">
        <v>21</v>
      </c>
      <c r="J94" t="s">
        <v>31</v>
      </c>
      <c r="K94" t="s">
        <v>154</v>
      </c>
      <c r="L94" t="s">
        <v>153</v>
      </c>
      <c r="M94">
        <f>69-40</f>
        <v>29</v>
      </c>
      <c r="N94">
        <v>3067</v>
      </c>
      <c r="O94" t="s">
        <v>151</v>
      </c>
      <c r="P94" s="6">
        <v>2.87</v>
      </c>
      <c r="Q94">
        <f t="shared" si="6"/>
        <v>9.8965517241379308E-2</v>
      </c>
      <c r="R94">
        <f t="shared" si="7"/>
        <v>9.8965517241379308E-2</v>
      </c>
      <c r="S94" t="s">
        <v>47</v>
      </c>
      <c r="T94" t="s">
        <v>25</v>
      </c>
      <c r="U94" t="s">
        <v>152</v>
      </c>
    </row>
    <row r="95" spans="1:21" x14ac:dyDescent="0.35">
      <c r="A95">
        <v>25</v>
      </c>
      <c r="B95" t="s">
        <v>175</v>
      </c>
      <c r="C95" t="s">
        <v>25</v>
      </c>
      <c r="D95" t="s">
        <v>27</v>
      </c>
      <c r="E95" t="s">
        <v>176</v>
      </c>
      <c r="F95" t="s">
        <v>177</v>
      </c>
      <c r="G95">
        <v>2020</v>
      </c>
      <c r="H95" t="s">
        <v>178</v>
      </c>
      <c r="I95" t="s">
        <v>21</v>
      </c>
      <c r="J95" t="s">
        <v>179</v>
      </c>
      <c r="K95" t="s">
        <v>49</v>
      </c>
      <c r="L95" s="4" t="s">
        <v>180</v>
      </c>
      <c r="M95" s="13">
        <v>92</v>
      </c>
      <c r="N95">
        <v>11729</v>
      </c>
      <c r="O95" s="5" t="s">
        <v>181</v>
      </c>
      <c r="P95" s="6">
        <v>3.7</v>
      </c>
      <c r="Q95">
        <f t="shared" si="6"/>
        <v>4.021739130434783E-2</v>
      </c>
      <c r="R95">
        <f t="shared" si="7"/>
        <v>4.021739130434783E-2</v>
      </c>
      <c r="S95" t="s">
        <v>182</v>
      </c>
      <c r="T95" t="s">
        <v>25</v>
      </c>
      <c r="U95" t="s">
        <v>183</v>
      </c>
    </row>
    <row r="96" spans="1:21" x14ac:dyDescent="0.35">
      <c r="A96">
        <v>30</v>
      </c>
      <c r="B96" t="s">
        <v>207</v>
      </c>
      <c r="C96" t="s">
        <v>25</v>
      </c>
      <c r="D96" t="s">
        <v>27</v>
      </c>
      <c r="E96" t="s">
        <v>208</v>
      </c>
      <c r="F96" t="s">
        <v>209</v>
      </c>
      <c r="G96">
        <v>2020</v>
      </c>
      <c r="H96" t="s">
        <v>210</v>
      </c>
      <c r="I96" t="s">
        <v>191</v>
      </c>
      <c r="J96" t="s">
        <v>211</v>
      </c>
      <c r="K96" t="s">
        <v>49</v>
      </c>
      <c r="L96" t="s">
        <v>212</v>
      </c>
      <c r="M96">
        <f>65-43</f>
        <v>22</v>
      </c>
      <c r="N96">
        <v>5144</v>
      </c>
      <c r="O96" t="s">
        <v>213</v>
      </c>
    </row>
    <row r="97" spans="1:21" x14ac:dyDescent="0.35">
      <c r="A97">
        <v>31</v>
      </c>
      <c r="B97" s="1" t="s">
        <v>35</v>
      </c>
      <c r="C97" t="s">
        <v>25</v>
      </c>
      <c r="D97" t="s">
        <v>27</v>
      </c>
      <c r="E97" t="s">
        <v>214</v>
      </c>
      <c r="F97" t="s">
        <v>215</v>
      </c>
      <c r="G97">
        <v>2020</v>
      </c>
      <c r="H97" t="s">
        <v>171</v>
      </c>
      <c r="I97" t="s">
        <v>21</v>
      </c>
      <c r="J97" t="s">
        <v>73</v>
      </c>
      <c r="L97" t="s">
        <v>115</v>
      </c>
      <c r="M97">
        <f>90-18</f>
        <v>72</v>
      </c>
      <c r="N97">
        <v>2001</v>
      </c>
      <c r="P97" s="6">
        <v>5.0199999999999996</v>
      </c>
      <c r="Q97">
        <f t="shared" ref="Q97:Q104" si="8">P97/M97</f>
        <v>6.9722222222222213E-2</v>
      </c>
      <c r="R97">
        <f t="shared" ref="R97:R104" si="9">IF(ISNUMBER(Q97),Q97,"")</f>
        <v>6.9722222222222213E-2</v>
      </c>
      <c r="S97" t="s">
        <v>174</v>
      </c>
    </row>
    <row r="98" spans="1:21" x14ac:dyDescent="0.35">
      <c r="A98">
        <v>32</v>
      </c>
      <c r="B98" t="s">
        <v>216</v>
      </c>
      <c r="C98" t="s">
        <v>25</v>
      </c>
      <c r="D98" t="s">
        <v>27</v>
      </c>
      <c r="E98" t="s">
        <v>217</v>
      </c>
      <c r="F98" t="s">
        <v>170</v>
      </c>
      <c r="G98">
        <v>2020</v>
      </c>
      <c r="H98" t="s">
        <v>109</v>
      </c>
      <c r="I98" t="s">
        <v>21</v>
      </c>
      <c r="J98" t="s">
        <v>218</v>
      </c>
      <c r="K98" t="s">
        <v>22</v>
      </c>
      <c r="L98" t="s">
        <v>219</v>
      </c>
      <c r="M98">
        <f>60-18</f>
        <v>42</v>
      </c>
      <c r="N98">
        <v>151</v>
      </c>
      <c r="O98" t="s">
        <v>222</v>
      </c>
      <c r="P98" s="6">
        <v>6.94</v>
      </c>
      <c r="Q98">
        <f t="shared" si="8"/>
        <v>0.16523809523809524</v>
      </c>
      <c r="R98">
        <f t="shared" si="9"/>
        <v>0.16523809523809524</v>
      </c>
      <c r="S98" t="s">
        <v>221</v>
      </c>
      <c r="T98" t="s">
        <v>25</v>
      </c>
      <c r="U98" t="s">
        <v>220</v>
      </c>
    </row>
    <row r="99" spans="1:21" s="10" customFormat="1" x14ac:dyDescent="0.35">
      <c r="A99">
        <v>39</v>
      </c>
      <c r="B99" s="9" t="s">
        <v>259</v>
      </c>
      <c r="C99" t="s">
        <v>25</v>
      </c>
      <c r="D99" t="s">
        <v>27</v>
      </c>
      <c r="E99" t="s">
        <v>260</v>
      </c>
      <c r="F99" t="s">
        <v>59</v>
      </c>
      <c r="G99">
        <v>2020</v>
      </c>
      <c r="H99" t="s">
        <v>64</v>
      </c>
      <c r="I99" t="s">
        <v>21</v>
      </c>
      <c r="J99" t="s">
        <v>263</v>
      </c>
      <c r="K99" t="s">
        <v>49</v>
      </c>
      <c r="L99" t="s">
        <v>262</v>
      </c>
      <c r="M99">
        <f>80-18</f>
        <v>62</v>
      </c>
      <c r="N99" t="s">
        <v>261</v>
      </c>
      <c r="O99"/>
      <c r="P99" s="6" t="s">
        <v>264</v>
      </c>
      <c r="Q99" t="e">
        <f t="shared" si="8"/>
        <v>#VALUE!</v>
      </c>
      <c r="R99" t="str">
        <f t="shared" si="9"/>
        <v/>
      </c>
      <c r="S99" t="s">
        <v>265</v>
      </c>
      <c r="T99" t="s">
        <v>25</v>
      </c>
      <c r="U99"/>
    </row>
    <row r="100" spans="1:21" x14ac:dyDescent="0.35">
      <c r="A100" s="5">
        <v>47</v>
      </c>
      <c r="B100" s="5" t="s">
        <v>294</v>
      </c>
      <c r="C100" s="5" t="s">
        <v>25</v>
      </c>
      <c r="D100" t="s">
        <v>27</v>
      </c>
      <c r="E100" s="5" t="s">
        <v>295</v>
      </c>
      <c r="F100" s="5" t="s">
        <v>37</v>
      </c>
      <c r="G100" s="5">
        <v>2020</v>
      </c>
      <c r="H100" s="5" t="s">
        <v>561</v>
      </c>
      <c r="I100" s="5" t="s">
        <v>21</v>
      </c>
      <c r="J100" s="5" t="s">
        <v>296</v>
      </c>
      <c r="K100" s="5" t="s">
        <v>186</v>
      </c>
      <c r="L100" s="5"/>
      <c r="M100" s="5"/>
      <c r="N100" s="5">
        <v>796</v>
      </c>
      <c r="O100" s="5" t="s">
        <v>297</v>
      </c>
      <c r="P100" s="6" t="s">
        <v>298</v>
      </c>
      <c r="Q100" t="e">
        <f t="shared" si="8"/>
        <v>#VALUE!</v>
      </c>
      <c r="R100" t="str">
        <f t="shared" si="9"/>
        <v/>
      </c>
      <c r="S100" s="5" t="s">
        <v>299</v>
      </c>
      <c r="T100" s="5"/>
      <c r="U100" s="5" t="s">
        <v>300</v>
      </c>
    </row>
    <row r="101" spans="1:21" x14ac:dyDescent="0.35">
      <c r="A101">
        <v>51</v>
      </c>
      <c r="B101" t="s">
        <v>318</v>
      </c>
      <c r="C101" t="s">
        <v>25</v>
      </c>
      <c r="D101" t="s">
        <v>27</v>
      </c>
      <c r="E101" t="s">
        <v>319</v>
      </c>
      <c r="F101" t="s">
        <v>320</v>
      </c>
      <c r="G101">
        <v>2020</v>
      </c>
      <c r="H101" t="s">
        <v>246</v>
      </c>
      <c r="I101" t="s">
        <v>21</v>
      </c>
      <c r="J101" t="s">
        <v>31</v>
      </c>
      <c r="K101" t="s">
        <v>22</v>
      </c>
      <c r="L101" t="s">
        <v>317</v>
      </c>
      <c r="N101">
        <v>394</v>
      </c>
      <c r="P101" s="16">
        <v>1.1000000000000001</v>
      </c>
      <c r="Q101" t="e">
        <f t="shared" si="8"/>
        <v>#DIV/0!</v>
      </c>
      <c r="R101" t="str">
        <f t="shared" si="9"/>
        <v/>
      </c>
      <c r="S101" t="s">
        <v>316</v>
      </c>
      <c r="T101" t="s">
        <v>25</v>
      </c>
    </row>
    <row r="102" spans="1:21" x14ac:dyDescent="0.35">
      <c r="A102">
        <v>52</v>
      </c>
      <c r="B102" t="s">
        <v>321</v>
      </c>
      <c r="C102" t="s">
        <v>25</v>
      </c>
      <c r="D102" t="s">
        <v>27</v>
      </c>
      <c r="E102" t="s">
        <v>322</v>
      </c>
      <c r="F102" t="s">
        <v>37</v>
      </c>
      <c r="G102">
        <v>2020</v>
      </c>
      <c r="H102" t="s">
        <v>323</v>
      </c>
      <c r="I102" t="s">
        <v>21</v>
      </c>
      <c r="J102" t="s">
        <v>324</v>
      </c>
      <c r="K102" t="s">
        <v>325</v>
      </c>
      <c r="L102" t="s">
        <v>326</v>
      </c>
      <c r="M102">
        <f>92-18</f>
        <v>74</v>
      </c>
      <c r="N102">
        <v>616</v>
      </c>
      <c r="P102" s="6">
        <v>3.08</v>
      </c>
      <c r="Q102">
        <f t="shared" si="8"/>
        <v>4.162162162162162E-2</v>
      </c>
      <c r="R102">
        <f t="shared" si="9"/>
        <v>4.162162162162162E-2</v>
      </c>
      <c r="S102" t="s">
        <v>33</v>
      </c>
      <c r="T102" t="s">
        <v>25</v>
      </c>
      <c r="U102" t="s">
        <v>327</v>
      </c>
    </row>
    <row r="103" spans="1:21" x14ac:dyDescent="0.35">
      <c r="A103">
        <v>59</v>
      </c>
      <c r="B103" t="s">
        <v>362</v>
      </c>
      <c r="C103" t="s">
        <v>25</v>
      </c>
      <c r="D103" t="s">
        <v>27</v>
      </c>
      <c r="E103" t="s">
        <v>363</v>
      </c>
      <c r="F103" t="s">
        <v>141</v>
      </c>
      <c r="G103">
        <v>2020</v>
      </c>
      <c r="H103" t="s">
        <v>364</v>
      </c>
      <c r="I103" t="s">
        <v>21</v>
      </c>
      <c r="J103" t="s">
        <v>131</v>
      </c>
      <c r="L103" t="s">
        <v>365</v>
      </c>
      <c r="M103">
        <f>98-50</f>
        <v>48</v>
      </c>
      <c r="N103">
        <v>909</v>
      </c>
      <c r="P103" s="6">
        <v>3.97</v>
      </c>
      <c r="Q103">
        <f t="shared" si="8"/>
        <v>8.2708333333333342E-2</v>
      </c>
      <c r="R103">
        <f t="shared" si="9"/>
        <v>8.2708333333333342E-2</v>
      </c>
      <c r="S103" t="s">
        <v>366</v>
      </c>
      <c r="T103" t="s">
        <v>25</v>
      </c>
    </row>
    <row r="104" spans="1:21" x14ac:dyDescent="0.35">
      <c r="A104">
        <v>66</v>
      </c>
      <c r="B104" t="s">
        <v>393</v>
      </c>
      <c r="C104" t="s">
        <v>25</v>
      </c>
      <c r="D104" t="s">
        <v>27</v>
      </c>
      <c r="E104" t="s">
        <v>394</v>
      </c>
      <c r="F104" t="s">
        <v>395</v>
      </c>
      <c r="G104">
        <v>2020</v>
      </c>
      <c r="H104" t="s">
        <v>396</v>
      </c>
      <c r="I104" t="s">
        <v>397</v>
      </c>
      <c r="J104" t="s">
        <v>49</v>
      </c>
      <c r="K104" t="s">
        <v>398</v>
      </c>
      <c r="L104" t="s">
        <v>33</v>
      </c>
      <c r="N104">
        <v>640</v>
      </c>
      <c r="P104" s="6">
        <v>4.7</v>
      </c>
      <c r="Q104" t="e">
        <f t="shared" si="8"/>
        <v>#DIV/0!</v>
      </c>
      <c r="R104" t="str">
        <f t="shared" si="9"/>
        <v/>
      </c>
      <c r="S104" t="s">
        <v>33</v>
      </c>
      <c r="T104" t="s">
        <v>25</v>
      </c>
    </row>
    <row r="105" spans="1:21" x14ac:dyDescent="0.35">
      <c r="A105" s="10">
        <v>76</v>
      </c>
      <c r="B105" s="10" t="s">
        <v>436</v>
      </c>
      <c r="C105" s="10" t="s">
        <v>25</v>
      </c>
      <c r="D105" s="10" t="s">
        <v>27</v>
      </c>
      <c r="E105" s="10" t="s">
        <v>437</v>
      </c>
      <c r="F105" s="10" t="s">
        <v>438</v>
      </c>
      <c r="G105" s="10">
        <v>2020</v>
      </c>
      <c r="H105" s="10" t="s">
        <v>439</v>
      </c>
      <c r="I105" s="10" t="s">
        <v>21</v>
      </c>
      <c r="J105" s="10" t="s">
        <v>440</v>
      </c>
      <c r="K105" s="10" t="s">
        <v>441</v>
      </c>
      <c r="L105" s="10" t="s">
        <v>442</v>
      </c>
      <c r="M105" s="10"/>
      <c r="N105" s="10">
        <v>2640</v>
      </c>
      <c r="O105" s="10">
        <v>3.33</v>
      </c>
      <c r="P105" s="6" t="s">
        <v>33</v>
      </c>
      <c r="Q105" s="10" t="s">
        <v>25</v>
      </c>
      <c r="R105" s="10" t="s">
        <v>443</v>
      </c>
      <c r="S105" s="10"/>
      <c r="T105" s="10"/>
      <c r="U105" s="10"/>
    </row>
    <row r="106" spans="1:21" x14ac:dyDescent="0.35">
      <c r="A106">
        <v>22</v>
      </c>
      <c r="B106" t="s">
        <v>155</v>
      </c>
      <c r="C106" t="s">
        <v>25</v>
      </c>
      <c r="D106" t="s">
        <v>27</v>
      </c>
      <c r="E106" t="s">
        <v>156</v>
      </c>
      <c r="F106" t="s">
        <v>157</v>
      </c>
      <c r="G106">
        <v>2021</v>
      </c>
      <c r="H106" t="s">
        <v>561</v>
      </c>
      <c r="I106" t="s">
        <v>21</v>
      </c>
      <c r="J106" t="s">
        <v>158</v>
      </c>
      <c r="K106" t="s">
        <v>159</v>
      </c>
      <c r="L106" t="s">
        <v>160</v>
      </c>
      <c r="M106">
        <f>90-22</f>
        <v>68</v>
      </c>
      <c r="N106" s="8">
        <v>12000</v>
      </c>
      <c r="O106" t="s">
        <v>161</v>
      </c>
      <c r="P106" s="6" t="s">
        <v>33</v>
      </c>
      <c r="Q106" t="e">
        <f>P106/M106</f>
        <v>#VALUE!</v>
      </c>
      <c r="R106" t="str">
        <f>IF(ISNUMBER(Q106),Q106,"")</f>
        <v/>
      </c>
      <c r="S106" t="s">
        <v>33</v>
      </c>
      <c r="T106" t="s">
        <v>25</v>
      </c>
      <c r="U106" t="s">
        <v>162</v>
      </c>
    </row>
    <row r="107" spans="1:21" x14ac:dyDescent="0.35">
      <c r="A107">
        <v>33</v>
      </c>
      <c r="B107" t="s">
        <v>223</v>
      </c>
      <c r="C107" t="s">
        <v>25</v>
      </c>
      <c r="D107" t="s">
        <v>27</v>
      </c>
      <c r="E107" t="s">
        <v>224</v>
      </c>
      <c r="F107" t="s">
        <v>37</v>
      </c>
      <c r="G107">
        <v>2021</v>
      </c>
      <c r="H107" t="s">
        <v>101</v>
      </c>
      <c r="I107" t="s">
        <v>21</v>
      </c>
      <c r="J107" t="s">
        <v>225</v>
      </c>
      <c r="K107" t="s">
        <v>49</v>
      </c>
      <c r="L107" t="s">
        <v>103</v>
      </c>
      <c r="M107">
        <f>94-18</f>
        <v>76</v>
      </c>
      <c r="N107">
        <v>702</v>
      </c>
      <c r="O107" t="s">
        <v>226</v>
      </c>
      <c r="P107" s="6">
        <v>6.99</v>
      </c>
      <c r="Q107">
        <f>P107/M107</f>
        <v>9.1973684210526319E-2</v>
      </c>
      <c r="R107">
        <f>IF(ISNUMBER(Q107),Q107,"")</f>
        <v>9.1973684210526319E-2</v>
      </c>
      <c r="S107" t="s">
        <v>227</v>
      </c>
      <c r="T107" t="s">
        <v>25</v>
      </c>
    </row>
    <row r="108" spans="1:21" x14ac:dyDescent="0.35">
      <c r="A108" s="10">
        <v>40</v>
      </c>
      <c r="B108" s="10" t="s">
        <v>76</v>
      </c>
      <c r="C108" s="10" t="s">
        <v>25</v>
      </c>
      <c r="D108" s="10" t="s">
        <v>27</v>
      </c>
      <c r="E108" s="10" t="s">
        <v>266</v>
      </c>
      <c r="F108" s="10" t="s">
        <v>85</v>
      </c>
      <c r="G108" s="10">
        <v>2021</v>
      </c>
      <c r="H108" s="10" t="s">
        <v>109</v>
      </c>
      <c r="I108" s="10" t="s">
        <v>21</v>
      </c>
      <c r="J108" s="10" t="s">
        <v>31</v>
      </c>
      <c r="K108" s="10" t="s">
        <v>267</v>
      </c>
      <c r="L108" s="10" t="s">
        <v>269</v>
      </c>
      <c r="M108" s="10">
        <f>61-19</f>
        <v>42</v>
      </c>
      <c r="N108" s="10">
        <v>100</v>
      </c>
      <c r="O108" s="10"/>
      <c r="P108" s="6">
        <v>1.3</v>
      </c>
      <c r="Q108">
        <f>P108/M108</f>
        <v>3.0952380952380953E-2</v>
      </c>
      <c r="R108">
        <f>IF(ISNUMBER(Q108),Q108,"")</f>
        <v>3.0952380952380953E-2</v>
      </c>
      <c r="S108" s="10" t="s">
        <v>270</v>
      </c>
      <c r="T108" s="10" t="s">
        <v>25</v>
      </c>
      <c r="U108" s="10"/>
    </row>
    <row r="109" spans="1:21" x14ac:dyDescent="0.35">
      <c r="A109">
        <v>53</v>
      </c>
      <c r="B109" t="s">
        <v>328</v>
      </c>
      <c r="C109" t="s">
        <v>25</v>
      </c>
      <c r="D109" t="s">
        <v>27</v>
      </c>
      <c r="E109" t="s">
        <v>329</v>
      </c>
      <c r="F109" t="s">
        <v>37</v>
      </c>
      <c r="G109">
        <v>2021</v>
      </c>
      <c r="H109" t="s">
        <v>38</v>
      </c>
      <c r="I109" t="s">
        <v>21</v>
      </c>
      <c r="J109" t="s">
        <v>179</v>
      </c>
      <c r="K109" t="s">
        <v>154</v>
      </c>
      <c r="L109" t="s">
        <v>330</v>
      </c>
      <c r="M109">
        <f>80-45</f>
        <v>35</v>
      </c>
      <c r="N109" t="s">
        <v>331</v>
      </c>
      <c r="O109" t="s">
        <v>332</v>
      </c>
      <c r="P109" s="6" t="s">
        <v>33</v>
      </c>
      <c r="Q109" t="e">
        <f>P109/M109</f>
        <v>#VALUE!</v>
      </c>
      <c r="R109" t="str">
        <f>IF(ISNUMBER(Q109),Q109,"")</f>
        <v/>
      </c>
      <c r="S109" t="s">
        <v>33</v>
      </c>
      <c r="T109" t="s">
        <v>25</v>
      </c>
      <c r="U109" t="s">
        <v>333</v>
      </c>
    </row>
    <row r="110" spans="1:21" x14ac:dyDescent="0.35">
      <c r="A110">
        <v>96</v>
      </c>
      <c r="B110" t="s">
        <v>510</v>
      </c>
      <c r="C110" t="s">
        <v>25</v>
      </c>
      <c r="E110" t="s">
        <v>511</v>
      </c>
      <c r="F110" t="s">
        <v>37</v>
      </c>
      <c r="G110">
        <v>2021</v>
      </c>
      <c r="H110" t="s">
        <v>171</v>
      </c>
      <c r="I110" t="s">
        <v>512</v>
      </c>
      <c r="J110" t="s">
        <v>514</v>
      </c>
      <c r="K110" t="s">
        <v>325</v>
      </c>
      <c r="L110" t="s">
        <v>515</v>
      </c>
      <c r="M110">
        <v>70</v>
      </c>
      <c r="N110">
        <v>652</v>
      </c>
      <c r="P110" s="6">
        <v>4.88</v>
      </c>
      <c r="Q110" t="s">
        <v>174</v>
      </c>
      <c r="R110" t="s">
        <v>25</v>
      </c>
      <c r="S110" t="s">
        <v>513</v>
      </c>
    </row>
    <row r="111" spans="1:21" x14ac:dyDescent="0.35">
      <c r="A111">
        <v>104</v>
      </c>
      <c r="B111" t="s">
        <v>536</v>
      </c>
      <c r="C111" t="s">
        <v>25</v>
      </c>
      <c r="D111" t="s">
        <v>27</v>
      </c>
      <c r="E111" t="s">
        <v>537</v>
      </c>
      <c r="F111" t="s">
        <v>141</v>
      </c>
      <c r="G111">
        <v>2021</v>
      </c>
      <c r="H111" t="s">
        <v>538</v>
      </c>
      <c r="I111" t="s">
        <v>21</v>
      </c>
      <c r="J111" t="s">
        <v>539</v>
      </c>
      <c r="K111" t="s">
        <v>49</v>
      </c>
      <c r="L111" t="s">
        <v>540</v>
      </c>
      <c r="M111" t="s">
        <v>541</v>
      </c>
      <c r="N111" t="s">
        <v>542</v>
      </c>
      <c r="O111" t="s">
        <v>543</v>
      </c>
      <c r="P111" s="6" t="s">
        <v>544</v>
      </c>
      <c r="Q111" t="s">
        <v>25</v>
      </c>
      <c r="R111" t="s">
        <v>545</v>
      </c>
    </row>
    <row r="112" spans="1:21" s="5" customFormat="1" x14ac:dyDescent="0.35">
      <c r="A112" s="5">
        <v>107</v>
      </c>
      <c r="B112" s="5" t="s">
        <v>551</v>
      </c>
      <c r="C112" s="5" t="s">
        <v>25</v>
      </c>
      <c r="E112" s="5" t="s">
        <v>552</v>
      </c>
      <c r="F112" s="5" t="s">
        <v>553</v>
      </c>
      <c r="G112" s="5">
        <v>2021</v>
      </c>
      <c r="H112" s="5" t="s">
        <v>350</v>
      </c>
      <c r="I112" s="5" t="s">
        <v>21</v>
      </c>
      <c r="J112" s="5" t="s">
        <v>554</v>
      </c>
      <c r="K112" s="5" t="s">
        <v>441</v>
      </c>
      <c r="L112" s="5" t="s">
        <v>33</v>
      </c>
      <c r="M112" s="5" t="s">
        <v>33</v>
      </c>
      <c r="N112" s="5">
        <v>1500</v>
      </c>
      <c r="P112" s="6">
        <v>4.5999999999999996</v>
      </c>
      <c r="Q112" s="6" t="s">
        <v>556</v>
      </c>
      <c r="R112" s="5" t="s">
        <v>25</v>
      </c>
      <c r="S112" s="5" t="s">
        <v>555</v>
      </c>
    </row>
    <row r="114" spans="6:15" x14ac:dyDescent="0.35">
      <c r="N114" t="s">
        <v>564</v>
      </c>
      <c r="O114">
        <f>AVERAGE(P110,P81,P63,P55,P53,P45)</f>
        <v>5.0568333333333326</v>
      </c>
    </row>
    <row r="115" spans="6:15" x14ac:dyDescent="0.35">
      <c r="F115">
        <v>2011</v>
      </c>
      <c r="G115">
        <f>COUNTIF($G$42:$G$112,F115)</f>
        <v>1</v>
      </c>
      <c r="H115" t="s">
        <v>350</v>
      </c>
      <c r="I115">
        <f>COUNTIF($H$42:$H$112,"*Net*")+COUNTIF($H$42:$H$112,"*CNN*")</f>
        <v>14</v>
      </c>
      <c r="N115" t="s">
        <v>565</v>
      </c>
      <c r="O115">
        <f>AVERAGE(P102,P112,P94:P95,P92,P87,4.08,P82,P77,P72,P61,4.16,P47)</f>
        <v>4.3223076923076915</v>
      </c>
    </row>
    <row r="116" spans="6:15" x14ac:dyDescent="0.35">
      <c r="F116">
        <v>2012</v>
      </c>
      <c r="G116">
        <f t="shared" ref="G116:G125" si="10">COUNTIF($G$42:$G$112,F116)</f>
        <v>1</v>
      </c>
      <c r="H116" t="s">
        <v>101</v>
      </c>
      <c r="I116">
        <f>COUNTIF($H$42:$H$112,"*radient*")</f>
        <v>5</v>
      </c>
      <c r="N116" t="s">
        <v>72</v>
      </c>
      <c r="O116">
        <f>AVERAGE(P108,P98,P93,5.46,P75,P67,P65,P59,P58,P56,P48,P44)</f>
        <v>4.7283333333333326</v>
      </c>
    </row>
    <row r="117" spans="6:15" x14ac:dyDescent="0.35">
      <c r="F117">
        <v>2013</v>
      </c>
      <c r="G117">
        <f t="shared" si="10"/>
        <v>0</v>
      </c>
      <c r="H117" t="s">
        <v>109</v>
      </c>
      <c r="I117">
        <f>COUNTIF($H$42:$H$112,"*Support*")+COUNTIF($H$42:$H$112,"*SVM*")</f>
        <v>15</v>
      </c>
      <c r="N117" t="s">
        <v>566</v>
      </c>
    </row>
    <row r="118" spans="6:15" x14ac:dyDescent="0.35">
      <c r="F118">
        <v>2014</v>
      </c>
      <c r="G118">
        <f t="shared" si="10"/>
        <v>1</v>
      </c>
      <c r="H118" t="s">
        <v>560</v>
      </c>
      <c r="I118">
        <f>COUNTIF($H$42:$H$112,"*Relevance*")</f>
        <v>7</v>
      </c>
    </row>
    <row r="119" spans="6:15" x14ac:dyDescent="0.35">
      <c r="F119">
        <v>2015</v>
      </c>
      <c r="G119">
        <f t="shared" si="10"/>
        <v>2</v>
      </c>
      <c r="H119" t="s">
        <v>558</v>
      </c>
      <c r="I119">
        <f>COUNTIF($H$42:$H$112,"*Gaussian Process*")</f>
        <v>13</v>
      </c>
    </row>
    <row r="120" spans="6:15" x14ac:dyDescent="0.35">
      <c r="F120">
        <v>2016</v>
      </c>
      <c r="G120">
        <f t="shared" si="10"/>
        <v>3</v>
      </c>
      <c r="H120" t="s">
        <v>559</v>
      </c>
      <c r="I120">
        <f>COUNTIF($H$42:$H$112,"*Random*")+COUNTIF($H$42:$H$112,"*RF*")</f>
        <v>5</v>
      </c>
    </row>
    <row r="121" spans="6:15" x14ac:dyDescent="0.35">
      <c r="F121">
        <v>2017</v>
      </c>
      <c r="G121">
        <f t="shared" si="10"/>
        <v>5</v>
      </c>
      <c r="H121" t="s">
        <v>561</v>
      </c>
      <c r="I121">
        <f>COUNTIF($H$42:$H$112,H121)</f>
        <v>2</v>
      </c>
    </row>
    <row r="122" spans="6:15" x14ac:dyDescent="0.35">
      <c r="F122">
        <v>2018</v>
      </c>
      <c r="G122">
        <f t="shared" si="10"/>
        <v>15</v>
      </c>
    </row>
    <row r="123" spans="6:15" x14ac:dyDescent="0.35">
      <c r="F123">
        <v>2019</v>
      </c>
      <c r="G123">
        <f t="shared" si="10"/>
        <v>17</v>
      </c>
    </row>
    <row r="124" spans="6:15" x14ac:dyDescent="0.35">
      <c r="F124">
        <v>2020</v>
      </c>
      <c r="G124">
        <f t="shared" si="10"/>
        <v>19</v>
      </c>
      <c r="H124" t="s">
        <v>21</v>
      </c>
      <c r="I124">
        <f>COUNTIF($I$42:$I$112,"*MRI*")</f>
        <v>67</v>
      </c>
    </row>
    <row r="125" spans="6:15" x14ac:dyDescent="0.35">
      <c r="F125">
        <v>2021</v>
      </c>
      <c r="G125">
        <f t="shared" si="10"/>
        <v>7</v>
      </c>
      <c r="H125" t="s">
        <v>191</v>
      </c>
      <c r="I125">
        <f>COUNTIF($I$42:$I$112,"*EEG*")</f>
        <v>3</v>
      </c>
    </row>
    <row r="126" spans="6:15" x14ac:dyDescent="0.35">
      <c r="H126" t="s">
        <v>562</v>
      </c>
      <c r="I126">
        <f>COUNTIF($I$42:$I$112,"*MEG*")</f>
        <v>2</v>
      </c>
    </row>
    <row r="127" spans="6:15" x14ac:dyDescent="0.35">
      <c r="H127" t="s">
        <v>563</v>
      </c>
      <c r="I127">
        <f>COUNTIF($I$42:$I$112,"*CT*")</f>
        <v>1</v>
      </c>
    </row>
    <row r="128" spans="6:15" x14ac:dyDescent="0.35">
      <c r="H128" t="s">
        <v>252</v>
      </c>
      <c r="I128">
        <f>COUNTIF($I$42:$I$112,"*PET*")</f>
        <v>1</v>
      </c>
    </row>
  </sheetData>
  <sortState ref="A2:U112">
    <sortCondition ref="C2:C112"/>
    <sortCondition ref="G2:G112"/>
  </sortState>
  <hyperlinks>
    <hyperlink ref="U37" r:id="rId1" location="ref-CR19" tooltip="Cole JH, Poudel RPK, Tsagkrasoulis D, Caan MWA, Steves C, Spector TD, et al. Predicting brain age with deep learning from raw imaging data results in a reliable and heritable biomarker. Neuroimage. 2017;163C:115–24." display="https://www.nature.com/articles/s41380-018-0098-1 - ref-CR19"/>
  </hyperlinks>
  <pageMargins left="0.7" right="0.7" top="0.78740157499999996" bottom="0.78740157499999996"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Universitätsklinikum Köln (AöR)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Doering</dc:creator>
  <cp:lastModifiedBy>Elena Doering</cp:lastModifiedBy>
  <dcterms:created xsi:type="dcterms:W3CDTF">2021-02-05T09:34:43Z</dcterms:created>
  <dcterms:modified xsi:type="dcterms:W3CDTF">2021-03-27T12:17:12Z</dcterms:modified>
</cp:coreProperties>
</file>